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Šī_darbgrāmata" hidePivotFieldList="1"/>
  <mc:AlternateContent xmlns:mc="http://schemas.openxmlformats.org/markup-compatibility/2006">
    <mc:Choice Requires="x15">
      <x15ac:absPath xmlns:x15ac="http://schemas.microsoft.com/office/spreadsheetml/2010/11/ac" url="https://andadminadazi-my.sharepoint.com/personal/sintijat_adazi_lv/Documents/Desktop/"/>
    </mc:Choice>
  </mc:AlternateContent>
  <xr:revisionPtr revIDLastSave="0" documentId="8_{29667F9F-1293-4A78-967C-CDE98A294A11}" xr6:coauthVersionLast="47" xr6:coauthVersionMax="47" xr10:uidLastSave="{00000000-0000-0000-0000-000000000000}"/>
  <bookViews>
    <workbookView xWindow="-108" yWindow="-108" windowWidth="23256" windowHeight="12456" tabRatio="905" activeTab="1" xr2:uid="{00000000-000D-0000-FFFF-FFFF00000000}"/>
  </bookViews>
  <sheets>
    <sheet name="2025.gada budzeta plans_apvieno" sheetId="70" r:id="rId1"/>
    <sheet name="Grafiki_budžeta_izpilde" sheetId="128" r:id="rId2"/>
  </sheets>
  <definedNames>
    <definedName name="_0812" localSheetId="1">#REF!</definedName>
    <definedName name="_0812">#REF!</definedName>
    <definedName name="_xlnm._FilterDatabase" localSheetId="0" hidden="1">'2025.gada budzeta plans_apvieno'!#REF!</definedName>
    <definedName name="Apmaksa" localSheetId="0">#REF!</definedName>
    <definedName name="Apmaksa">#REF!</definedName>
    <definedName name="Darijums" localSheetId="0">#REF!</definedName>
    <definedName name="Darijums">#REF!</definedName>
    <definedName name="_xlnm.Print_Area" localSheetId="0">'2025.gada budzeta plans_apvieno'!$A$1:$Z$298</definedName>
    <definedName name="_xlnm.Print_Titles" localSheetId="0">'2025.gada budzeta plans_apvieno'!$5:$5</definedName>
    <definedName name="Excel_BuiltIn__FilterDatabase" localSheetId="0">#REF!</definedName>
    <definedName name="Excel_BuiltIn__FilterDatabase">#REF!</definedName>
    <definedName name="Firmas" localSheetId="0">#REF!</definedName>
    <definedName name="Firmas">#REF!</definedName>
    <definedName name="Kolonnas_virsraksta_reģions1..B11.1">#REF!</definedName>
    <definedName name="Kolonnas_virsraksta_reģions1..D4">#REF!</definedName>
    <definedName name="Kolonnas_virsraksta_reģions2..D7">#REF!</definedName>
    <definedName name="Kolonnas_virsraksta_reģions3..C12">#REF!</definedName>
    <definedName name="KolonnasNosaukums1" localSheetId="1">#REF!</definedName>
    <definedName name="KolonnasNosaukums1">#REF!</definedName>
    <definedName name="Parvadataji" localSheetId="0">#REF!</definedName>
    <definedName name="Parvadataji">#REF!</definedName>
    <definedName name="Saist_apmers_ar_galvojumu">#REF!</definedName>
    <definedName name="Z_1893421C_DBAA_4C10_AA6C_4D0F39122205_.wvu.FilterData" localSheetId="0">#REF!</definedName>
    <definedName name="Z_1893421C_DBAA_4C10_AA6C_4D0F39122205_.wvu.FilterData">#REF!</definedName>
    <definedName name="Z_483F8D4B_D649_4D59_A67B_5E8B6C0D2E28_.wvu.FilterData" localSheetId="0">#REF!</definedName>
    <definedName name="Z_483F8D4B_D649_4D59_A67B_5E8B6C0D2E28_.wvu.FilterData">#REF!</definedName>
    <definedName name="Z_56A06D27_97E5_4D01_ADCE_F8E0A2A870EF_.wvu.FilterData" localSheetId="0">#REF!</definedName>
    <definedName name="Z_56A06D27_97E5_4D01_ADCE_F8E0A2A870EF_.wvu.FilterData">#REF!</definedName>
    <definedName name="Z_81EB1DB6_89AB_4045_90FA_EF2BA7E792F9_.wvu.FilterData" localSheetId="0">#REF!</definedName>
    <definedName name="Z_81EB1DB6_89AB_4045_90FA_EF2BA7E792F9_.wvu.FilterData">#REF!</definedName>
    <definedName name="Z_81EB1DB6_89AB_4045_90FA_EF2BA7E792F9_.wvu.PrintArea" localSheetId="0">#REF!</definedName>
    <definedName name="Z_81EB1DB6_89AB_4045_90FA_EF2BA7E792F9_.wvu.PrintArea">#REF!</definedName>
    <definedName name="Z_8545B4E6_A517_4BD7_BFB7_42FEB5F229AD_.wvu.FilterData" localSheetId="0">#REF!</definedName>
    <definedName name="Z_8545B4E6_A517_4BD7_BFB7_42FEB5F229AD_.wvu.FilterData">#REF!</definedName>
    <definedName name="Z_877A1030_2452_46B0_88DF_8A068656C08E_.wvu.FilterData" localSheetId="0">#REF!</definedName>
    <definedName name="Z_877A1030_2452_46B0_88DF_8A068656C08E_.wvu.FilterData">#REF!</definedName>
    <definedName name="Z_ABD8A783_3A6C_4629_9559_1E4E89E80131_.wvu.FilterData" localSheetId="0">#REF!</definedName>
    <definedName name="Z_ABD8A783_3A6C_4629_9559_1E4E89E80131_.wvu.FilterData">#REF!</definedName>
    <definedName name="Z_AF277C95_CBD9_4696_AC72_D010599E9831_.wvu.FilterData" localSheetId="0">#REF!</definedName>
    <definedName name="Z_AF277C95_CBD9_4696_AC72_D010599E9831_.wvu.FilterData">#REF!</definedName>
    <definedName name="Z_B7CBCF06_FF41_423A_9AB3_E1D1F70C6FC5_.wvu.FilterData" localSheetId="0">#REF!</definedName>
    <definedName name="Z_B7CBCF06_FF41_423A_9AB3_E1D1F70C6FC5_.wvu.FilterData">#REF!</definedName>
    <definedName name="Z_C5511FB8_86C5_41F3_ADCD_B10310F066F5_.wvu.FilterData" localSheetId="0">#REF!</definedName>
    <definedName name="Z_C5511FB8_86C5_41F3_ADCD_B10310F066F5_.wvu.FilterData">#REF!</definedName>
    <definedName name="Z_DB8ECBD1_2D44_4F97_BCC9_F610BA0A3109_.wvu.FilterData" localSheetId="0">#REF!</definedName>
    <definedName name="Z_DB8ECBD1_2D44_4F97_BCC9_F610BA0A3109_.wvu.FilterData">#REF!</definedName>
    <definedName name="Z_DEE3A27E_689A_4E9F_A3EB_C84F1E3B413E_.wvu.FilterData" localSheetId="0">#REF!</definedName>
    <definedName name="Z_DEE3A27E_689A_4E9F_A3EB_C84F1E3B413E_.wvu.FilterData">#REF!</definedName>
    <definedName name="Z_F1F489B9_0F61_4F1F_A151_75EF77465344_.wvu.Cols" localSheetId="0">#REF!</definedName>
    <definedName name="Z_F1F489B9_0F61_4F1F_A151_75EF77465344_.wvu.Cols">#REF!</definedName>
    <definedName name="Z_F1F489B9_0F61_4F1F_A151_75EF77465344_.wvu.FilterData" localSheetId="0">#REF!</definedName>
    <definedName name="Z_F1F489B9_0F61_4F1F_A151_75EF77465344_.wvu.FilterData">#REF!</definedName>
    <definedName name="Z_F1F489B9_0F61_4F1F_A151_75EF77465344_.wvu.PrintArea" localSheetId="0">#REF!</definedName>
    <definedName name="Z_F1F489B9_0F61_4F1F_A151_75EF77465344_.wvu.PrintArea">#REF!</definedName>
    <definedName name="Z_F1F489B9_0F61_4F1F_A151_75EF77465344_.wvu.PrintTitles" localSheetId="0">#REF!</definedName>
    <definedName name="Z_F1F489B9_0F61_4F1F_A151_75EF77465344_.wvu.PrintTitles">#REF!</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105" i="70" l="1"/>
  <c r="X103" i="70" s="1"/>
  <c r="X99" i="70"/>
  <c r="X41" i="70"/>
  <c r="X38" i="70"/>
  <c r="X31" i="70"/>
  <c r="X200" i="70" l="1"/>
  <c r="X199" i="70" s="1"/>
  <c r="X151" i="70" l="1"/>
  <c r="X272" i="70"/>
  <c r="X267" i="70"/>
  <c r="X266" i="70"/>
  <c r="X260" i="70" s="1"/>
  <c r="X259" i="70"/>
  <c r="X257" i="70" s="1"/>
  <c r="X249" i="70"/>
  <c r="X247" i="70"/>
  <c r="X245" i="70"/>
  <c r="X236" i="70"/>
  <c r="X231" i="70"/>
  <c r="X226" i="70"/>
  <c r="X221" i="70"/>
  <c r="X208" i="70"/>
  <c r="X193" i="70"/>
  <c r="X128" i="70" l="1"/>
  <c r="X115" i="70"/>
  <c r="X119" i="70"/>
  <c r="X120" i="70"/>
  <c r="X116" i="70"/>
  <c r="X100" i="70"/>
  <c r="X81" i="70"/>
  <c r="X96" i="70"/>
  <c r="X74" i="70"/>
  <c r="X77" i="70"/>
  <c r="X86" i="70"/>
  <c r="X66" i="70"/>
  <c r="X47" i="70" l="1"/>
  <c r="X28" i="70"/>
  <c r="V294" i="70" l="1"/>
  <c r="V293" i="70"/>
  <c r="U292" i="70"/>
  <c r="V252" i="70"/>
  <c r="V189" i="70"/>
  <c r="V188" i="70"/>
  <c r="W183" i="70"/>
  <c r="V126" i="70"/>
  <c r="U126" i="70"/>
  <c r="X67" i="70" l="1"/>
  <c r="Y237" i="70" l="1"/>
  <c r="R237" i="70"/>
  <c r="U237" i="70" s="1"/>
  <c r="R227" i="70"/>
  <c r="U227" i="70" s="1"/>
  <c r="X224" i="70"/>
  <c r="R222" i="70"/>
  <c r="U222" i="70" s="1"/>
  <c r="X229" i="70"/>
  <c r="R232" i="70"/>
  <c r="Y232" i="70" l="1"/>
  <c r="U232" i="70"/>
  <c r="S222" i="70"/>
  <c r="V222" i="70"/>
  <c r="S232" i="70"/>
  <c r="V232" i="70"/>
  <c r="S227" i="70"/>
  <c r="V227" i="70"/>
  <c r="S237" i="70"/>
  <c r="V237" i="70"/>
  <c r="Y222" i="70"/>
  <c r="Y252" i="70" l="1"/>
  <c r="S252" i="70"/>
  <c r="X270" i="70"/>
  <c r="Q270" i="70"/>
  <c r="N270" i="70"/>
  <c r="K270" i="70"/>
  <c r="H270" i="70"/>
  <c r="R273" i="70"/>
  <c r="U273" i="70" s="1"/>
  <c r="R264" i="70"/>
  <c r="U264" i="70" s="1"/>
  <c r="Y273" i="70" l="1"/>
  <c r="V273" i="70"/>
  <c r="Y264" i="70"/>
  <c r="V264" i="70"/>
  <c r="S273" i="70"/>
  <c r="S264" i="70"/>
  <c r="Y294" i="70" l="1"/>
  <c r="Y293" i="70"/>
  <c r="Y189" i="70"/>
  <c r="Y188" i="70"/>
  <c r="X23" i="70"/>
  <c r="S294" i="70" l="1"/>
  <c r="S293" i="70"/>
  <c r="R292" i="70"/>
  <c r="V292" i="70" s="1"/>
  <c r="S189" i="70"/>
  <c r="S188" i="70"/>
  <c r="T183" i="70"/>
  <c r="S126" i="70"/>
  <c r="R126" i="70"/>
  <c r="O65" i="70" l="1"/>
  <c r="R65" i="70" s="1"/>
  <c r="S65" i="70" l="1"/>
  <c r="U65" i="70"/>
  <c r="V65" i="70" s="1"/>
  <c r="Y65" i="70"/>
  <c r="O86" i="70" l="1"/>
  <c r="P86" i="70" s="1"/>
  <c r="H67" i="70"/>
  <c r="K67" i="70"/>
  <c r="N67" i="70"/>
  <c r="R86" i="70" l="1"/>
  <c r="U86" i="70" s="1"/>
  <c r="Y86" i="70" l="1"/>
  <c r="V86" i="70"/>
  <c r="S86" i="70"/>
  <c r="P294" i="70" l="1"/>
  <c r="P293" i="70"/>
  <c r="O292" i="70"/>
  <c r="S292" i="70" s="1"/>
  <c r="P189" i="70"/>
  <c r="P188" i="70"/>
  <c r="Q183" i="70"/>
  <c r="P126" i="70"/>
  <c r="O126" i="70"/>
  <c r="C18" i="128" l="1"/>
  <c r="X168" i="70" l="1"/>
  <c r="X192" i="70"/>
  <c r="M294" i="70" l="1"/>
  <c r="M293" i="70"/>
  <c r="L292" i="70"/>
  <c r="P292" i="70" s="1"/>
  <c r="M189" i="70"/>
  <c r="M188" i="70"/>
  <c r="N183" i="70"/>
  <c r="M126" i="70"/>
  <c r="L126" i="70"/>
  <c r="J126" i="70" l="1"/>
  <c r="J294" i="70" l="1"/>
  <c r="J293" i="70"/>
  <c r="M292" i="70"/>
  <c r="K183" i="70"/>
  <c r="C67" i="128" l="1"/>
  <c r="G97" i="70" l="1"/>
  <c r="J97" i="70" l="1"/>
  <c r="L97" i="70"/>
  <c r="M97" i="70" l="1"/>
  <c r="O97" i="70"/>
  <c r="C65" i="128"/>
  <c r="P97" i="70" l="1"/>
  <c r="R97" i="70"/>
  <c r="X150" i="70"/>
  <c r="X198" i="70"/>
  <c r="S97" i="70" l="1"/>
  <c r="U97" i="70"/>
  <c r="V97" i="70" s="1"/>
  <c r="X164" i="70"/>
  <c r="X145" i="70" l="1"/>
  <c r="C84" i="128"/>
  <c r="C82" i="128"/>
  <c r="C72" i="128"/>
  <c r="C66" i="128"/>
  <c r="C62" i="128"/>
  <c r="C60" i="128"/>
  <c r="C59" i="128"/>
  <c r="C58" i="128"/>
  <c r="C57" i="128"/>
  <c r="D54" i="128"/>
  <c r="C54" i="128"/>
  <c r="B54" i="128"/>
  <c r="C14" i="128"/>
  <c r="D5" i="128"/>
  <c r="C5" i="128"/>
  <c r="G294" i="70"/>
  <c r="G293" i="70"/>
  <c r="X292" i="70"/>
  <c r="Y292" i="70" s="1"/>
  <c r="J292" i="70"/>
  <c r="X289" i="70"/>
  <c r="L281" i="70"/>
  <c r="O281" i="70" s="1"/>
  <c r="R281" i="70" s="1"/>
  <c r="X278" i="70"/>
  <c r="X275" i="70"/>
  <c r="X256" i="70"/>
  <c r="X255" i="70" s="1"/>
  <c r="X239" i="70"/>
  <c r="L235" i="70"/>
  <c r="X234" i="70"/>
  <c r="L230" i="70"/>
  <c r="L225" i="70"/>
  <c r="L220" i="70"/>
  <c r="X219" i="70"/>
  <c r="X207" i="70"/>
  <c r="X204" i="70"/>
  <c r="L193" i="70"/>
  <c r="O193" i="70" s="1"/>
  <c r="R193" i="70" s="1"/>
  <c r="X183" i="70"/>
  <c r="H183" i="70"/>
  <c r="L169" i="70"/>
  <c r="O169" i="70" s="1"/>
  <c r="L165" i="70"/>
  <c r="O165" i="70" s="1"/>
  <c r="R165" i="70" s="1"/>
  <c r="U165" i="70" s="1"/>
  <c r="X143" i="70"/>
  <c r="L140" i="70"/>
  <c r="X139" i="70"/>
  <c r="L128" i="70"/>
  <c r="O128" i="70" s="1"/>
  <c r="R128" i="70" s="1"/>
  <c r="U128" i="70" s="1"/>
  <c r="X127" i="70"/>
  <c r="Y126" i="70"/>
  <c r="X126" i="70"/>
  <c r="X118" i="70"/>
  <c r="X111" i="70"/>
  <c r="L111" i="70"/>
  <c r="O111" i="70" s="1"/>
  <c r="R111" i="70" s="1"/>
  <c r="U111" i="70" s="1"/>
  <c r="X107" i="70"/>
  <c r="X95" i="70"/>
  <c r="X88" i="70"/>
  <c r="L66" i="70"/>
  <c r="O66" i="70" s="1"/>
  <c r="X50" i="70"/>
  <c r="X43" i="70" s="1"/>
  <c r="L49" i="70"/>
  <c r="X37" i="70"/>
  <c r="X34" i="70"/>
  <c r="X27" i="70"/>
  <c r="X19" i="70"/>
  <c r="X16" i="70"/>
  <c r="X13" i="70"/>
  <c r="X10" i="70"/>
  <c r="X7" i="70"/>
  <c r="L8" i="70"/>
  <c r="U281" i="70" l="1"/>
  <c r="V165" i="70"/>
  <c r="V111" i="70"/>
  <c r="Y193" i="70"/>
  <c r="U193" i="70"/>
  <c r="R169" i="70"/>
  <c r="U169" i="70" s="1"/>
  <c r="V128" i="70"/>
  <c r="Y165" i="70"/>
  <c r="Y111" i="70"/>
  <c r="S281" i="70"/>
  <c r="Y128" i="70"/>
  <c r="R66" i="70"/>
  <c r="S165" i="70"/>
  <c r="S193" i="70"/>
  <c r="S128" i="70"/>
  <c r="S111" i="70"/>
  <c r="J68" i="70"/>
  <c r="P281" i="70"/>
  <c r="P165" i="70"/>
  <c r="P66" i="70"/>
  <c r="P128" i="70"/>
  <c r="O235" i="70"/>
  <c r="O230" i="70"/>
  <c r="R230" i="70" s="1"/>
  <c r="U230" i="70" s="1"/>
  <c r="O8" i="70"/>
  <c r="R8" i="70" s="1"/>
  <c r="O225" i="70"/>
  <c r="R225" i="70" s="1"/>
  <c r="U225" i="70" s="1"/>
  <c r="O220" i="70"/>
  <c r="R220" i="70" s="1"/>
  <c r="U220" i="70" s="1"/>
  <c r="M49" i="70"/>
  <c r="O49" i="70"/>
  <c r="P111" i="70"/>
  <c r="O140" i="70"/>
  <c r="R140" i="70" s="1"/>
  <c r="X197" i="70"/>
  <c r="C10" i="128"/>
  <c r="C17" i="128"/>
  <c r="C13" i="128"/>
  <c r="L141" i="70"/>
  <c r="O141" i="70" s="1"/>
  <c r="L137" i="70"/>
  <c r="L166" i="70"/>
  <c r="M166" i="70" s="1"/>
  <c r="L171" i="70"/>
  <c r="O171" i="70" s="1"/>
  <c r="R171" i="70" s="1"/>
  <c r="U171" i="70" s="1"/>
  <c r="L194" i="70"/>
  <c r="O194" i="70" s="1"/>
  <c r="R194" i="70" s="1"/>
  <c r="M281" i="70"/>
  <c r="L155" i="70"/>
  <c r="O155" i="70" s="1"/>
  <c r="L266" i="70"/>
  <c r="O266" i="70" s="1"/>
  <c r="M66" i="70"/>
  <c r="L119" i="70"/>
  <c r="L261" i="70"/>
  <c r="O261" i="70" s="1"/>
  <c r="J101" i="70"/>
  <c r="L101" i="70"/>
  <c r="M140" i="70"/>
  <c r="M220" i="70"/>
  <c r="M165" i="70"/>
  <c r="M169" i="70"/>
  <c r="M193" i="70"/>
  <c r="J90" i="70"/>
  <c r="L90" i="70"/>
  <c r="M128" i="70"/>
  <c r="J201" i="70"/>
  <c r="L201" i="70"/>
  <c r="M235" i="70"/>
  <c r="M230" i="70"/>
  <c r="L7" i="70"/>
  <c r="M8" i="70"/>
  <c r="J104" i="70"/>
  <c r="L104" i="70"/>
  <c r="M225" i="70"/>
  <c r="M111" i="70"/>
  <c r="L247" i="70"/>
  <c r="O247" i="70" s="1"/>
  <c r="R247" i="70" s="1"/>
  <c r="L259" i="70"/>
  <c r="O259" i="70" s="1"/>
  <c r="R259" i="70" s="1"/>
  <c r="L48" i="70"/>
  <c r="O48" i="70" s="1"/>
  <c r="R48" i="70" s="1"/>
  <c r="U48" i="70" s="1"/>
  <c r="J137" i="70"/>
  <c r="L296" i="70"/>
  <c r="J87" i="70"/>
  <c r="L20" i="70"/>
  <c r="X22" i="70"/>
  <c r="G46" i="70"/>
  <c r="L51" i="70"/>
  <c r="L96" i="70"/>
  <c r="L236" i="70"/>
  <c r="O236" i="70" s="1"/>
  <c r="R236" i="70" s="1"/>
  <c r="U236" i="70" s="1"/>
  <c r="L240" i="70"/>
  <c r="L245" i="70"/>
  <c r="G38" i="70"/>
  <c r="L38" i="70"/>
  <c r="G63" i="70"/>
  <c r="L93" i="70"/>
  <c r="G105" i="70"/>
  <c r="L144" i="70"/>
  <c r="L195" i="70"/>
  <c r="L231" i="70"/>
  <c r="O231" i="70" s="1"/>
  <c r="R231" i="70" s="1"/>
  <c r="U231" i="70" s="1"/>
  <c r="L24" i="70"/>
  <c r="L35" i="70"/>
  <c r="L89" i="70"/>
  <c r="J141" i="70"/>
  <c r="L151" i="70"/>
  <c r="O151" i="70" s="1"/>
  <c r="J171" i="70"/>
  <c r="L205" i="70"/>
  <c r="L226" i="70"/>
  <c r="O226" i="70" s="1"/>
  <c r="R226" i="70" s="1"/>
  <c r="U226" i="70" s="1"/>
  <c r="G254" i="70"/>
  <c r="L17" i="70"/>
  <c r="G49" i="70"/>
  <c r="J49" i="70"/>
  <c r="G58" i="70"/>
  <c r="G118" i="70"/>
  <c r="G146" i="70"/>
  <c r="L146" i="70"/>
  <c r="O146" i="70" s="1"/>
  <c r="R146" i="70" s="1"/>
  <c r="U146" i="70" s="1"/>
  <c r="L221" i="70"/>
  <c r="O221" i="70" s="1"/>
  <c r="R221" i="70" s="1"/>
  <c r="U221" i="70" s="1"/>
  <c r="L279" i="70"/>
  <c r="G39" i="70"/>
  <c r="G142" i="70"/>
  <c r="G210" i="70"/>
  <c r="J266" i="70"/>
  <c r="L14" i="70"/>
  <c r="L28" i="70"/>
  <c r="Y53" i="70"/>
  <c r="G59" i="70"/>
  <c r="G69" i="70"/>
  <c r="G128" i="70"/>
  <c r="L267" i="70"/>
  <c r="L276" i="70"/>
  <c r="G66" i="70"/>
  <c r="J66" i="70"/>
  <c r="G119" i="70"/>
  <c r="J119" i="70"/>
  <c r="G134" i="70"/>
  <c r="L134" i="70"/>
  <c r="Y153" i="70"/>
  <c r="L11" i="70"/>
  <c r="J188" i="70"/>
  <c r="G211" i="70"/>
  <c r="G218" i="70"/>
  <c r="L272" i="70"/>
  <c r="O272" i="70" s="1"/>
  <c r="L277" i="70"/>
  <c r="O277" i="70" s="1"/>
  <c r="R277" i="70" s="1"/>
  <c r="G99" i="70"/>
  <c r="L99" i="70"/>
  <c r="G103" i="70"/>
  <c r="L103" i="70"/>
  <c r="G115" i="70"/>
  <c r="G135" i="70"/>
  <c r="J165" i="70"/>
  <c r="L174" i="70"/>
  <c r="O174" i="70" s="1"/>
  <c r="J261" i="70"/>
  <c r="J281" i="70"/>
  <c r="G8" i="70"/>
  <c r="G61" i="70"/>
  <c r="G120" i="70"/>
  <c r="L184" i="70"/>
  <c r="O184" i="70" s="1"/>
  <c r="R184" i="70" s="1"/>
  <c r="J189" i="70"/>
  <c r="L199" i="70"/>
  <c r="G100" i="70"/>
  <c r="L100" i="70"/>
  <c r="O100" i="70" s="1"/>
  <c r="R100" i="70" s="1"/>
  <c r="U100" i="70" s="1"/>
  <c r="V100" i="70" s="1"/>
  <c r="Y56" i="70"/>
  <c r="L108" i="70"/>
  <c r="J111" i="70"/>
  <c r="J155" i="70"/>
  <c r="J166" i="70"/>
  <c r="J194" i="70"/>
  <c r="L208" i="70"/>
  <c r="L257" i="70"/>
  <c r="G87" i="70"/>
  <c r="G80" i="70"/>
  <c r="L80" i="70"/>
  <c r="O80" i="70" s="1"/>
  <c r="G76" i="70"/>
  <c r="G77" i="70"/>
  <c r="G72" i="70"/>
  <c r="G73" i="70"/>
  <c r="G74" i="70"/>
  <c r="G18" i="70"/>
  <c r="X9" i="70"/>
  <c r="G271" i="70"/>
  <c r="G52" i="70"/>
  <c r="G165" i="70"/>
  <c r="G172" i="70"/>
  <c r="G62" i="70"/>
  <c r="G28" i="70"/>
  <c r="G60" i="70"/>
  <c r="G147" i="70"/>
  <c r="G161" i="70"/>
  <c r="G275" i="70"/>
  <c r="G89" i="70"/>
  <c r="G110" i="70"/>
  <c r="G174" i="70"/>
  <c r="G231" i="70"/>
  <c r="G202" i="70"/>
  <c r="G20" i="70"/>
  <c r="G193" i="70"/>
  <c r="G163" i="70"/>
  <c r="G269" i="70"/>
  <c r="G216" i="70"/>
  <c r="G212" i="70"/>
  <c r="G71" i="70"/>
  <c r="G21" i="70"/>
  <c r="G101" i="70"/>
  <c r="G104" i="70"/>
  <c r="G136" i="70"/>
  <c r="G200" i="70"/>
  <c r="G246" i="70"/>
  <c r="G83" i="70"/>
  <c r="G114" i="70"/>
  <c r="G236" i="70"/>
  <c r="G53" i="70"/>
  <c r="G79" i="70"/>
  <c r="G153" i="70"/>
  <c r="G188" i="70"/>
  <c r="G260" i="70"/>
  <c r="G48" i="70"/>
  <c r="G93" i="70"/>
  <c r="G192" i="70"/>
  <c r="G253" i="70"/>
  <c r="G265" i="70"/>
  <c r="G282" i="70"/>
  <c r="G16" i="70"/>
  <c r="G131" i="70"/>
  <c r="G185" i="70"/>
  <c r="G201" i="70"/>
  <c r="G226" i="70"/>
  <c r="G54" i="70"/>
  <c r="G84" i="70"/>
  <c r="G109" i="70"/>
  <c r="G162" i="70"/>
  <c r="G25" i="70"/>
  <c r="G27" i="70"/>
  <c r="G36" i="70"/>
  <c r="G44" i="70"/>
  <c r="G51" i="70"/>
  <c r="G151" i="70"/>
  <c r="G272" i="70"/>
  <c r="G276" i="70"/>
  <c r="G279" i="70"/>
  <c r="G17" i="70"/>
  <c r="G116" i="70"/>
  <c r="G186" i="70"/>
  <c r="G190" i="70"/>
  <c r="G215" i="70"/>
  <c r="G241" i="70"/>
  <c r="G11" i="70"/>
  <c r="G15" i="70"/>
  <c r="G155" i="70"/>
  <c r="G159" i="70"/>
  <c r="G249" i="70"/>
  <c r="G31" i="70"/>
  <c r="G132" i="70"/>
  <c r="G280" i="70"/>
  <c r="G82" i="70"/>
  <c r="G117" i="70"/>
  <c r="G221" i="70"/>
  <c r="G245" i="70"/>
  <c r="G262" i="70"/>
  <c r="G267" i="70"/>
  <c r="G12" i="70"/>
  <c r="G14" i="70"/>
  <c r="G30" i="70"/>
  <c r="G33" i="70"/>
  <c r="G45" i="70"/>
  <c r="G57" i="70"/>
  <c r="G90" i="70"/>
  <c r="G94" i="70"/>
  <c r="G111" i="70"/>
  <c r="G133" i="70"/>
  <c r="G148" i="70"/>
  <c r="G156" i="70"/>
  <c r="G167" i="70"/>
  <c r="G187" i="70"/>
  <c r="G203" i="70"/>
  <c r="G206" i="70"/>
  <c r="G225" i="70"/>
  <c r="G242" i="70"/>
  <c r="G251" i="70"/>
  <c r="G258" i="70"/>
  <c r="C23" i="128"/>
  <c r="G287" i="70"/>
  <c r="G233" i="70"/>
  <c r="G240" i="70"/>
  <c r="G24" i="70"/>
  <c r="G55" i="70"/>
  <c r="G85" i="70"/>
  <c r="G102" i="70"/>
  <c r="G108" i="70"/>
  <c r="G129" i="70"/>
  <c r="G140" i="70"/>
  <c r="G157" i="70"/>
  <c r="G173" i="70"/>
  <c r="G196" i="70"/>
  <c r="G199" i="70"/>
  <c r="G208" i="70"/>
  <c r="G247" i="70"/>
  <c r="G268" i="70"/>
  <c r="G296" i="70"/>
  <c r="C12" i="128"/>
  <c r="G213" i="70"/>
  <c r="G230" i="70"/>
  <c r="G259" i="70"/>
  <c r="G261" i="70"/>
  <c r="G263" i="70"/>
  <c r="G266" i="70"/>
  <c r="X6" i="70"/>
  <c r="G35" i="70"/>
  <c r="G64" i="70"/>
  <c r="G78" i="70"/>
  <c r="G81" i="70"/>
  <c r="X102" i="70"/>
  <c r="G112" i="70"/>
  <c r="G149" i="70"/>
  <c r="G171" i="70"/>
  <c r="G281" i="70"/>
  <c r="G288" i="70"/>
  <c r="G160" i="70"/>
  <c r="G166" i="70"/>
  <c r="G169" i="70"/>
  <c r="G191" i="70"/>
  <c r="G194" i="70"/>
  <c r="G205" i="70"/>
  <c r="G223" i="70"/>
  <c r="G238" i="70"/>
  <c r="G250" i="70"/>
  <c r="G257" i="70"/>
  <c r="C19" i="128"/>
  <c r="G13" i="70"/>
  <c r="G29" i="70"/>
  <c r="G32" i="70"/>
  <c r="G56" i="70"/>
  <c r="G75" i="70"/>
  <c r="G96" i="70"/>
  <c r="X110" i="70"/>
  <c r="G130" i="70"/>
  <c r="G141" i="70"/>
  <c r="G154" i="70"/>
  <c r="G158" i="70"/>
  <c r="G184" i="70"/>
  <c r="G189" i="70"/>
  <c r="G207" i="70"/>
  <c r="G209" i="70"/>
  <c r="G220" i="70"/>
  <c r="G235" i="70"/>
  <c r="G248" i="70"/>
  <c r="G286" i="70"/>
  <c r="G113" i="70"/>
  <c r="G137" i="70"/>
  <c r="G144" i="70"/>
  <c r="G195" i="70"/>
  <c r="G214" i="70"/>
  <c r="G228" i="70"/>
  <c r="G26" i="70"/>
  <c r="G40" i="70"/>
  <c r="X98" i="70"/>
  <c r="G107" i="70"/>
  <c r="G152" i="70"/>
  <c r="G170" i="70"/>
  <c r="G204" i="70"/>
  <c r="G274" i="70"/>
  <c r="G277" i="70"/>
  <c r="C8" i="128"/>
  <c r="C76" i="128"/>
  <c r="G70" i="70"/>
  <c r="G68" i="70"/>
  <c r="G292" i="70"/>
  <c r="G291" i="70"/>
  <c r="J291" i="70" s="1"/>
  <c r="L291" i="70" s="1"/>
  <c r="G289" i="70"/>
  <c r="G290" i="70"/>
  <c r="J290" i="70" s="1"/>
  <c r="L290" i="70" s="1"/>
  <c r="G283" i="70"/>
  <c r="G284" i="70"/>
  <c r="G285" i="70"/>
  <c r="C81" i="128"/>
  <c r="C80" i="128"/>
  <c r="X244" i="70"/>
  <c r="X243" i="70" s="1"/>
  <c r="C77" i="128"/>
  <c r="C75" i="128"/>
  <c r="C74" i="128"/>
  <c r="C73" i="128"/>
  <c r="X182" i="70"/>
  <c r="G178" i="70"/>
  <c r="J178" i="70" s="1"/>
  <c r="L178" i="70" s="1"/>
  <c r="G175" i="70"/>
  <c r="J175" i="70" s="1"/>
  <c r="L175" i="70" s="1"/>
  <c r="G179" i="70"/>
  <c r="J179" i="70" s="1"/>
  <c r="L179" i="70" s="1"/>
  <c r="G176" i="70"/>
  <c r="J176" i="70" s="1"/>
  <c r="L176" i="70" s="1"/>
  <c r="G180" i="70"/>
  <c r="J180" i="70" s="1"/>
  <c r="L180" i="70" s="1"/>
  <c r="G177" i="70"/>
  <c r="J177" i="70" s="1"/>
  <c r="L177" i="70" s="1"/>
  <c r="G181" i="70"/>
  <c r="J181" i="70" s="1"/>
  <c r="L181" i="70" s="1"/>
  <c r="C64" i="128"/>
  <c r="C68" i="128" s="1"/>
  <c r="C63" i="128"/>
  <c r="X138" i="70"/>
  <c r="C61" i="128"/>
  <c r="C56" i="128"/>
  <c r="U259" i="70" l="1"/>
  <c r="V259" i="70" s="1"/>
  <c r="Y247" i="70"/>
  <c r="U247" i="70"/>
  <c r="V247" i="70" s="1"/>
  <c r="U277" i="70"/>
  <c r="V277" i="70" s="1"/>
  <c r="U194" i="70"/>
  <c r="U192" i="70" s="1"/>
  <c r="V281" i="70"/>
  <c r="S171" i="70"/>
  <c r="V171" i="70"/>
  <c r="Y48" i="70"/>
  <c r="V146" i="70"/>
  <c r="Y66" i="70"/>
  <c r="U66" i="70"/>
  <c r="V66" i="70" s="1"/>
  <c r="Y226" i="70"/>
  <c r="V226" i="70"/>
  <c r="V220" i="70"/>
  <c r="V225" i="70"/>
  <c r="V169" i="70"/>
  <c r="Y8" i="70"/>
  <c r="U8" i="70"/>
  <c r="Y169" i="70"/>
  <c r="V230" i="70"/>
  <c r="V193" i="70"/>
  <c r="R235" i="70"/>
  <c r="U235" i="70" s="1"/>
  <c r="Y184" i="70"/>
  <c r="U184" i="70"/>
  <c r="R174" i="70"/>
  <c r="R151" i="70"/>
  <c r="U151" i="70" s="1"/>
  <c r="R272" i="70"/>
  <c r="Y221" i="70"/>
  <c r="V221" i="70"/>
  <c r="Y231" i="70"/>
  <c r="V231" i="70"/>
  <c r="Y236" i="70"/>
  <c r="V236" i="70"/>
  <c r="Y140" i="70"/>
  <c r="U140" i="70"/>
  <c r="S169" i="70"/>
  <c r="L68" i="70"/>
  <c r="M68" i="70" s="1"/>
  <c r="Y225" i="70"/>
  <c r="Y220" i="70"/>
  <c r="Y230" i="70"/>
  <c r="G270" i="70"/>
  <c r="L271" i="70"/>
  <c r="Y146" i="70"/>
  <c r="Y171" i="70"/>
  <c r="S66" i="70"/>
  <c r="R80" i="70"/>
  <c r="S277" i="70"/>
  <c r="Y277" i="70"/>
  <c r="S100" i="70"/>
  <c r="Y100" i="70"/>
  <c r="Y281" i="70"/>
  <c r="S146" i="70"/>
  <c r="S48" i="70"/>
  <c r="P155" i="70"/>
  <c r="R155" i="70"/>
  <c r="U155" i="70" s="1"/>
  <c r="V155" i="70" s="1"/>
  <c r="P226" i="70"/>
  <c r="S226" i="70"/>
  <c r="P261" i="70"/>
  <c r="R261" i="70"/>
  <c r="P194" i="70"/>
  <c r="Y194" i="70"/>
  <c r="S225" i="70"/>
  <c r="S8" i="70"/>
  <c r="R7" i="70"/>
  <c r="P141" i="70"/>
  <c r="R141" i="70"/>
  <c r="P259" i="70"/>
  <c r="S140" i="70"/>
  <c r="S230" i="70"/>
  <c r="S184" i="70"/>
  <c r="P174" i="70"/>
  <c r="P247" i="70"/>
  <c r="S247" i="70"/>
  <c r="P272" i="70"/>
  <c r="P221" i="70"/>
  <c r="S221" i="70"/>
  <c r="P231" i="70"/>
  <c r="S231" i="70"/>
  <c r="P236" i="70"/>
  <c r="S236" i="70"/>
  <c r="P49" i="70"/>
  <c r="R49" i="70"/>
  <c r="P266" i="70"/>
  <c r="R266" i="70"/>
  <c r="S220" i="70"/>
  <c r="O267" i="70"/>
  <c r="R267" i="70" s="1"/>
  <c r="G67" i="70"/>
  <c r="O296" i="70"/>
  <c r="P80" i="70"/>
  <c r="P171" i="70"/>
  <c r="O134" i="70"/>
  <c r="L139" i="70"/>
  <c r="O137" i="70"/>
  <c r="R137" i="70" s="1"/>
  <c r="U137" i="70" s="1"/>
  <c r="O257" i="70"/>
  <c r="R257" i="70" s="1"/>
  <c r="U257" i="70" s="1"/>
  <c r="P277" i="70"/>
  <c r="O279" i="70"/>
  <c r="R279" i="70" s="1"/>
  <c r="O245" i="70"/>
  <c r="O20" i="70"/>
  <c r="R20" i="70" s="1"/>
  <c r="O108" i="70"/>
  <c r="R108" i="70" s="1"/>
  <c r="P100" i="70"/>
  <c r="O276" i="70"/>
  <c r="O93" i="70"/>
  <c r="R93" i="70" s="1"/>
  <c r="O240" i="70"/>
  <c r="P220" i="70"/>
  <c r="P235" i="70"/>
  <c r="O208" i="70"/>
  <c r="R208" i="70" s="1"/>
  <c r="O11" i="70"/>
  <c r="R11" i="70" s="1"/>
  <c r="M119" i="70"/>
  <c r="O119" i="70"/>
  <c r="O166" i="70"/>
  <c r="R166" i="70" s="1"/>
  <c r="P225" i="70"/>
  <c r="O195" i="70"/>
  <c r="R195" i="70" s="1"/>
  <c r="M201" i="70"/>
  <c r="O201" i="70"/>
  <c r="O28" i="70"/>
  <c r="R28" i="70" s="1"/>
  <c r="P146" i="70"/>
  <c r="O17" i="70"/>
  <c r="R17" i="70" s="1"/>
  <c r="O89" i="70"/>
  <c r="R89" i="70" s="1"/>
  <c r="O38" i="70"/>
  <c r="R38" i="70" s="1"/>
  <c r="O96" i="70"/>
  <c r="M101" i="70"/>
  <c r="O101" i="70"/>
  <c r="O7" i="70"/>
  <c r="P8" i="70"/>
  <c r="O14" i="70"/>
  <c r="R14" i="70" s="1"/>
  <c r="O103" i="70"/>
  <c r="R103" i="70" s="1"/>
  <c r="M90" i="70"/>
  <c r="O90" i="70"/>
  <c r="O139" i="70"/>
  <c r="P140" i="70"/>
  <c r="P169" i="70"/>
  <c r="P193" i="70"/>
  <c r="O192" i="70"/>
  <c r="O205" i="70"/>
  <c r="R205" i="70" s="1"/>
  <c r="O35" i="70"/>
  <c r="R35" i="70" s="1"/>
  <c r="O144" i="70"/>
  <c r="O51" i="70"/>
  <c r="O99" i="70"/>
  <c r="R99" i="70" s="1"/>
  <c r="O24" i="70"/>
  <c r="R24" i="70" s="1"/>
  <c r="M104" i="70"/>
  <c r="O104" i="70"/>
  <c r="P230" i="70"/>
  <c r="O199" i="70"/>
  <c r="R199" i="70" s="1"/>
  <c r="O47" i="70"/>
  <c r="P48" i="70"/>
  <c r="M141" i="70"/>
  <c r="M137" i="70"/>
  <c r="M181" i="70"/>
  <c r="O181" i="70" s="1"/>
  <c r="P181" i="70" s="1"/>
  <c r="R181" i="70" s="1"/>
  <c r="M226" i="70"/>
  <c r="M179" i="70"/>
  <c r="O179" i="70" s="1"/>
  <c r="P179" i="70" s="1"/>
  <c r="R179" i="70" s="1"/>
  <c r="M266" i="70"/>
  <c r="M180" i="70"/>
  <c r="O180" i="70" s="1"/>
  <c r="P180" i="70" s="1"/>
  <c r="R180" i="70" s="1"/>
  <c r="M176" i="70"/>
  <c r="O176" i="70" s="1"/>
  <c r="P176" i="70" s="1"/>
  <c r="R176" i="70" s="1"/>
  <c r="M175" i="70"/>
  <c r="O175" i="70" s="1"/>
  <c r="P175" i="70" s="1"/>
  <c r="R175" i="70" s="1"/>
  <c r="M291" i="70"/>
  <c r="O291" i="70" s="1"/>
  <c r="P291" i="70" s="1"/>
  <c r="R291" i="70" s="1"/>
  <c r="M155" i="70"/>
  <c r="M178" i="70"/>
  <c r="O178" i="70" s="1"/>
  <c r="P178" i="70" s="1"/>
  <c r="R178" i="70" s="1"/>
  <c r="M272" i="70"/>
  <c r="M261" i="70"/>
  <c r="M194" i="70"/>
  <c r="M177" i="70"/>
  <c r="O177" i="70" s="1"/>
  <c r="P177" i="70" s="1"/>
  <c r="R177" i="70" s="1"/>
  <c r="M267" i="70"/>
  <c r="M221" i="70"/>
  <c r="M171" i="70"/>
  <c r="M231" i="70"/>
  <c r="M236" i="70"/>
  <c r="C9" i="128"/>
  <c r="C16" i="128"/>
  <c r="C11" i="128"/>
  <c r="L192" i="70"/>
  <c r="M296" i="70"/>
  <c r="L260" i="70"/>
  <c r="L249" i="70"/>
  <c r="O249" i="70" s="1"/>
  <c r="L87" i="70"/>
  <c r="J80" i="70"/>
  <c r="M80" i="70"/>
  <c r="J190" i="70"/>
  <c r="L190" i="70"/>
  <c r="O190" i="70" s="1"/>
  <c r="J131" i="70"/>
  <c r="L131" i="70"/>
  <c r="O131" i="70" s="1"/>
  <c r="J154" i="70"/>
  <c r="L154" i="70"/>
  <c r="O154" i="70" s="1"/>
  <c r="R154" i="70" s="1"/>
  <c r="U154" i="70" s="1"/>
  <c r="J44" i="70"/>
  <c r="L44" i="70"/>
  <c r="O44" i="70" s="1"/>
  <c r="R44" i="70" s="1"/>
  <c r="J280" i="70"/>
  <c r="L280" i="70"/>
  <c r="O280" i="70" s="1"/>
  <c r="J216" i="70"/>
  <c r="L216" i="70"/>
  <c r="O216" i="70" s="1"/>
  <c r="J94" i="70"/>
  <c r="L94" i="70"/>
  <c r="O94" i="70" s="1"/>
  <c r="M195" i="70"/>
  <c r="J109" i="70"/>
  <c r="L109" i="70"/>
  <c r="O109" i="70" s="1"/>
  <c r="J32" i="70"/>
  <c r="L32" i="70"/>
  <c r="O32" i="70" s="1"/>
  <c r="J78" i="70"/>
  <c r="L78" i="70"/>
  <c r="O78" i="70" s="1"/>
  <c r="J251" i="70"/>
  <c r="L251" i="70"/>
  <c r="O251" i="70" s="1"/>
  <c r="R251" i="70" s="1"/>
  <c r="J159" i="70"/>
  <c r="L159" i="70"/>
  <c r="O159" i="70" s="1"/>
  <c r="J288" i="70"/>
  <c r="L288" i="70"/>
  <c r="O288" i="70" s="1"/>
  <c r="J100" i="70"/>
  <c r="M100" i="70"/>
  <c r="J212" i="70"/>
  <c r="L212" i="70"/>
  <c r="O212" i="70" s="1"/>
  <c r="J149" i="70"/>
  <c r="L149" i="70"/>
  <c r="J30" i="70"/>
  <c r="L30" i="70"/>
  <c r="O30" i="70" s="1"/>
  <c r="J286" i="70"/>
  <c r="L286" i="70"/>
  <c r="O286" i="70" s="1"/>
  <c r="J158" i="70"/>
  <c r="L158" i="70"/>
  <c r="O158" i="70" s="1"/>
  <c r="J29" i="70"/>
  <c r="L29" i="70"/>
  <c r="O29" i="70" s="1"/>
  <c r="J173" i="70"/>
  <c r="L173" i="70"/>
  <c r="O173" i="70" s="1"/>
  <c r="R173" i="70" s="1"/>
  <c r="J81" i="70"/>
  <c r="L81" i="70"/>
  <c r="O81" i="70" s="1"/>
  <c r="J53" i="70"/>
  <c r="L53" i="70"/>
  <c r="J242" i="70"/>
  <c r="L242" i="70"/>
  <c r="O242" i="70" s="1"/>
  <c r="J172" i="70"/>
  <c r="L172" i="70"/>
  <c r="J39" i="70"/>
  <c r="L39" i="70"/>
  <c r="J162" i="70"/>
  <c r="L162" i="70"/>
  <c r="O162" i="70" s="1"/>
  <c r="J238" i="70"/>
  <c r="L238" i="70"/>
  <c r="O238" i="70" s="1"/>
  <c r="J274" i="70"/>
  <c r="L274" i="70"/>
  <c r="J54" i="70"/>
  <c r="L54" i="70"/>
  <c r="O54" i="70" s="1"/>
  <c r="J114" i="70"/>
  <c r="L114" i="70"/>
  <c r="O114" i="70" s="1"/>
  <c r="J59" i="70"/>
  <c r="L59" i="70"/>
  <c r="J187" i="70"/>
  <c r="L187" i="70"/>
  <c r="O187" i="70" s="1"/>
  <c r="J113" i="70"/>
  <c r="L113" i="70"/>
  <c r="O113" i="70" s="1"/>
  <c r="J196" i="70"/>
  <c r="L196" i="70"/>
  <c r="O196" i="70" s="1"/>
  <c r="J52" i="70"/>
  <c r="L52" i="70"/>
  <c r="O52" i="70" s="1"/>
  <c r="J241" i="70"/>
  <c r="L241" i="70"/>
  <c r="O241" i="70" s="1"/>
  <c r="J74" i="70"/>
  <c r="L74" i="70"/>
  <c r="J170" i="70"/>
  <c r="L170" i="70"/>
  <c r="O170" i="70" s="1"/>
  <c r="R170" i="70" s="1"/>
  <c r="J116" i="70"/>
  <c r="L116" i="70"/>
  <c r="O116" i="70" s="1"/>
  <c r="J135" i="70"/>
  <c r="L135" i="70"/>
  <c r="O135" i="70" s="1"/>
  <c r="J12" i="70"/>
  <c r="L12" i="70"/>
  <c r="O12" i="70" s="1"/>
  <c r="L275" i="70"/>
  <c r="M276" i="70"/>
  <c r="J206" i="70"/>
  <c r="L206" i="70"/>
  <c r="O206" i="70" s="1"/>
  <c r="J156" i="70"/>
  <c r="L156" i="70"/>
  <c r="O156" i="70" s="1"/>
  <c r="M89" i="70"/>
  <c r="L88" i="70"/>
  <c r="J191" i="70"/>
  <c r="L191" i="70"/>
  <c r="O191" i="70" s="1"/>
  <c r="J105" i="70"/>
  <c r="L105" i="70"/>
  <c r="O105" i="70" s="1"/>
  <c r="M51" i="70"/>
  <c r="J47" i="70"/>
  <c r="J284" i="70"/>
  <c r="L284" i="70"/>
  <c r="O284" i="70" s="1"/>
  <c r="M257" i="70"/>
  <c r="J83" i="70"/>
  <c r="L83" i="70"/>
  <c r="O83" i="70" s="1"/>
  <c r="M199" i="70"/>
  <c r="J130" i="70"/>
  <c r="L130" i="70"/>
  <c r="O130" i="70" s="1"/>
  <c r="J268" i="70"/>
  <c r="L268" i="70"/>
  <c r="O268" i="70" s="1"/>
  <c r="R268" i="70" s="1"/>
  <c r="J277" i="70"/>
  <c r="M277" i="70"/>
  <c r="J148" i="70"/>
  <c r="L148" i="70"/>
  <c r="O148" i="70" s="1"/>
  <c r="M11" i="70"/>
  <c r="J163" i="70"/>
  <c r="L163" i="70"/>
  <c r="O163" i="70" s="1"/>
  <c r="M28" i="70"/>
  <c r="J228" i="70"/>
  <c r="L228" i="70"/>
  <c r="O228" i="70" s="1"/>
  <c r="J157" i="70"/>
  <c r="L157" i="70"/>
  <c r="O157" i="70" s="1"/>
  <c r="J36" i="70"/>
  <c r="L36" i="70"/>
  <c r="O36" i="70" s="1"/>
  <c r="M146" i="70"/>
  <c r="J33" i="70"/>
  <c r="L33" i="70"/>
  <c r="O33" i="70" s="1"/>
  <c r="J200" i="70"/>
  <c r="L200" i="70"/>
  <c r="J296" i="70"/>
  <c r="J48" i="70"/>
  <c r="J203" i="70"/>
  <c r="L203" i="70"/>
  <c r="O203" i="70" s="1"/>
  <c r="M290" i="70"/>
  <c r="O290" i="70" s="1"/>
  <c r="L289" i="70"/>
  <c r="J73" i="70"/>
  <c r="L73" i="70"/>
  <c r="J115" i="70"/>
  <c r="L115" i="70"/>
  <c r="O115" i="70" s="1"/>
  <c r="J147" i="70"/>
  <c r="L147" i="70"/>
  <c r="M151" i="70"/>
  <c r="J85" i="70"/>
  <c r="L85" i="70"/>
  <c r="O85" i="70" s="1"/>
  <c r="J167" i="70"/>
  <c r="L167" i="70"/>
  <c r="M93" i="70"/>
  <c r="J263" i="70"/>
  <c r="L263" i="70"/>
  <c r="O263" i="70" s="1"/>
  <c r="R263" i="70" s="1"/>
  <c r="J46" i="70"/>
  <c r="L46" i="70"/>
  <c r="O46" i="70" s="1"/>
  <c r="J283" i="70"/>
  <c r="L283" i="70"/>
  <c r="O283" i="70" s="1"/>
  <c r="M108" i="70"/>
  <c r="J282" i="70"/>
  <c r="L282" i="70"/>
  <c r="J45" i="70"/>
  <c r="L45" i="70"/>
  <c r="O45" i="70" s="1"/>
  <c r="J120" i="70"/>
  <c r="L120" i="70"/>
  <c r="O120" i="70" s="1"/>
  <c r="J129" i="70"/>
  <c r="L129" i="70"/>
  <c r="O129" i="70" s="1"/>
  <c r="R129" i="70" s="1"/>
  <c r="U129" i="70" s="1"/>
  <c r="J153" i="70"/>
  <c r="L153" i="70"/>
  <c r="O153" i="70" s="1"/>
  <c r="M14" i="70"/>
  <c r="J215" i="70"/>
  <c r="L215" i="70"/>
  <c r="O215" i="70" s="1"/>
  <c r="J152" i="70"/>
  <c r="L152" i="70"/>
  <c r="J25" i="70"/>
  <c r="L25" i="70"/>
  <c r="O25" i="70" s="1"/>
  <c r="M279" i="70"/>
  <c r="J118" i="70"/>
  <c r="L118" i="70"/>
  <c r="O118" i="70" s="1"/>
  <c r="J21" i="70"/>
  <c r="L21" i="70"/>
  <c r="O21" i="70" s="1"/>
  <c r="R21" i="70" s="1"/>
  <c r="U21" i="70" s="1"/>
  <c r="V21" i="70" s="1"/>
  <c r="J265" i="70"/>
  <c r="L265" i="70"/>
  <c r="O265" i="70" s="1"/>
  <c r="J246" i="70"/>
  <c r="L246" i="70"/>
  <c r="O246" i="70" s="1"/>
  <c r="R246" i="70" s="1"/>
  <c r="U246" i="70" s="1"/>
  <c r="J185" i="70"/>
  <c r="L185" i="70"/>
  <c r="O185" i="70" s="1"/>
  <c r="J72" i="70"/>
  <c r="L72" i="70"/>
  <c r="J213" i="70"/>
  <c r="L213" i="70"/>
  <c r="O213" i="70" s="1"/>
  <c r="J160" i="70"/>
  <c r="L160" i="70"/>
  <c r="O160" i="70" s="1"/>
  <c r="R160" i="70" s="1"/>
  <c r="M103" i="70"/>
  <c r="L102" i="70"/>
  <c r="J40" i="70"/>
  <c r="L40" i="70"/>
  <c r="O40" i="70" s="1"/>
  <c r="J214" i="70"/>
  <c r="L214" i="70"/>
  <c r="O214" i="70" s="1"/>
  <c r="J79" i="70"/>
  <c r="L79" i="70"/>
  <c r="O79" i="70" s="1"/>
  <c r="J161" i="70"/>
  <c r="L161" i="70"/>
  <c r="O161" i="70" s="1"/>
  <c r="R161" i="70" s="1"/>
  <c r="U161" i="70" s="1"/>
  <c r="J63" i="70"/>
  <c r="L63" i="70"/>
  <c r="J253" i="70"/>
  <c r="L253" i="70"/>
  <c r="O253" i="70" s="1"/>
  <c r="R253" i="70" s="1"/>
  <c r="J285" i="70"/>
  <c r="L285" i="70"/>
  <c r="O285" i="70" s="1"/>
  <c r="J62" i="70"/>
  <c r="L62" i="70"/>
  <c r="O62" i="70" s="1"/>
  <c r="J269" i="70"/>
  <c r="L269" i="70"/>
  <c r="O269" i="70" s="1"/>
  <c r="J71" i="70"/>
  <c r="L71" i="70"/>
  <c r="O71" i="70" s="1"/>
  <c r="J250" i="70"/>
  <c r="L250" i="70"/>
  <c r="O250" i="70" s="1"/>
  <c r="J218" i="70"/>
  <c r="L218" i="70"/>
  <c r="O218" i="70" s="1"/>
  <c r="R218" i="70" s="1"/>
  <c r="U218" i="70" s="1"/>
  <c r="B72" i="128" s="1"/>
  <c r="J70" i="70"/>
  <c r="L70" i="70"/>
  <c r="O70" i="70" s="1"/>
  <c r="J134" i="70"/>
  <c r="M134" i="70"/>
  <c r="J75" i="70"/>
  <c r="L75" i="70"/>
  <c r="O75" i="70" s="1"/>
  <c r="J210" i="70"/>
  <c r="L210" i="70"/>
  <c r="J142" i="70"/>
  <c r="L142" i="70"/>
  <c r="O142" i="70" s="1"/>
  <c r="J18" i="70"/>
  <c r="L18" i="70"/>
  <c r="J233" i="70"/>
  <c r="L233" i="70"/>
  <c r="O233" i="70" s="1"/>
  <c r="J64" i="70"/>
  <c r="L64" i="70"/>
  <c r="O64" i="70" s="1"/>
  <c r="M17" i="70"/>
  <c r="J258" i="70"/>
  <c r="L258" i="70"/>
  <c r="O258" i="70" s="1"/>
  <c r="R258" i="70" s="1"/>
  <c r="U258" i="70" s="1"/>
  <c r="M20" i="70"/>
  <c r="J77" i="70"/>
  <c r="L77" i="70"/>
  <c r="M208" i="70"/>
  <c r="M184" i="70"/>
  <c r="M99" i="70"/>
  <c r="L98" i="70"/>
  <c r="J26" i="70"/>
  <c r="L26" i="70"/>
  <c r="O26" i="70" s="1"/>
  <c r="J248" i="70"/>
  <c r="L248" i="70"/>
  <c r="O248" i="70" s="1"/>
  <c r="M205" i="70"/>
  <c r="J132" i="70"/>
  <c r="L132" i="70"/>
  <c r="O132" i="70" s="1"/>
  <c r="M35" i="70"/>
  <c r="M144" i="70"/>
  <c r="L143" i="70"/>
  <c r="J57" i="70"/>
  <c r="L57" i="70"/>
  <c r="O57" i="70" s="1"/>
  <c r="M245" i="70"/>
  <c r="M96" i="70"/>
  <c r="L95" i="70"/>
  <c r="J56" i="70"/>
  <c r="L56" i="70"/>
  <c r="J262" i="70"/>
  <c r="L262" i="70"/>
  <c r="O262" i="70" s="1"/>
  <c r="R262" i="70" s="1"/>
  <c r="J287" i="70"/>
  <c r="L287" i="70"/>
  <c r="J61" i="70"/>
  <c r="L61" i="70"/>
  <c r="J174" i="70"/>
  <c r="M174" i="70"/>
  <c r="J211" i="70"/>
  <c r="L211" i="70"/>
  <c r="J60" i="70"/>
  <c r="L60" i="70"/>
  <c r="O60" i="70" s="1"/>
  <c r="J69" i="70"/>
  <c r="L69" i="70"/>
  <c r="J202" i="70"/>
  <c r="L202" i="70"/>
  <c r="O202" i="70" s="1"/>
  <c r="J133" i="70"/>
  <c r="L133" i="70"/>
  <c r="O133" i="70" s="1"/>
  <c r="J58" i="70"/>
  <c r="L58" i="70"/>
  <c r="J254" i="70"/>
  <c r="L254" i="70"/>
  <c r="J259" i="70"/>
  <c r="M259" i="70"/>
  <c r="J31" i="70"/>
  <c r="L31" i="70"/>
  <c r="O31" i="70" s="1"/>
  <c r="J55" i="70"/>
  <c r="L55" i="70"/>
  <c r="O55" i="70" s="1"/>
  <c r="R55" i="70" s="1"/>
  <c r="U55" i="70" s="1"/>
  <c r="J76" i="70"/>
  <c r="L76" i="70"/>
  <c r="J136" i="70"/>
  <c r="L136" i="70"/>
  <c r="J82" i="70"/>
  <c r="L82" i="70"/>
  <c r="O82" i="70" s="1"/>
  <c r="J15" i="70"/>
  <c r="L15" i="70"/>
  <c r="O15" i="70" s="1"/>
  <c r="J223" i="70"/>
  <c r="L223" i="70"/>
  <c r="O223" i="70" s="1"/>
  <c r="J186" i="70"/>
  <c r="L186" i="70"/>
  <c r="J112" i="70"/>
  <c r="L112" i="70"/>
  <c r="M24" i="70"/>
  <c r="J209" i="70"/>
  <c r="L209" i="70"/>
  <c r="O209" i="70" s="1"/>
  <c r="J117" i="70"/>
  <c r="L117" i="70"/>
  <c r="O117" i="70" s="1"/>
  <c r="M38" i="70"/>
  <c r="M240" i="70"/>
  <c r="J84" i="70"/>
  <c r="L84" i="70"/>
  <c r="O84" i="70" s="1"/>
  <c r="J247" i="70"/>
  <c r="M247" i="70"/>
  <c r="J199" i="70"/>
  <c r="J99" i="70"/>
  <c r="J98" i="70"/>
  <c r="J276" i="70"/>
  <c r="J275" i="70"/>
  <c r="X42" i="70"/>
  <c r="J235" i="70"/>
  <c r="J234" i="70"/>
  <c r="J271" i="70"/>
  <c r="J146" i="70"/>
  <c r="J231" i="70"/>
  <c r="J88" i="70"/>
  <c r="J89" i="70"/>
  <c r="J245" i="70"/>
  <c r="J140" i="70"/>
  <c r="J193" i="70"/>
  <c r="J192" i="70"/>
  <c r="J8" i="70"/>
  <c r="M7" i="70"/>
  <c r="J267" i="70"/>
  <c r="J28" i="70"/>
  <c r="J27" i="70"/>
  <c r="J226" i="70"/>
  <c r="J108" i="70"/>
  <c r="J107" i="70"/>
  <c r="J11" i="70"/>
  <c r="J249" i="70"/>
  <c r="J279" i="70"/>
  <c r="J278" i="70"/>
  <c r="J225" i="70"/>
  <c r="J224" i="70"/>
  <c r="J144" i="70"/>
  <c r="J143" i="70"/>
  <c r="J20" i="70"/>
  <c r="J19" i="70"/>
  <c r="J260" i="70"/>
  <c r="J128" i="70"/>
  <c r="J127" i="70"/>
  <c r="J13" i="70"/>
  <c r="J14" i="70"/>
  <c r="J220" i="70"/>
  <c r="J219" i="70"/>
  <c r="J151" i="70"/>
  <c r="J150" i="70"/>
  <c r="J240" i="70"/>
  <c r="J239" i="70"/>
  <c r="J95" i="70"/>
  <c r="J96" i="70"/>
  <c r="J208" i="70"/>
  <c r="J207" i="70"/>
  <c r="J272" i="70"/>
  <c r="J16" i="70"/>
  <c r="J17" i="70"/>
  <c r="J37" i="70"/>
  <c r="J38" i="70"/>
  <c r="J93" i="70"/>
  <c r="J184" i="70"/>
  <c r="J183" i="70"/>
  <c r="J236" i="70"/>
  <c r="J257" i="70"/>
  <c r="J110" i="70"/>
  <c r="J221" i="70"/>
  <c r="J195" i="70"/>
  <c r="J168" i="70"/>
  <c r="J169" i="70"/>
  <c r="J204" i="70"/>
  <c r="J205" i="70"/>
  <c r="J34" i="70"/>
  <c r="J35" i="70"/>
  <c r="J230" i="70"/>
  <c r="J229" i="70"/>
  <c r="G47" i="70"/>
  <c r="J102" i="70"/>
  <c r="J103" i="70"/>
  <c r="J24" i="70"/>
  <c r="J51" i="70"/>
  <c r="J289" i="70"/>
  <c r="G278" i="70"/>
  <c r="G183" i="70"/>
  <c r="G224" i="70"/>
  <c r="G244" i="70"/>
  <c r="G182" i="70"/>
  <c r="G143" i="70"/>
  <c r="G88" i="70"/>
  <c r="G98" i="70"/>
  <c r="X91" i="70"/>
  <c r="C22" i="128"/>
  <c r="G219" i="70"/>
  <c r="G50" i="70"/>
  <c r="G95" i="70"/>
  <c r="G92" i="70"/>
  <c r="G234" i="70"/>
  <c r="G37" i="70"/>
  <c r="G139" i="70"/>
  <c r="G138" i="70"/>
  <c r="G10" i="70"/>
  <c r="G7" i="70"/>
  <c r="G34" i="70"/>
  <c r="G19" i="70"/>
  <c r="C7" i="128"/>
  <c r="G127" i="70"/>
  <c r="G168" i="70"/>
  <c r="G256" i="70"/>
  <c r="G239" i="70"/>
  <c r="G198" i="70"/>
  <c r="G150" i="70"/>
  <c r="G229" i="70"/>
  <c r="G23" i="70"/>
  <c r="G243" i="70"/>
  <c r="L41" i="70"/>
  <c r="C79" i="128"/>
  <c r="C70" i="128"/>
  <c r="C69" i="128"/>
  <c r="G164" i="70"/>
  <c r="U253" i="70" l="1"/>
  <c r="V253" i="70" s="1"/>
  <c r="U174" i="70"/>
  <c r="V174" i="70" s="1"/>
  <c r="U160" i="70"/>
  <c r="V160" i="70" s="1"/>
  <c r="U173" i="70"/>
  <c r="V173" i="70" s="1"/>
  <c r="U44" i="70"/>
  <c r="V44" i="70" s="1"/>
  <c r="O68" i="70"/>
  <c r="Y174" i="70"/>
  <c r="V194" i="70"/>
  <c r="U262" i="70"/>
  <c r="V262" i="70" s="1"/>
  <c r="U263" i="70"/>
  <c r="V263" i="70" s="1"/>
  <c r="V137" i="70"/>
  <c r="B60" i="128"/>
  <c r="D60" i="128" s="1"/>
  <c r="U266" i="70"/>
  <c r="V266" i="70" s="1"/>
  <c r="U268" i="70"/>
  <c r="V268" i="70" s="1"/>
  <c r="S235" i="70"/>
  <c r="S174" i="70"/>
  <c r="U261" i="70"/>
  <c r="V261" i="70" s="1"/>
  <c r="U251" i="70"/>
  <c r="V251" i="70" s="1"/>
  <c r="U272" i="70"/>
  <c r="V272" i="70" s="1"/>
  <c r="V218" i="70"/>
  <c r="R144" i="70"/>
  <c r="U144" i="70" s="1"/>
  <c r="Y195" i="70"/>
  <c r="U195" i="70"/>
  <c r="V55" i="70"/>
  <c r="Y35" i="70"/>
  <c r="U35" i="70"/>
  <c r="Y108" i="70"/>
  <c r="U108" i="70"/>
  <c r="S80" i="70"/>
  <c r="U80" i="70"/>
  <c r="V80" i="70" s="1"/>
  <c r="Y170" i="70"/>
  <c r="U170" i="70"/>
  <c r="Y205" i="70"/>
  <c r="U205" i="70"/>
  <c r="Y166" i="70"/>
  <c r="U166" i="70"/>
  <c r="Y20" i="70"/>
  <c r="U20" i="70"/>
  <c r="Y272" i="70"/>
  <c r="R223" i="70"/>
  <c r="U223" i="70" s="1"/>
  <c r="R245" i="70"/>
  <c r="U245" i="70" s="1"/>
  <c r="Y161" i="70"/>
  <c r="V161" i="70"/>
  <c r="V129" i="70"/>
  <c r="Y154" i="70"/>
  <c r="V154" i="70"/>
  <c r="R96" i="70"/>
  <c r="U96" i="70" s="1"/>
  <c r="Y279" i="70"/>
  <c r="U279" i="70"/>
  <c r="Y267" i="70"/>
  <c r="U267" i="70"/>
  <c r="V267" i="70" s="1"/>
  <c r="V151" i="70"/>
  <c r="Y17" i="70"/>
  <c r="U17" i="70"/>
  <c r="Y258" i="70"/>
  <c r="V258" i="70"/>
  <c r="Y199" i="70"/>
  <c r="U199" i="70"/>
  <c r="Y38" i="70"/>
  <c r="U38" i="70"/>
  <c r="Y11" i="70"/>
  <c r="U11" i="70"/>
  <c r="R139" i="70"/>
  <c r="Y139" i="70" s="1"/>
  <c r="U141" i="70"/>
  <c r="V141" i="70" s="1"/>
  <c r="V140" i="70"/>
  <c r="U139" i="70"/>
  <c r="B61" i="128" s="1"/>
  <c r="Y151" i="70"/>
  <c r="V8" i="70"/>
  <c r="U7" i="70"/>
  <c r="B8" i="128" s="1"/>
  <c r="Y89" i="70"/>
  <c r="U89" i="70"/>
  <c r="Y208" i="70"/>
  <c r="U208" i="70"/>
  <c r="Y257" i="70"/>
  <c r="S272" i="70"/>
  <c r="V48" i="70"/>
  <c r="Y24" i="70"/>
  <c r="U24" i="70"/>
  <c r="Y28" i="70"/>
  <c r="U28" i="70"/>
  <c r="R240" i="70"/>
  <c r="U240" i="70" s="1"/>
  <c r="R52" i="70"/>
  <c r="S52" i="70" s="1"/>
  <c r="Y246" i="70"/>
  <c r="V246" i="70"/>
  <c r="Y99" i="70"/>
  <c r="U99" i="70"/>
  <c r="Y103" i="70"/>
  <c r="U103" i="70"/>
  <c r="Y93" i="70"/>
  <c r="U93" i="70"/>
  <c r="S49" i="70"/>
  <c r="U49" i="70"/>
  <c r="V49" i="70" s="1"/>
  <c r="S151" i="70"/>
  <c r="V184" i="70"/>
  <c r="R51" i="70"/>
  <c r="U51" i="70" s="1"/>
  <c r="Y14" i="70"/>
  <c r="U14" i="70"/>
  <c r="R276" i="70"/>
  <c r="U276" i="70" s="1"/>
  <c r="Y235" i="70"/>
  <c r="J270" i="70"/>
  <c r="L270" i="70"/>
  <c r="O271" i="70"/>
  <c r="R271" i="70" s="1"/>
  <c r="U271" i="70" s="1"/>
  <c r="M271" i="70"/>
  <c r="L92" i="70"/>
  <c r="M139" i="70"/>
  <c r="Y129" i="70"/>
  <c r="R249" i="70"/>
  <c r="U249" i="70" s="1"/>
  <c r="D8" i="128"/>
  <c r="Y7" i="70"/>
  <c r="S178" i="70"/>
  <c r="U178" i="70" s="1"/>
  <c r="V178" i="70" s="1"/>
  <c r="Y178" i="70"/>
  <c r="S176" i="70"/>
  <c r="U176" i="70" s="1"/>
  <c r="V176" i="70" s="1"/>
  <c r="Y176" i="70"/>
  <c r="S181" i="70"/>
  <c r="U181" i="70" s="1"/>
  <c r="V181" i="70" s="1"/>
  <c r="Y181" i="70"/>
  <c r="S180" i="70"/>
  <c r="U180" i="70" s="1"/>
  <c r="V180" i="70" s="1"/>
  <c r="Y180" i="70"/>
  <c r="S261" i="70"/>
  <c r="Y261" i="70"/>
  <c r="D61" i="128"/>
  <c r="Y218" i="70"/>
  <c r="D72" i="128"/>
  <c r="S179" i="70"/>
  <c r="U179" i="70" s="1"/>
  <c r="V179" i="70" s="1"/>
  <c r="Y179" i="70"/>
  <c r="S259" i="70"/>
  <c r="Y259" i="70"/>
  <c r="S291" i="70"/>
  <c r="U291" i="70" s="1"/>
  <c r="V291" i="70" s="1"/>
  <c r="Y291" i="70"/>
  <c r="Y137" i="70"/>
  <c r="S266" i="70"/>
  <c r="Y266" i="70"/>
  <c r="S155" i="70"/>
  <c r="Y155" i="70"/>
  <c r="R153" i="70"/>
  <c r="S175" i="70"/>
  <c r="U175" i="70" s="1"/>
  <c r="V175" i="70" s="1"/>
  <c r="Y175" i="70"/>
  <c r="S141" i="70"/>
  <c r="Y141" i="70"/>
  <c r="S177" i="70"/>
  <c r="U177" i="70" s="1"/>
  <c r="V177" i="70" s="1"/>
  <c r="Y177" i="70"/>
  <c r="L67" i="70"/>
  <c r="S218" i="70"/>
  <c r="P253" i="70"/>
  <c r="P265" i="70"/>
  <c r="R265" i="70"/>
  <c r="P251" i="70"/>
  <c r="S194" i="70"/>
  <c r="R192" i="70"/>
  <c r="V192" i="70" s="1"/>
  <c r="P55" i="70"/>
  <c r="P202" i="70"/>
  <c r="R202" i="70"/>
  <c r="P283" i="70"/>
  <c r="R283" i="70"/>
  <c r="U283" i="70" s="1"/>
  <c r="V283" i="70" s="1"/>
  <c r="P116" i="70"/>
  <c r="R116" i="70"/>
  <c r="U116" i="70" s="1"/>
  <c r="V116" i="70" s="1"/>
  <c r="P113" i="70"/>
  <c r="R113" i="70"/>
  <c r="U113" i="70" s="1"/>
  <c r="V113" i="70" s="1"/>
  <c r="P238" i="70"/>
  <c r="R238" i="70"/>
  <c r="R234" i="70" s="1"/>
  <c r="P81" i="70"/>
  <c r="R81" i="70"/>
  <c r="U81" i="70" s="1"/>
  <c r="V81" i="70" s="1"/>
  <c r="P280" i="70"/>
  <c r="R280" i="70"/>
  <c r="S199" i="70"/>
  <c r="S103" i="70"/>
  <c r="S89" i="70"/>
  <c r="S166" i="70"/>
  <c r="P134" i="70"/>
  <c r="R134" i="70"/>
  <c r="U134" i="70" s="1"/>
  <c r="P84" i="70"/>
  <c r="R84" i="70"/>
  <c r="U84" i="70" s="1"/>
  <c r="V84" i="70" s="1"/>
  <c r="P142" i="70"/>
  <c r="R142" i="70"/>
  <c r="P250" i="70"/>
  <c r="R250" i="70"/>
  <c r="U250" i="70" s="1"/>
  <c r="V250" i="70" s="1"/>
  <c r="P160" i="70"/>
  <c r="P21" i="70"/>
  <c r="R19" i="70"/>
  <c r="P163" i="70"/>
  <c r="R163" i="70"/>
  <c r="U163" i="70" s="1"/>
  <c r="V163" i="70" s="1"/>
  <c r="P83" i="70"/>
  <c r="R83" i="70"/>
  <c r="U83" i="70" s="1"/>
  <c r="V83" i="70" s="1"/>
  <c r="P78" i="70"/>
  <c r="R78" i="70"/>
  <c r="U78" i="70" s="1"/>
  <c r="V78" i="70" s="1"/>
  <c r="S35" i="70"/>
  <c r="S93" i="70"/>
  <c r="P223" i="70"/>
  <c r="P31" i="70"/>
  <c r="R31" i="70"/>
  <c r="U31" i="70" s="1"/>
  <c r="V31" i="70" s="1"/>
  <c r="P262" i="70"/>
  <c r="P132" i="70"/>
  <c r="R132" i="70"/>
  <c r="U132" i="70" s="1"/>
  <c r="V132" i="70" s="1"/>
  <c r="P46" i="70"/>
  <c r="R46" i="70"/>
  <c r="U46" i="70" s="1"/>
  <c r="V46" i="70" s="1"/>
  <c r="P156" i="70"/>
  <c r="R156" i="70"/>
  <c r="U156" i="70" s="1"/>
  <c r="V156" i="70" s="1"/>
  <c r="S170" i="70"/>
  <c r="R168" i="70"/>
  <c r="P187" i="70"/>
  <c r="R187" i="70"/>
  <c r="U187" i="70" s="1"/>
  <c r="V187" i="70" s="1"/>
  <c r="P162" i="70"/>
  <c r="R162" i="70"/>
  <c r="U162" i="70" s="1"/>
  <c r="V162" i="70" s="1"/>
  <c r="P173" i="70"/>
  <c r="P212" i="70"/>
  <c r="R212" i="70"/>
  <c r="U212" i="70" s="1"/>
  <c r="V212" i="70" s="1"/>
  <c r="P44" i="70"/>
  <c r="S14" i="70"/>
  <c r="S17" i="70"/>
  <c r="P119" i="70"/>
  <c r="R119" i="70"/>
  <c r="U119" i="70" s="1"/>
  <c r="V119" i="70" s="1"/>
  <c r="S279" i="70"/>
  <c r="S139" i="70"/>
  <c r="J67" i="70"/>
  <c r="P71" i="70"/>
  <c r="R71" i="70"/>
  <c r="U71" i="70" s="1"/>
  <c r="V71" i="70" s="1"/>
  <c r="P161" i="70"/>
  <c r="S161" i="70"/>
  <c r="P213" i="70"/>
  <c r="R213" i="70"/>
  <c r="U213" i="70" s="1"/>
  <c r="V213" i="70" s="1"/>
  <c r="P118" i="70"/>
  <c r="R118" i="70"/>
  <c r="U118" i="70" s="1"/>
  <c r="V118" i="70" s="1"/>
  <c r="S129" i="70"/>
  <c r="P115" i="70"/>
  <c r="R115" i="70"/>
  <c r="U115" i="70" s="1"/>
  <c r="V115" i="70" s="1"/>
  <c r="P33" i="70"/>
  <c r="R33" i="70"/>
  <c r="U33" i="70" s="1"/>
  <c r="V33" i="70" s="1"/>
  <c r="P32" i="70"/>
  <c r="R32" i="70"/>
  <c r="U32" i="70" s="1"/>
  <c r="V32" i="70" s="1"/>
  <c r="P104" i="70"/>
  <c r="R104" i="70"/>
  <c r="S205" i="70"/>
  <c r="P296" i="70"/>
  <c r="R296" i="70"/>
  <c r="U296" i="70" s="1"/>
  <c r="P15" i="70"/>
  <c r="R15" i="70"/>
  <c r="P60" i="70"/>
  <c r="R60" i="70"/>
  <c r="U60" i="70" s="1"/>
  <c r="V60" i="70" s="1"/>
  <c r="P258" i="70"/>
  <c r="S258" i="70"/>
  <c r="P263" i="70"/>
  <c r="P148" i="70"/>
  <c r="R148" i="70"/>
  <c r="U148" i="70" s="1"/>
  <c r="V148" i="70" s="1"/>
  <c r="P284" i="70"/>
  <c r="R284" i="70"/>
  <c r="U284" i="70" s="1"/>
  <c r="V284" i="70" s="1"/>
  <c r="P206" i="70"/>
  <c r="R206" i="70"/>
  <c r="P29" i="70"/>
  <c r="R29" i="70"/>
  <c r="U29" i="70" s="1"/>
  <c r="V29" i="70" s="1"/>
  <c r="P154" i="70"/>
  <c r="S154" i="70"/>
  <c r="S11" i="70"/>
  <c r="P117" i="70"/>
  <c r="R117" i="70"/>
  <c r="U117" i="70" s="1"/>
  <c r="V117" i="70" s="1"/>
  <c r="P248" i="70"/>
  <c r="R248" i="70"/>
  <c r="U248" i="70" s="1"/>
  <c r="V248" i="70" s="1"/>
  <c r="P75" i="70"/>
  <c r="R75" i="70"/>
  <c r="U75" i="70" s="1"/>
  <c r="V75" i="70" s="1"/>
  <c r="P269" i="70"/>
  <c r="R269" i="70"/>
  <c r="U269" i="70" s="1"/>
  <c r="V269" i="70" s="1"/>
  <c r="P79" i="70"/>
  <c r="R79" i="70"/>
  <c r="U79" i="70" s="1"/>
  <c r="V79" i="70" s="1"/>
  <c r="P120" i="70"/>
  <c r="R120" i="70"/>
  <c r="U120" i="70" s="1"/>
  <c r="V120" i="70" s="1"/>
  <c r="P109" i="70"/>
  <c r="R109" i="70"/>
  <c r="S24" i="70"/>
  <c r="S28" i="70"/>
  <c r="P82" i="70"/>
  <c r="R82" i="70"/>
  <c r="U82" i="70" s="1"/>
  <c r="V82" i="70" s="1"/>
  <c r="P25" i="70"/>
  <c r="R25" i="70"/>
  <c r="U25" i="70" s="1"/>
  <c r="V25" i="70" s="1"/>
  <c r="P36" i="70"/>
  <c r="R36" i="70"/>
  <c r="U36" i="70" s="1"/>
  <c r="V36" i="70" s="1"/>
  <c r="P241" i="70"/>
  <c r="R241" i="70"/>
  <c r="U241" i="70" s="1"/>
  <c r="V241" i="70" s="1"/>
  <c r="P114" i="70"/>
  <c r="R114" i="70"/>
  <c r="U114" i="70" s="1"/>
  <c r="V114" i="70" s="1"/>
  <c r="O172" i="70"/>
  <c r="R172" i="70" s="1"/>
  <c r="U172" i="70" s="1"/>
  <c r="V172" i="70" s="1"/>
  <c r="P158" i="70"/>
  <c r="R158" i="70"/>
  <c r="U158" i="70" s="1"/>
  <c r="V158" i="70" s="1"/>
  <c r="P288" i="70"/>
  <c r="R288" i="70"/>
  <c r="U288" i="70" s="1"/>
  <c r="V288" i="70" s="1"/>
  <c r="P131" i="70"/>
  <c r="R131" i="70"/>
  <c r="U131" i="70" s="1"/>
  <c r="V131" i="70" s="1"/>
  <c r="P101" i="70"/>
  <c r="R101" i="70"/>
  <c r="S208" i="70"/>
  <c r="P209" i="70"/>
  <c r="R209" i="70"/>
  <c r="U209" i="70" s="1"/>
  <c r="V209" i="70" s="1"/>
  <c r="P26" i="70"/>
  <c r="R26" i="70"/>
  <c r="U26" i="70" s="1"/>
  <c r="V26" i="70" s="1"/>
  <c r="P64" i="70"/>
  <c r="R64" i="70"/>
  <c r="U64" i="70" s="1"/>
  <c r="V64" i="70" s="1"/>
  <c r="P62" i="70"/>
  <c r="R62" i="70"/>
  <c r="U62" i="70" s="1"/>
  <c r="V62" i="70" s="1"/>
  <c r="P214" i="70"/>
  <c r="R214" i="70"/>
  <c r="U214" i="70" s="1"/>
  <c r="V214" i="70" s="1"/>
  <c r="P185" i="70"/>
  <c r="R185" i="70"/>
  <c r="P45" i="70"/>
  <c r="R45" i="70"/>
  <c r="U45" i="70" s="1"/>
  <c r="V45" i="70" s="1"/>
  <c r="S99" i="70"/>
  <c r="P201" i="70"/>
  <c r="R201" i="70"/>
  <c r="S108" i="70"/>
  <c r="P267" i="70"/>
  <c r="S267" i="70"/>
  <c r="S7" i="70"/>
  <c r="R47" i="70"/>
  <c r="P157" i="70"/>
  <c r="R157" i="70"/>
  <c r="U157" i="70" s="1"/>
  <c r="V157" i="70" s="1"/>
  <c r="P268" i="70"/>
  <c r="P105" i="70"/>
  <c r="R105" i="70"/>
  <c r="U105" i="70" s="1"/>
  <c r="V105" i="70" s="1"/>
  <c r="P12" i="70"/>
  <c r="R12" i="70"/>
  <c r="U12" i="70" s="1"/>
  <c r="V12" i="70" s="1"/>
  <c r="P52" i="70"/>
  <c r="P54" i="70"/>
  <c r="R54" i="70"/>
  <c r="U54" i="70" s="1"/>
  <c r="V54" i="70" s="1"/>
  <c r="P242" i="70"/>
  <c r="R242" i="70"/>
  <c r="U242" i="70" s="1"/>
  <c r="V242" i="70" s="1"/>
  <c r="P286" i="70"/>
  <c r="R286" i="70"/>
  <c r="P94" i="70"/>
  <c r="R94" i="70"/>
  <c r="U94" i="70" s="1"/>
  <c r="V94" i="70" s="1"/>
  <c r="P190" i="70"/>
  <c r="R190" i="70"/>
  <c r="U190" i="70" s="1"/>
  <c r="V190" i="70" s="1"/>
  <c r="S257" i="70"/>
  <c r="R256" i="70"/>
  <c r="P57" i="70"/>
  <c r="R57" i="70"/>
  <c r="P233" i="70"/>
  <c r="R233" i="70"/>
  <c r="P70" i="70"/>
  <c r="R70" i="70"/>
  <c r="U70" i="70" s="1"/>
  <c r="V70" i="70" s="1"/>
  <c r="P285" i="70"/>
  <c r="R285" i="70"/>
  <c r="U285" i="70" s="1"/>
  <c r="V285" i="70" s="1"/>
  <c r="P40" i="70"/>
  <c r="R40" i="70"/>
  <c r="U40" i="70" s="1"/>
  <c r="V40" i="70" s="1"/>
  <c r="P246" i="70"/>
  <c r="S246" i="70"/>
  <c r="P203" i="70"/>
  <c r="R203" i="70"/>
  <c r="U203" i="70" s="1"/>
  <c r="V203" i="70" s="1"/>
  <c r="P159" i="70"/>
  <c r="R159" i="70"/>
  <c r="U159" i="70" s="1"/>
  <c r="V159" i="70" s="1"/>
  <c r="S195" i="70"/>
  <c r="S20" i="70"/>
  <c r="P133" i="70"/>
  <c r="R133" i="70"/>
  <c r="U133" i="70" s="1"/>
  <c r="V133" i="70" s="1"/>
  <c r="P215" i="70"/>
  <c r="R215" i="70"/>
  <c r="U215" i="70" s="1"/>
  <c r="V215" i="70" s="1"/>
  <c r="P85" i="70"/>
  <c r="R85" i="70"/>
  <c r="U85" i="70" s="1"/>
  <c r="V85" i="70" s="1"/>
  <c r="P228" i="70"/>
  <c r="R228" i="70"/>
  <c r="P130" i="70"/>
  <c r="R130" i="70"/>
  <c r="U130" i="70" s="1"/>
  <c r="V130" i="70" s="1"/>
  <c r="P191" i="70"/>
  <c r="R191" i="70"/>
  <c r="U191" i="70" s="1"/>
  <c r="V191" i="70" s="1"/>
  <c r="P135" i="70"/>
  <c r="R135" i="70"/>
  <c r="U135" i="70" s="1"/>
  <c r="P196" i="70"/>
  <c r="R196" i="70"/>
  <c r="U196" i="70" s="1"/>
  <c r="V196" i="70" s="1"/>
  <c r="P30" i="70"/>
  <c r="R30" i="70"/>
  <c r="U30" i="70" s="1"/>
  <c r="V30" i="70" s="1"/>
  <c r="P216" i="70"/>
  <c r="R216" i="70"/>
  <c r="U216" i="70" s="1"/>
  <c r="V216" i="70" s="1"/>
  <c r="P90" i="70"/>
  <c r="R90" i="70"/>
  <c r="S38" i="70"/>
  <c r="P137" i="70"/>
  <c r="S137" i="70"/>
  <c r="O186" i="70"/>
  <c r="R186" i="70" s="1"/>
  <c r="O287" i="70"/>
  <c r="O200" i="70"/>
  <c r="R200" i="70" s="1"/>
  <c r="O260" i="70"/>
  <c r="R260" i="70" s="1"/>
  <c r="P249" i="70"/>
  <c r="O136" i="70"/>
  <c r="R136" i="70" s="1"/>
  <c r="O282" i="70"/>
  <c r="O41" i="70"/>
  <c r="R41" i="70" s="1"/>
  <c r="P218" i="70"/>
  <c r="L224" i="70"/>
  <c r="M53" i="70"/>
  <c r="O53" i="70"/>
  <c r="R53" i="70" s="1"/>
  <c r="P99" i="70"/>
  <c r="O98" i="70"/>
  <c r="P98" i="70" s="1"/>
  <c r="O27" i="70"/>
  <c r="P28" i="70"/>
  <c r="P151" i="70"/>
  <c r="P11" i="70"/>
  <c r="O10" i="70"/>
  <c r="M77" i="70"/>
  <c r="O77" i="70"/>
  <c r="M63" i="70"/>
  <c r="O63" i="70"/>
  <c r="M153" i="70"/>
  <c r="P153" i="70"/>
  <c r="O147" i="70"/>
  <c r="R147" i="70" s="1"/>
  <c r="U147" i="70" s="1"/>
  <c r="B67" i="128" s="1"/>
  <c r="O149" i="70"/>
  <c r="O87" i="70"/>
  <c r="P51" i="70"/>
  <c r="P96" i="70"/>
  <c r="O95" i="70"/>
  <c r="P95" i="70" s="1"/>
  <c r="P208" i="70"/>
  <c r="O275" i="70"/>
  <c r="P275" i="70" s="1"/>
  <c r="P276" i="70"/>
  <c r="P279" i="70"/>
  <c r="O278" i="70"/>
  <c r="L16" i="70"/>
  <c r="O18" i="70"/>
  <c r="O274" i="70"/>
  <c r="R274" i="70" s="1"/>
  <c r="U274" i="70" s="1"/>
  <c r="P93" i="70"/>
  <c r="O92" i="70"/>
  <c r="M69" i="70"/>
  <c r="O69" i="70"/>
  <c r="P139" i="70"/>
  <c r="O138" i="70"/>
  <c r="M210" i="70"/>
  <c r="O210" i="70"/>
  <c r="P129" i="70"/>
  <c r="P199" i="70"/>
  <c r="P144" i="70"/>
  <c r="O143" i="70"/>
  <c r="P143" i="70" s="1"/>
  <c r="P38" i="70"/>
  <c r="P195" i="70"/>
  <c r="M56" i="70"/>
  <c r="O56" i="70"/>
  <c r="R56" i="70" s="1"/>
  <c r="M72" i="70"/>
  <c r="O72" i="70"/>
  <c r="R72" i="70" s="1"/>
  <c r="U72" i="70" s="1"/>
  <c r="M73" i="70"/>
  <c r="O73" i="70"/>
  <c r="M74" i="70"/>
  <c r="O74" i="70"/>
  <c r="M59" i="70"/>
  <c r="O59" i="70"/>
  <c r="M39" i="70"/>
  <c r="O39" i="70"/>
  <c r="O229" i="70"/>
  <c r="O34" i="70"/>
  <c r="P35" i="70"/>
  <c r="P103" i="70"/>
  <c r="O102" i="70"/>
  <c r="P102" i="70" s="1"/>
  <c r="P89" i="70"/>
  <c r="O88" i="70"/>
  <c r="P88" i="70" s="1"/>
  <c r="O224" i="70"/>
  <c r="O234" i="70"/>
  <c r="O107" i="70"/>
  <c r="P108" i="70"/>
  <c r="M254" i="70"/>
  <c r="O254" i="70"/>
  <c r="M211" i="70"/>
  <c r="O211" i="70"/>
  <c r="P205" i="70"/>
  <c r="O204" i="70"/>
  <c r="P14" i="70"/>
  <c r="O13" i="70"/>
  <c r="P17" i="70"/>
  <c r="P166" i="70"/>
  <c r="O219" i="70"/>
  <c r="O19" i="70"/>
  <c r="P20" i="70"/>
  <c r="P184" i="70"/>
  <c r="M58" i="70"/>
  <c r="O58" i="70"/>
  <c r="O152" i="70"/>
  <c r="O167" i="70"/>
  <c r="P290" i="70"/>
  <c r="R290" i="70" s="1"/>
  <c r="Y290" i="70" s="1"/>
  <c r="O289" i="70"/>
  <c r="P289" i="70" s="1"/>
  <c r="P24" i="70"/>
  <c r="O23" i="70"/>
  <c r="P192" i="70"/>
  <c r="P240" i="70"/>
  <c r="O239" i="70"/>
  <c r="P245" i="70"/>
  <c r="O244" i="70"/>
  <c r="P257" i="70"/>
  <c r="O256" i="70"/>
  <c r="O112" i="70"/>
  <c r="R112" i="70" s="1"/>
  <c r="M76" i="70"/>
  <c r="O76" i="70"/>
  <c r="M61" i="70"/>
  <c r="O61" i="70"/>
  <c r="P7" i="70"/>
  <c r="M136" i="70"/>
  <c r="M214" i="70"/>
  <c r="M185" i="70"/>
  <c r="M241" i="70"/>
  <c r="M172" i="70"/>
  <c r="M158" i="70"/>
  <c r="M288" i="70"/>
  <c r="M131" i="70"/>
  <c r="M41" i="70"/>
  <c r="M152" i="70"/>
  <c r="M133" i="70"/>
  <c r="M233" i="70"/>
  <c r="M285" i="70"/>
  <c r="M246" i="70"/>
  <c r="M282" i="70"/>
  <c r="M203" i="70"/>
  <c r="M157" i="70"/>
  <c r="M268" i="70"/>
  <c r="M242" i="70"/>
  <c r="M286" i="70"/>
  <c r="M190" i="70"/>
  <c r="M215" i="70"/>
  <c r="M159" i="70"/>
  <c r="M186" i="70"/>
  <c r="M202" i="70"/>
  <c r="M287" i="70"/>
  <c r="M253" i="70"/>
  <c r="M265" i="70"/>
  <c r="M228" i="70"/>
  <c r="M130" i="70"/>
  <c r="M191" i="70"/>
  <c r="M135" i="70"/>
  <c r="M196" i="70"/>
  <c r="M216" i="70"/>
  <c r="M283" i="70"/>
  <c r="M251" i="70"/>
  <c r="L239" i="70"/>
  <c r="M239" i="70" s="1"/>
  <c r="M223" i="70"/>
  <c r="M262" i="70"/>
  <c r="M132" i="70"/>
  <c r="M142" i="70"/>
  <c r="M250" i="70"/>
  <c r="M160" i="70"/>
  <c r="M147" i="70"/>
  <c r="M238" i="70"/>
  <c r="M149" i="70"/>
  <c r="M280" i="70"/>
  <c r="M200" i="70"/>
  <c r="M163" i="70"/>
  <c r="M258" i="70"/>
  <c r="M161" i="70"/>
  <c r="M213" i="70"/>
  <c r="M156" i="70"/>
  <c r="M187" i="70"/>
  <c r="M162" i="70"/>
  <c r="M173" i="70"/>
  <c r="M212" i="70"/>
  <c r="M260" i="70"/>
  <c r="M248" i="70"/>
  <c r="M263" i="70"/>
  <c r="M249" i="70"/>
  <c r="M269" i="70"/>
  <c r="M148" i="70"/>
  <c r="M284" i="70"/>
  <c r="M206" i="70"/>
  <c r="M154" i="70"/>
  <c r="M209" i="70"/>
  <c r="M26" i="70"/>
  <c r="M32" i="70"/>
  <c r="M57" i="70"/>
  <c r="M64" i="70"/>
  <c r="M62" i="70"/>
  <c r="M25" i="70"/>
  <c r="M29" i="70"/>
  <c r="M120" i="70"/>
  <c r="M45" i="70"/>
  <c r="M36" i="70"/>
  <c r="M114" i="70"/>
  <c r="M109" i="70"/>
  <c r="M70" i="70"/>
  <c r="M40" i="70"/>
  <c r="M84" i="70"/>
  <c r="M55" i="70"/>
  <c r="M105" i="70"/>
  <c r="M12" i="70"/>
  <c r="M52" i="70"/>
  <c r="M54" i="70"/>
  <c r="L34" i="70"/>
  <c r="M34" i="70" s="1"/>
  <c r="M18" i="70"/>
  <c r="M85" i="70"/>
  <c r="M94" i="70"/>
  <c r="M31" i="70"/>
  <c r="X106" i="70"/>
  <c r="M21" i="70"/>
  <c r="M30" i="70"/>
  <c r="M15" i="70"/>
  <c r="M60" i="70"/>
  <c r="M116" i="70"/>
  <c r="M113" i="70"/>
  <c r="L234" i="70"/>
  <c r="M117" i="70"/>
  <c r="M71" i="70"/>
  <c r="M118" i="70"/>
  <c r="M46" i="70"/>
  <c r="M83" i="70"/>
  <c r="M81" i="70"/>
  <c r="M87" i="70"/>
  <c r="M82" i="70"/>
  <c r="M115" i="70"/>
  <c r="M78" i="70"/>
  <c r="M75" i="70"/>
  <c r="M79" i="70"/>
  <c r="L278" i="70"/>
  <c r="M278" i="70" s="1"/>
  <c r="M33" i="70"/>
  <c r="M44" i="70"/>
  <c r="C15" i="128"/>
  <c r="L23" i="70"/>
  <c r="L19" i="70"/>
  <c r="M19" i="70" s="1"/>
  <c r="L150" i="70"/>
  <c r="L10" i="70"/>
  <c r="L207" i="70"/>
  <c r="L138" i="70"/>
  <c r="L204" i="70"/>
  <c r="L107" i="70"/>
  <c r="L50" i="70"/>
  <c r="M143" i="70"/>
  <c r="M98" i="70"/>
  <c r="M129" i="70"/>
  <c r="L127" i="70"/>
  <c r="M48" i="70"/>
  <c r="L47" i="70"/>
  <c r="M47" i="70" s="1"/>
  <c r="L183" i="70"/>
  <c r="L219" i="70"/>
  <c r="M112" i="70"/>
  <c r="L110" i="70"/>
  <c r="L27" i="70"/>
  <c r="M275" i="70"/>
  <c r="L198" i="70"/>
  <c r="M95" i="70"/>
  <c r="M218" i="70"/>
  <c r="M102" i="70"/>
  <c r="M92" i="70"/>
  <c r="L91" i="70"/>
  <c r="M274" i="70"/>
  <c r="L37" i="70"/>
  <c r="L244" i="70"/>
  <c r="M167" i="70"/>
  <c r="M289" i="70"/>
  <c r="M192" i="70"/>
  <c r="L256" i="70"/>
  <c r="M88" i="70"/>
  <c r="L229" i="70"/>
  <c r="L13" i="70"/>
  <c r="M170" i="70"/>
  <c r="L168" i="70"/>
  <c r="J41" i="70"/>
  <c r="J164" i="70"/>
  <c r="J23" i="70"/>
  <c r="J22" i="70"/>
  <c r="J92" i="70"/>
  <c r="J91" i="70"/>
  <c r="J50" i="70"/>
  <c r="J43" i="70"/>
  <c r="J256" i="70"/>
  <c r="J255" i="70"/>
  <c r="J10" i="70"/>
  <c r="J9" i="70"/>
  <c r="J7" i="70"/>
  <c r="J6" i="70"/>
  <c r="J139" i="70"/>
  <c r="J138" i="70"/>
  <c r="J198" i="70"/>
  <c r="J197" i="70"/>
  <c r="J244" i="70"/>
  <c r="J243" i="70"/>
  <c r="G42" i="70"/>
  <c r="G255" i="70"/>
  <c r="C20" i="128"/>
  <c r="G91" i="70"/>
  <c r="G6" i="70"/>
  <c r="G197" i="70"/>
  <c r="G43" i="70"/>
  <c r="G22" i="70"/>
  <c r="G9" i="70"/>
  <c r="G41" i="70"/>
  <c r="C78" i="128"/>
  <c r="X217" i="70"/>
  <c r="G145" i="70"/>
  <c r="S240" i="70" l="1"/>
  <c r="S96" i="70"/>
  <c r="R95" i="70"/>
  <c r="S51" i="70"/>
  <c r="R68" i="70"/>
  <c r="P68" i="70"/>
  <c r="U53" i="70"/>
  <c r="V53" i="70" s="1"/>
  <c r="V135" i="70"/>
  <c r="B59" i="128"/>
  <c r="D59" i="128" s="1"/>
  <c r="V296" i="70"/>
  <c r="B84" i="128"/>
  <c r="Y245" i="70"/>
  <c r="S245" i="70"/>
  <c r="U202" i="70"/>
  <c r="U56" i="70"/>
  <c r="V56" i="70" s="1"/>
  <c r="U286" i="70"/>
  <c r="V286" i="70" s="1"/>
  <c r="V134" i="70"/>
  <c r="B58" i="128"/>
  <c r="U52" i="70"/>
  <c r="U50" i="70" s="1"/>
  <c r="U57" i="70"/>
  <c r="V57" i="70" s="1"/>
  <c r="U265" i="70"/>
  <c r="V265" i="70" s="1"/>
  <c r="Y52" i="70"/>
  <c r="Y96" i="70"/>
  <c r="U260" i="70"/>
  <c r="V260" i="70" s="1"/>
  <c r="R204" i="70"/>
  <c r="Y204" i="70" s="1"/>
  <c r="U206" i="70"/>
  <c r="V206" i="70" s="1"/>
  <c r="V51" i="70"/>
  <c r="V103" i="70"/>
  <c r="U23" i="70"/>
  <c r="V24" i="70"/>
  <c r="Y112" i="70"/>
  <c r="U112" i="70"/>
  <c r="S201" i="70"/>
  <c r="U201" i="70"/>
  <c r="V201" i="70" s="1"/>
  <c r="S223" i="70"/>
  <c r="V271" i="70"/>
  <c r="Y51" i="70"/>
  <c r="V20" i="70"/>
  <c r="U19" i="70"/>
  <c r="V35" i="70"/>
  <c r="U34" i="70"/>
  <c r="B12" i="128" s="1"/>
  <c r="R278" i="70"/>
  <c r="Y278" i="70" s="1"/>
  <c r="U280" i="70"/>
  <c r="V280" i="70" s="1"/>
  <c r="V99" i="70"/>
  <c r="V139" i="70"/>
  <c r="V17" i="70"/>
  <c r="V170" i="70"/>
  <c r="U168" i="70"/>
  <c r="V72" i="70"/>
  <c r="Y72" i="70"/>
  <c r="R275" i="70"/>
  <c r="U47" i="70"/>
  <c r="V47" i="70" s="1"/>
  <c r="V166" i="70"/>
  <c r="Y55" i="70"/>
  <c r="V208" i="70"/>
  <c r="U41" i="70"/>
  <c r="S90" i="70"/>
  <c r="U90" i="70"/>
  <c r="V90" i="70" s="1"/>
  <c r="S276" i="70"/>
  <c r="R138" i="70"/>
  <c r="S138" i="70" s="1"/>
  <c r="U142" i="70"/>
  <c r="Y249" i="70"/>
  <c r="V249" i="70"/>
  <c r="R229" i="70"/>
  <c r="U233" i="70"/>
  <c r="R107" i="70"/>
  <c r="Y107" i="70" s="1"/>
  <c r="U109" i="70"/>
  <c r="V109" i="70" s="1"/>
  <c r="U256" i="70"/>
  <c r="V257" i="70"/>
  <c r="V205" i="70"/>
  <c r="U204" i="70"/>
  <c r="Y136" i="70"/>
  <c r="U136" i="70"/>
  <c r="V136" i="70" s="1"/>
  <c r="R224" i="70"/>
  <c r="U228" i="70"/>
  <c r="Y185" i="70"/>
  <c r="U185" i="70"/>
  <c r="S104" i="70"/>
  <c r="U104" i="70"/>
  <c r="V104" i="70" s="1"/>
  <c r="Y238" i="70"/>
  <c r="U238" i="70"/>
  <c r="V238" i="70" s="1"/>
  <c r="R219" i="70"/>
  <c r="Y219" i="70" s="1"/>
  <c r="V235" i="70"/>
  <c r="V11" i="70"/>
  <c r="U10" i="70"/>
  <c r="U244" i="70"/>
  <c r="V245" i="70"/>
  <c r="V195" i="70"/>
  <c r="V240" i="70"/>
  <c r="U239" i="70"/>
  <c r="B77" i="128" s="1"/>
  <c r="V144" i="70"/>
  <c r="U143" i="70"/>
  <c r="Y274" i="70"/>
  <c r="V274" i="70"/>
  <c r="Y200" i="70"/>
  <c r="U200" i="70"/>
  <c r="V200" i="70" s="1"/>
  <c r="R143" i="70"/>
  <c r="Y143" i="70" s="1"/>
  <c r="Y276" i="70"/>
  <c r="Y240" i="70"/>
  <c r="V89" i="70"/>
  <c r="Y223" i="70"/>
  <c r="Y144" i="70"/>
  <c r="V276" i="70"/>
  <c r="U275" i="70"/>
  <c r="V38" i="70"/>
  <c r="V279" i="70"/>
  <c r="V147" i="70"/>
  <c r="R287" i="70"/>
  <c r="S287" i="70" s="1"/>
  <c r="S144" i="70"/>
  <c r="V14" i="70"/>
  <c r="U92" i="70"/>
  <c r="V93" i="70"/>
  <c r="V28" i="70"/>
  <c r="U27" i="70"/>
  <c r="V199" i="70"/>
  <c r="U95" i="70"/>
  <c r="V96" i="70"/>
  <c r="S101" i="70"/>
  <c r="U101" i="70"/>
  <c r="V101" i="70" s="1"/>
  <c r="V223" i="70"/>
  <c r="U219" i="70"/>
  <c r="B73" i="128" s="1"/>
  <c r="Y186" i="70"/>
  <c r="U186" i="70"/>
  <c r="V186" i="70" s="1"/>
  <c r="R13" i="70"/>
  <c r="Y13" i="70" s="1"/>
  <c r="U15" i="70"/>
  <c r="V15" i="70" s="1"/>
  <c r="S153" i="70"/>
  <c r="U153" i="70"/>
  <c r="V153" i="70" s="1"/>
  <c r="V7" i="70"/>
  <c r="U107" i="70"/>
  <c r="V108" i="70"/>
  <c r="S47" i="70"/>
  <c r="Y47" i="70"/>
  <c r="Y233" i="70"/>
  <c r="R98" i="70"/>
  <c r="Y98" i="70" s="1"/>
  <c r="M270" i="70"/>
  <c r="O270" i="70"/>
  <c r="P271" i="70"/>
  <c r="Y256" i="70"/>
  <c r="S158" i="70"/>
  <c r="Y158" i="70"/>
  <c r="S75" i="70"/>
  <c r="Y75" i="70"/>
  <c r="S212" i="70"/>
  <c r="Y212" i="70"/>
  <c r="S46" i="70"/>
  <c r="Y46" i="70"/>
  <c r="S78" i="70"/>
  <c r="Y78" i="70"/>
  <c r="S142" i="70"/>
  <c r="Y142" i="70"/>
  <c r="S265" i="70"/>
  <c r="Y265" i="70"/>
  <c r="S216" i="70"/>
  <c r="Y216" i="70"/>
  <c r="S228" i="70"/>
  <c r="Y228" i="70"/>
  <c r="S159" i="70"/>
  <c r="Y159" i="70"/>
  <c r="S286" i="70"/>
  <c r="Y286" i="70"/>
  <c r="S268" i="70"/>
  <c r="Y268" i="70"/>
  <c r="S26" i="70"/>
  <c r="Y26" i="70"/>
  <c r="S284" i="70"/>
  <c r="Y284" i="70"/>
  <c r="S296" i="70"/>
  <c r="Y296" i="70"/>
  <c r="S115" i="70"/>
  <c r="Y115" i="70"/>
  <c r="S81" i="70"/>
  <c r="Y81" i="70"/>
  <c r="S55" i="70"/>
  <c r="S260" i="70"/>
  <c r="Y260" i="70"/>
  <c r="S172" i="70"/>
  <c r="Y172" i="70"/>
  <c r="S248" i="70"/>
  <c r="Y248" i="70"/>
  <c r="S173" i="70"/>
  <c r="Y173" i="70"/>
  <c r="S132" i="70"/>
  <c r="Y132" i="70"/>
  <c r="S83" i="70"/>
  <c r="Y83" i="70"/>
  <c r="S84" i="70"/>
  <c r="Y84" i="70"/>
  <c r="S253" i="70"/>
  <c r="Y253" i="70"/>
  <c r="Y147" i="70"/>
  <c r="D67" i="128"/>
  <c r="S30" i="70"/>
  <c r="Y30" i="70"/>
  <c r="S85" i="70"/>
  <c r="Y85" i="70"/>
  <c r="S203" i="70"/>
  <c r="Y203" i="70"/>
  <c r="S57" i="70"/>
  <c r="Y57" i="70"/>
  <c r="S242" i="70"/>
  <c r="Y242" i="70"/>
  <c r="S157" i="70"/>
  <c r="Y157" i="70"/>
  <c r="S45" i="70"/>
  <c r="Y45" i="70"/>
  <c r="S209" i="70"/>
  <c r="Y209" i="70"/>
  <c r="S114" i="70"/>
  <c r="Y114" i="70"/>
  <c r="S148" i="70"/>
  <c r="Y148" i="70"/>
  <c r="S192" i="70"/>
  <c r="Y192" i="70"/>
  <c r="S109" i="70"/>
  <c r="Y109" i="70"/>
  <c r="S117" i="70"/>
  <c r="Y117" i="70"/>
  <c r="S118" i="70"/>
  <c r="Y118" i="70"/>
  <c r="S162" i="70"/>
  <c r="Y162" i="70"/>
  <c r="S262" i="70"/>
  <c r="Y262" i="70"/>
  <c r="S163" i="70"/>
  <c r="Y163" i="70"/>
  <c r="S134" i="70"/>
  <c r="D58" i="128"/>
  <c r="Y134" i="70"/>
  <c r="S196" i="70"/>
  <c r="Y196" i="70"/>
  <c r="S215" i="70"/>
  <c r="Y215" i="70"/>
  <c r="S54" i="70"/>
  <c r="Y54" i="70"/>
  <c r="S241" i="70"/>
  <c r="Y241" i="70"/>
  <c r="S263" i="70"/>
  <c r="Y263" i="70"/>
  <c r="S119" i="70"/>
  <c r="Y119" i="70"/>
  <c r="S113" i="70"/>
  <c r="Y113" i="70"/>
  <c r="S120" i="70"/>
  <c r="Y120" i="70"/>
  <c r="S213" i="70"/>
  <c r="Y213" i="70"/>
  <c r="S187" i="70"/>
  <c r="Y187" i="70"/>
  <c r="S31" i="70"/>
  <c r="Y31" i="70"/>
  <c r="S21" i="70"/>
  <c r="Y21" i="70"/>
  <c r="R239" i="70"/>
  <c r="Y239" i="70" s="1"/>
  <c r="S135" i="70"/>
  <c r="Y135" i="70"/>
  <c r="S133" i="70"/>
  <c r="Y133" i="70"/>
  <c r="S40" i="70"/>
  <c r="Y40" i="70"/>
  <c r="S214" i="70"/>
  <c r="Y214" i="70"/>
  <c r="S36" i="70"/>
  <c r="Y36" i="70"/>
  <c r="S116" i="70"/>
  <c r="Y116" i="70"/>
  <c r="O183" i="70"/>
  <c r="O182" i="70" s="1"/>
  <c r="Y95" i="70"/>
  <c r="S131" i="70"/>
  <c r="Y131" i="70"/>
  <c r="S79" i="70"/>
  <c r="Y79" i="70"/>
  <c r="S160" i="70"/>
  <c r="Y160" i="70"/>
  <c r="R102" i="70"/>
  <c r="S191" i="70"/>
  <c r="Y191" i="70"/>
  <c r="Y19" i="70"/>
  <c r="S285" i="70"/>
  <c r="Y285" i="70"/>
  <c r="S190" i="70"/>
  <c r="Y190" i="70"/>
  <c r="S12" i="70"/>
  <c r="Y12" i="70"/>
  <c r="S62" i="70"/>
  <c r="Y62" i="70"/>
  <c r="S25" i="70"/>
  <c r="Y25" i="70"/>
  <c r="S29" i="70"/>
  <c r="Y29" i="70"/>
  <c r="S60" i="70"/>
  <c r="Y60" i="70"/>
  <c r="S32" i="70"/>
  <c r="Y32" i="70"/>
  <c r="S283" i="70"/>
  <c r="Y283" i="70"/>
  <c r="S249" i="70"/>
  <c r="S288" i="70"/>
  <c r="Y288" i="70"/>
  <c r="S269" i="70"/>
  <c r="Y269" i="70"/>
  <c r="S71" i="70"/>
  <c r="Y71" i="70"/>
  <c r="S44" i="70"/>
  <c r="Y44" i="70"/>
  <c r="S156" i="70"/>
  <c r="Y156" i="70"/>
  <c r="S250" i="70"/>
  <c r="Y250" i="70"/>
  <c r="S251" i="70"/>
  <c r="Y251" i="70"/>
  <c r="S130" i="70"/>
  <c r="Y130" i="70"/>
  <c r="S70" i="70"/>
  <c r="Y70" i="70"/>
  <c r="S94" i="70"/>
  <c r="Y94" i="70"/>
  <c r="S105" i="70"/>
  <c r="Y105" i="70"/>
  <c r="S64" i="70"/>
  <c r="Y64" i="70"/>
  <c r="S82" i="70"/>
  <c r="Y82" i="70"/>
  <c r="S206" i="70"/>
  <c r="Y206" i="70"/>
  <c r="S15" i="70"/>
  <c r="Y15" i="70"/>
  <c r="S33" i="70"/>
  <c r="Y33" i="70"/>
  <c r="S280" i="70"/>
  <c r="Y280" i="70"/>
  <c r="S202" i="70"/>
  <c r="Y202" i="70"/>
  <c r="Y168" i="70"/>
  <c r="D73" i="128"/>
  <c r="S147" i="70"/>
  <c r="P200" i="70"/>
  <c r="P56" i="70"/>
  <c r="S56" i="70"/>
  <c r="P287" i="70"/>
  <c r="R127" i="70"/>
  <c r="R34" i="70"/>
  <c r="P61" i="70"/>
  <c r="R61" i="70"/>
  <c r="P254" i="70"/>
  <c r="R254" i="70"/>
  <c r="P186" i="70"/>
  <c r="S186" i="70"/>
  <c r="S143" i="70"/>
  <c r="P210" i="70"/>
  <c r="R210" i="70"/>
  <c r="P39" i="70"/>
  <c r="R39" i="70"/>
  <c r="U39" i="70" s="1"/>
  <c r="V39" i="70" s="1"/>
  <c r="P53" i="70"/>
  <c r="S233" i="70"/>
  <c r="R10" i="70"/>
  <c r="Y10" i="70" s="1"/>
  <c r="P76" i="70"/>
  <c r="R76" i="70"/>
  <c r="O67" i="70"/>
  <c r="P67" i="70" s="1"/>
  <c r="R69" i="70"/>
  <c r="U69" i="70" s="1"/>
  <c r="P63" i="70"/>
  <c r="R63" i="70"/>
  <c r="P59" i="70"/>
  <c r="R59" i="70"/>
  <c r="M67" i="70"/>
  <c r="S98" i="70"/>
  <c r="S112" i="70"/>
  <c r="R110" i="70"/>
  <c r="S290" i="70"/>
  <c r="U290" i="70" s="1"/>
  <c r="R289" i="70"/>
  <c r="P77" i="70"/>
  <c r="R77" i="70"/>
  <c r="P211" i="70"/>
  <c r="R211" i="70"/>
  <c r="P167" i="70"/>
  <c r="R167" i="70"/>
  <c r="P74" i="70"/>
  <c r="R74" i="70"/>
  <c r="O198" i="70"/>
  <c r="P198" i="70" s="1"/>
  <c r="P41" i="70"/>
  <c r="S41" i="70"/>
  <c r="S256" i="70"/>
  <c r="S274" i="70"/>
  <c r="P282" i="70"/>
  <c r="R282" i="70"/>
  <c r="U282" i="70" s="1"/>
  <c r="P172" i="70"/>
  <c r="S13" i="70"/>
  <c r="S238" i="70"/>
  <c r="P73" i="70"/>
  <c r="R73" i="70"/>
  <c r="P87" i="70"/>
  <c r="R87" i="70"/>
  <c r="U87" i="70" s="1"/>
  <c r="P136" i="70"/>
  <c r="S136" i="70"/>
  <c r="S19" i="70"/>
  <c r="S185" i="70"/>
  <c r="R183" i="70"/>
  <c r="R27" i="70"/>
  <c r="P152" i="70"/>
  <c r="R152" i="70"/>
  <c r="O127" i="70"/>
  <c r="P127" i="70" s="1"/>
  <c r="P18" i="70"/>
  <c r="R18" i="70"/>
  <c r="P149" i="70"/>
  <c r="R149" i="70"/>
  <c r="U149" i="70" s="1"/>
  <c r="S95" i="70"/>
  <c r="R92" i="70"/>
  <c r="Y92" i="70" s="1"/>
  <c r="R244" i="70"/>
  <c r="P58" i="70"/>
  <c r="R58" i="70"/>
  <c r="P72" i="70"/>
  <c r="S72" i="70"/>
  <c r="P260" i="70"/>
  <c r="R23" i="70"/>
  <c r="Y23" i="70" s="1"/>
  <c r="R88" i="70"/>
  <c r="P219" i="70"/>
  <c r="O16" i="70"/>
  <c r="O6" i="70" s="1"/>
  <c r="M224" i="70"/>
  <c r="P224" i="70"/>
  <c r="M16" i="70"/>
  <c r="P112" i="70"/>
  <c r="O110" i="70"/>
  <c r="P110" i="70" s="1"/>
  <c r="P278" i="70"/>
  <c r="O150" i="70"/>
  <c r="P150" i="70" s="1"/>
  <c r="P107" i="70"/>
  <c r="O37" i="70"/>
  <c r="P37" i="70" s="1"/>
  <c r="P138" i="70"/>
  <c r="P256" i="70"/>
  <c r="P234" i="70"/>
  <c r="P147" i="70"/>
  <c r="P47" i="70"/>
  <c r="P27" i="70"/>
  <c r="O243" i="70"/>
  <c r="P244" i="70"/>
  <c r="P13" i="70"/>
  <c r="P69" i="70"/>
  <c r="O207" i="70"/>
  <c r="P207" i="70" s="1"/>
  <c r="P239" i="70"/>
  <c r="P204" i="70"/>
  <c r="O91" i="70"/>
  <c r="P91" i="70" s="1"/>
  <c r="P92" i="70"/>
  <c r="P170" i="70"/>
  <c r="O168" i="70"/>
  <c r="P168" i="70" s="1"/>
  <c r="P274" i="70"/>
  <c r="O50" i="70"/>
  <c r="O43" i="70" s="1"/>
  <c r="O22" i="70"/>
  <c r="P23" i="70"/>
  <c r="P34" i="70"/>
  <c r="M23" i="70"/>
  <c r="P19" i="70"/>
  <c r="P229" i="70"/>
  <c r="P10" i="70"/>
  <c r="M204" i="70"/>
  <c r="M207" i="70"/>
  <c r="M168" i="70"/>
  <c r="M50" i="70"/>
  <c r="M229" i="70"/>
  <c r="M219" i="70"/>
  <c r="M183" i="70"/>
  <c r="M150" i="70"/>
  <c r="M234" i="70"/>
  <c r="X121" i="70"/>
  <c r="M37" i="70"/>
  <c r="M27" i="70"/>
  <c r="M110" i="70"/>
  <c r="M10" i="70"/>
  <c r="M107" i="70"/>
  <c r="L9" i="70"/>
  <c r="L43" i="70"/>
  <c r="L255" i="70"/>
  <c r="M256" i="70"/>
  <c r="M127" i="70"/>
  <c r="M91" i="70"/>
  <c r="M138" i="70"/>
  <c r="L22" i="70"/>
  <c r="L164" i="70"/>
  <c r="M13" i="70"/>
  <c r="L6" i="70"/>
  <c r="M244" i="70"/>
  <c r="L243" i="70"/>
  <c r="L182" i="70"/>
  <c r="M198" i="70"/>
  <c r="L197" i="70"/>
  <c r="J42" i="70"/>
  <c r="J182" i="70"/>
  <c r="J217" i="70"/>
  <c r="J145" i="70"/>
  <c r="C21" i="128"/>
  <c r="X295" i="70"/>
  <c r="C71" i="128"/>
  <c r="C6" i="128"/>
  <c r="G217" i="70"/>
  <c r="G106" i="70"/>
  <c r="G295" i="70"/>
  <c r="Y138" i="70" l="1"/>
  <c r="S204" i="70"/>
  <c r="V87" i="70"/>
  <c r="B18" i="128"/>
  <c r="D18" i="128" s="1"/>
  <c r="U198" i="70"/>
  <c r="S219" i="70"/>
  <c r="V52" i="70"/>
  <c r="V41" i="70"/>
  <c r="B14" i="128"/>
  <c r="U234" i="70"/>
  <c r="B76" i="128" s="1"/>
  <c r="D76" i="128" s="1"/>
  <c r="V282" i="70"/>
  <c r="B82" i="128"/>
  <c r="D82" i="128" s="1"/>
  <c r="U287" i="70"/>
  <c r="V287" i="70" s="1"/>
  <c r="V202" i="70"/>
  <c r="Y287" i="70"/>
  <c r="V95" i="70"/>
  <c r="B23" i="128"/>
  <c r="D23" i="128" s="1"/>
  <c r="V142" i="70"/>
  <c r="B62" i="128"/>
  <c r="D62" i="128" s="1"/>
  <c r="V19" i="70"/>
  <c r="B10" i="128"/>
  <c r="D10" i="128" s="1"/>
  <c r="S278" i="70"/>
  <c r="V149" i="70"/>
  <c r="B65" i="128"/>
  <c r="D65" i="128" s="1"/>
  <c r="V204" i="70"/>
  <c r="V168" i="70"/>
  <c r="B66" i="128"/>
  <c r="D66" i="128" s="1"/>
  <c r="B57" i="128"/>
  <c r="D57" i="128" s="1"/>
  <c r="V275" i="70"/>
  <c r="B80" i="128"/>
  <c r="D80" i="128" s="1"/>
  <c r="V143" i="70"/>
  <c r="B63" i="128"/>
  <c r="D63" i="128" s="1"/>
  <c r="U127" i="70"/>
  <c r="B56" i="128" s="1"/>
  <c r="D56" i="128" s="1"/>
  <c r="U13" i="70"/>
  <c r="V13" i="70" s="1"/>
  <c r="U88" i="70"/>
  <c r="B19" i="128" s="1"/>
  <c r="D19" i="128" s="1"/>
  <c r="U68" i="70"/>
  <c r="V68" i="70" s="1"/>
  <c r="S68" i="70"/>
  <c r="Y167" i="70"/>
  <c r="U167" i="70"/>
  <c r="V69" i="70"/>
  <c r="U37" i="70"/>
  <c r="B13" i="128" s="1"/>
  <c r="U98" i="70"/>
  <c r="V290" i="70"/>
  <c r="U289" i="70"/>
  <c r="V289" i="70" s="1"/>
  <c r="S76" i="70"/>
  <c r="U76" i="70"/>
  <c r="V76" i="70" s="1"/>
  <c r="S107" i="70"/>
  <c r="V92" i="70"/>
  <c r="V112" i="70"/>
  <c r="U110" i="70"/>
  <c r="V110" i="70" s="1"/>
  <c r="V219" i="70"/>
  <c r="Y18" i="70"/>
  <c r="U18" i="70"/>
  <c r="V34" i="70"/>
  <c r="S73" i="70"/>
  <c r="U73" i="70"/>
  <c r="V73" i="70" s="1"/>
  <c r="S74" i="70"/>
  <c r="U74" i="70"/>
  <c r="V74" i="70" s="1"/>
  <c r="S254" i="70"/>
  <c r="U254" i="70"/>
  <c r="V254" i="70" s="1"/>
  <c r="V107" i="70"/>
  <c r="V239" i="70"/>
  <c r="V256" i="70"/>
  <c r="V23" i="70"/>
  <c r="U22" i="70"/>
  <c r="B11" i="128" s="1"/>
  <c r="U102" i="70"/>
  <c r="V102" i="70" s="1"/>
  <c r="U270" i="70"/>
  <c r="U255" i="70" s="1"/>
  <c r="B79" i="128" s="1"/>
  <c r="S61" i="70"/>
  <c r="U61" i="70"/>
  <c r="V61" i="70" s="1"/>
  <c r="S63" i="70"/>
  <c r="U63" i="70"/>
  <c r="V63" i="70" s="1"/>
  <c r="S210" i="70"/>
  <c r="U210" i="70"/>
  <c r="Y275" i="70"/>
  <c r="U278" i="70"/>
  <c r="V244" i="70"/>
  <c r="V228" i="70"/>
  <c r="U224" i="70"/>
  <c r="V270" i="70"/>
  <c r="Y152" i="70"/>
  <c r="U152" i="70"/>
  <c r="S59" i="70"/>
  <c r="U59" i="70"/>
  <c r="V59" i="70" s="1"/>
  <c r="V185" i="70"/>
  <c r="U183" i="70"/>
  <c r="V233" i="70"/>
  <c r="U229" i="70"/>
  <c r="S58" i="70"/>
  <c r="U58" i="70"/>
  <c r="V58" i="70" s="1"/>
  <c r="S211" i="70"/>
  <c r="U211" i="70"/>
  <c r="V211" i="70" s="1"/>
  <c r="S77" i="70"/>
  <c r="U77" i="70"/>
  <c r="V77" i="70" s="1"/>
  <c r="S275" i="70"/>
  <c r="D77" i="128"/>
  <c r="V27" i="70"/>
  <c r="V10" i="70"/>
  <c r="U138" i="70"/>
  <c r="V138" i="70" s="1"/>
  <c r="Y244" i="70"/>
  <c r="R243" i="70"/>
  <c r="P270" i="70"/>
  <c r="Y271" i="70"/>
  <c r="R270" i="70"/>
  <c r="Y270" i="70" s="1"/>
  <c r="S271" i="70"/>
  <c r="S270" i="70" s="1"/>
  <c r="O9" i="70"/>
  <c r="P9" i="70" s="1"/>
  <c r="P16" i="70"/>
  <c r="S239" i="70"/>
  <c r="S87" i="70"/>
  <c r="Y87" i="70"/>
  <c r="Y127" i="70"/>
  <c r="S88" i="70"/>
  <c r="Y88" i="70"/>
  <c r="S289" i="70"/>
  <c r="Y289" i="70"/>
  <c r="P183" i="70"/>
  <c r="S110" i="70"/>
  <c r="Y110" i="70"/>
  <c r="D84" i="128"/>
  <c r="S27" i="70"/>
  <c r="Y27" i="70"/>
  <c r="O197" i="70"/>
  <c r="P197" i="70" s="1"/>
  <c r="S183" i="70"/>
  <c r="Y183" i="70"/>
  <c r="S102" i="70"/>
  <c r="Y102" i="70"/>
  <c r="S282" i="70"/>
  <c r="Y282" i="70"/>
  <c r="S149" i="70"/>
  <c r="Y149" i="70"/>
  <c r="S34" i="70"/>
  <c r="D12" i="128"/>
  <c r="Y34" i="70"/>
  <c r="S229" i="70"/>
  <c r="Y229" i="70"/>
  <c r="S234" i="70"/>
  <c r="Y234" i="70"/>
  <c r="S224" i="70"/>
  <c r="Y224" i="70"/>
  <c r="S69" i="70"/>
  <c r="R67" i="70"/>
  <c r="S152" i="70"/>
  <c r="R150" i="70"/>
  <c r="S127" i="70"/>
  <c r="R207" i="70"/>
  <c r="S168" i="70"/>
  <c r="S244" i="70"/>
  <c r="S10" i="70"/>
  <c r="S92" i="70"/>
  <c r="R91" i="70"/>
  <c r="S167" i="70"/>
  <c r="R164" i="70"/>
  <c r="Y164" i="70" s="1"/>
  <c r="S23" i="70"/>
  <c r="R22" i="70"/>
  <c r="S200" i="70"/>
  <c r="R198" i="70"/>
  <c r="Y198" i="70" s="1"/>
  <c r="R182" i="70"/>
  <c r="S53" i="70"/>
  <c r="R50" i="70"/>
  <c r="Y50" i="70" s="1"/>
  <c r="S18" i="70"/>
  <c r="R16" i="70"/>
  <c r="S39" i="70"/>
  <c r="R37" i="70"/>
  <c r="O255" i="70"/>
  <c r="P255" i="70" s="1"/>
  <c r="P243" i="70"/>
  <c r="P182" i="70"/>
  <c r="P22" i="70"/>
  <c r="O164" i="70"/>
  <c r="P164" i="70" s="1"/>
  <c r="P50" i="70"/>
  <c r="P6" i="70"/>
  <c r="M197" i="70"/>
  <c r="M255" i="70"/>
  <c r="M243" i="70"/>
  <c r="M182" i="70"/>
  <c r="X297" i="70"/>
  <c r="M43" i="70"/>
  <c r="M9" i="70"/>
  <c r="M6" i="70"/>
  <c r="M22" i="70"/>
  <c r="L217" i="70"/>
  <c r="L42" i="70"/>
  <c r="M164" i="70"/>
  <c r="L145" i="70"/>
  <c r="J106" i="70"/>
  <c r="J295" i="70"/>
  <c r="C26" i="128"/>
  <c r="G121" i="70"/>
  <c r="C55" i="128"/>
  <c r="C83" i="128"/>
  <c r="G298" i="70"/>
  <c r="G297" i="70"/>
  <c r="V234" i="70" l="1"/>
  <c r="D14" i="128"/>
  <c r="V88" i="70"/>
  <c r="V127" i="70"/>
  <c r="U91" i="70"/>
  <c r="B20" i="128" s="1"/>
  <c r="V50" i="70"/>
  <c r="V224" i="70"/>
  <c r="B74" i="128"/>
  <c r="D74" i="128" s="1"/>
  <c r="V229" i="70"/>
  <c r="B75" i="128"/>
  <c r="D75" i="128" s="1"/>
  <c r="V278" i="70"/>
  <c r="B81" i="128"/>
  <c r="D81" i="128" s="1"/>
  <c r="V98" i="70"/>
  <c r="B22" i="128"/>
  <c r="D22" i="128" s="1"/>
  <c r="V210" i="70"/>
  <c r="U207" i="70"/>
  <c r="V22" i="70"/>
  <c r="V18" i="70"/>
  <c r="U16" i="70"/>
  <c r="V152" i="70"/>
  <c r="U150" i="70"/>
  <c r="V37" i="70"/>
  <c r="U43" i="70"/>
  <c r="B16" i="128" s="1"/>
  <c r="U67" i="70"/>
  <c r="U243" i="70"/>
  <c r="R255" i="70"/>
  <c r="Y255" i="70" s="1"/>
  <c r="V198" i="70"/>
  <c r="V167" i="70"/>
  <c r="U164" i="70"/>
  <c r="V164" i="70" s="1"/>
  <c r="V183" i="70"/>
  <c r="U182" i="70"/>
  <c r="D79" i="128"/>
  <c r="S91" i="70"/>
  <c r="Y91" i="70"/>
  <c r="S16" i="70"/>
  <c r="Y16" i="70"/>
  <c r="R9" i="70"/>
  <c r="S207" i="70"/>
  <c r="Y207" i="70"/>
  <c r="S182" i="70"/>
  <c r="Y182" i="70"/>
  <c r="S22" i="70"/>
  <c r="D11" i="128"/>
  <c r="Y22" i="70"/>
  <c r="S37" i="70"/>
  <c r="D13" i="128"/>
  <c r="Y37" i="70"/>
  <c r="S67" i="70"/>
  <c r="Y67" i="70"/>
  <c r="Y243" i="70"/>
  <c r="S150" i="70"/>
  <c r="Y150" i="70"/>
  <c r="S198" i="70"/>
  <c r="R197" i="70"/>
  <c r="S243" i="70"/>
  <c r="S164" i="70"/>
  <c r="R145" i="70"/>
  <c r="R6" i="70"/>
  <c r="S50" i="70"/>
  <c r="R43" i="70"/>
  <c r="O217" i="70"/>
  <c r="P217" i="70" s="1"/>
  <c r="O145" i="70"/>
  <c r="P43" i="70"/>
  <c r="O42" i="70"/>
  <c r="X298" i="70"/>
  <c r="M42" i="70"/>
  <c r="M217" i="70"/>
  <c r="L106" i="70"/>
  <c r="M145" i="70"/>
  <c r="L295" i="70"/>
  <c r="J121" i="70"/>
  <c r="J297" i="70"/>
  <c r="C86" i="128"/>
  <c r="V91" i="70" l="1"/>
  <c r="V243" i="70"/>
  <c r="B78" i="128"/>
  <c r="D78" i="128" s="1"/>
  <c r="V67" i="70"/>
  <c r="B17" i="128"/>
  <c r="D17" i="128" s="1"/>
  <c r="U217" i="70"/>
  <c r="B71" i="128" s="1"/>
  <c r="B83" i="128" s="1"/>
  <c r="V182" i="70"/>
  <c r="B69" i="128"/>
  <c r="D69" i="128" s="1"/>
  <c r="S255" i="70"/>
  <c r="V43" i="70"/>
  <c r="U42" i="70"/>
  <c r="V150" i="70"/>
  <c r="U145" i="70"/>
  <c r="B64" i="128" s="1"/>
  <c r="B68" i="128" s="1"/>
  <c r="V16" i="70"/>
  <c r="U6" i="70"/>
  <c r="U9" i="70"/>
  <c r="V207" i="70"/>
  <c r="U197" i="70"/>
  <c r="R217" i="70"/>
  <c r="V255" i="70"/>
  <c r="S6" i="70"/>
  <c r="Y6" i="70"/>
  <c r="S9" i="70"/>
  <c r="Y9" i="70"/>
  <c r="S197" i="70"/>
  <c r="Y197" i="70"/>
  <c r="B21" i="128"/>
  <c r="D21" i="128" s="1"/>
  <c r="D20" i="128"/>
  <c r="D16" i="128"/>
  <c r="Y43" i="70"/>
  <c r="Y145" i="70"/>
  <c r="S43" i="70"/>
  <c r="R42" i="70"/>
  <c r="S145" i="70"/>
  <c r="P42" i="70"/>
  <c r="O106" i="70"/>
  <c r="P145" i="70"/>
  <c r="O295" i="70"/>
  <c r="M106" i="70"/>
  <c r="L121" i="70"/>
  <c r="L297" i="70"/>
  <c r="M295" i="70"/>
  <c r="J298" i="70"/>
  <c r="V217" i="70" l="1"/>
  <c r="Y217" i="70"/>
  <c r="U106" i="70"/>
  <c r="B15" i="128"/>
  <c r="V9" i="70"/>
  <c r="B9" i="128"/>
  <c r="D9" i="128" s="1"/>
  <c r="V6" i="70"/>
  <c r="B7" i="128"/>
  <c r="D7" i="128" s="1"/>
  <c r="V197" i="70"/>
  <c r="B70" i="128"/>
  <c r="D70" i="128" s="1"/>
  <c r="V145" i="70"/>
  <c r="U295" i="70"/>
  <c r="S217" i="70"/>
  <c r="R295" i="70"/>
  <c r="V42" i="70"/>
  <c r="D64" i="128"/>
  <c r="Y42" i="70"/>
  <c r="D71" i="128"/>
  <c r="S42" i="70"/>
  <c r="R106" i="70"/>
  <c r="O297" i="70"/>
  <c r="P297" i="70" s="1"/>
  <c r="P295" i="70"/>
  <c r="O121" i="70"/>
  <c r="P106" i="70"/>
  <c r="D68" i="128"/>
  <c r="D83" i="128"/>
  <c r="M297" i="70"/>
  <c r="M121" i="70"/>
  <c r="L298" i="70"/>
  <c r="B55" i="128" l="1"/>
  <c r="V106" i="70"/>
  <c r="U121" i="70"/>
  <c r="Y295" i="70"/>
  <c r="S295" i="70"/>
  <c r="U297" i="70"/>
  <c r="U298" i="70" s="1"/>
  <c r="V295" i="70"/>
  <c r="R297" i="70"/>
  <c r="Y297" i="70" s="1"/>
  <c r="B6" i="128"/>
  <c r="B26" i="128" s="1"/>
  <c r="D15" i="128"/>
  <c r="Y106" i="70"/>
  <c r="R121" i="70"/>
  <c r="Y121" i="70" s="1"/>
  <c r="S106" i="70"/>
  <c r="O298" i="70"/>
  <c r="P298" i="70" s="1"/>
  <c r="P121" i="70"/>
  <c r="M298" i="70"/>
  <c r="D55" i="128" l="1"/>
  <c r="V121" i="70"/>
  <c r="B86" i="128"/>
  <c r="S297" i="70"/>
  <c r="V297" i="70"/>
  <c r="D6" i="128"/>
  <c r="R298" i="70"/>
  <c r="V298" i="70" s="1"/>
  <c r="S121" i="70"/>
  <c r="S298" i="70" l="1"/>
  <c r="Y298" i="7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Sarmīte Mūze</author>
  </authors>
  <commentList>
    <comment ref="E66" authorId="0" shapeId="0" xr:uid="{D677856D-7020-4575-A1D2-132129FF2C9A}">
      <text>
        <r>
          <rPr>
            <b/>
            <sz val="9"/>
            <color indexed="81"/>
            <rFont val="Tahoma"/>
            <family val="2"/>
            <charset val="186"/>
          </rPr>
          <t>Sarmīte Mūze:</t>
        </r>
        <r>
          <rPr>
            <sz val="9"/>
            <color indexed="81"/>
            <rFont val="Tahoma"/>
            <family val="2"/>
            <charset val="186"/>
          </rPr>
          <t xml:space="preserve">
1010 supervizijas EKK 18.6.3.</t>
        </r>
      </text>
    </comment>
    <comment ref="X171" authorId="0" shapeId="0" xr:uid="{C0143836-E46C-4F99-B8A5-69C0B83FDD69}">
      <text>
        <r>
          <rPr>
            <b/>
            <sz val="9"/>
            <color indexed="81"/>
            <rFont val="Tahoma"/>
            <family val="2"/>
            <charset val="186"/>
          </rPr>
          <t>Sarmīte Mūze:</t>
        </r>
        <r>
          <rPr>
            <sz val="9"/>
            <color indexed="81"/>
            <rFont val="Tahoma"/>
            <family val="2"/>
            <charset val="186"/>
          </rPr>
          <t xml:space="preserve">
0643; 0645; 0648 izpilde-CKS dotācija 7230- samaksātais no Domes</t>
        </r>
      </text>
    </comment>
    <comment ref="E285" authorId="0" shapeId="0" xr:uid="{F33940A2-2E62-4AAF-8657-1EBDE77A525C}">
      <text>
        <r>
          <rPr>
            <b/>
            <sz val="9"/>
            <color indexed="81"/>
            <rFont val="Tahoma"/>
            <family val="2"/>
            <charset val="186"/>
          </rPr>
          <t>Sarmīte Mūze:</t>
        </r>
        <r>
          <rPr>
            <sz val="9"/>
            <color indexed="81"/>
            <rFont val="Tahoma"/>
            <family val="2"/>
            <charset val="186"/>
          </rPr>
          <t xml:space="preserve">
Šis ir jāizņem no 0930 un jāliek 0982 algā.
</t>
        </r>
      </text>
    </comment>
    <comment ref="F285" authorId="0" shapeId="0" xr:uid="{00000000-0006-0000-0A00-00000F000000}">
      <text>
        <r>
          <rPr>
            <b/>
            <sz val="9"/>
            <color indexed="81"/>
            <rFont val="Tahoma"/>
            <family val="2"/>
            <charset val="186"/>
          </rPr>
          <t>Sarmīte Mūze:</t>
        </r>
        <r>
          <rPr>
            <sz val="9"/>
            <color indexed="81"/>
            <rFont val="Tahoma"/>
            <family val="2"/>
            <charset val="186"/>
          </rPr>
          <t xml:space="preserve">
Šis ir jāizņem no 0930 un jāliek 0982 algā.
</t>
        </r>
      </text>
    </comment>
    <comment ref="I285" authorId="0" shapeId="0" xr:uid="{C1793B49-E91C-49A0-9E6F-EBC7E506CC3D}">
      <text>
        <r>
          <rPr>
            <b/>
            <sz val="9"/>
            <color indexed="81"/>
            <rFont val="Tahoma"/>
            <family val="2"/>
            <charset val="186"/>
          </rPr>
          <t>Sarmīte Mūze:</t>
        </r>
        <r>
          <rPr>
            <sz val="9"/>
            <color indexed="81"/>
            <rFont val="Tahoma"/>
            <family val="2"/>
            <charset val="186"/>
          </rPr>
          <t xml:space="preserve">
Šis ir jāizņem no 0930 un jāliek 0982 algā.
</t>
        </r>
      </text>
    </comment>
    <comment ref="L285" authorId="0" shapeId="0" xr:uid="{171867FF-331A-42A4-AEC4-85D600C02756}">
      <text>
        <r>
          <rPr>
            <b/>
            <sz val="9"/>
            <color indexed="81"/>
            <rFont val="Tahoma"/>
            <family val="2"/>
            <charset val="186"/>
          </rPr>
          <t>Sarmīte Mūze:</t>
        </r>
        <r>
          <rPr>
            <sz val="9"/>
            <color indexed="81"/>
            <rFont val="Tahoma"/>
            <family val="2"/>
            <charset val="186"/>
          </rPr>
          <t xml:space="preserve">
Šis ir jāizņem no 0930 un jāliek 0982 algā.
</t>
        </r>
      </text>
    </comment>
    <comment ref="O285" authorId="0" shapeId="0" xr:uid="{A3E2368E-F806-49E3-8D9C-18BB89E9815D}">
      <text>
        <r>
          <rPr>
            <b/>
            <sz val="9"/>
            <color indexed="81"/>
            <rFont val="Tahoma"/>
            <family val="2"/>
            <charset val="186"/>
          </rPr>
          <t>Sarmīte Mūze:</t>
        </r>
        <r>
          <rPr>
            <sz val="9"/>
            <color indexed="81"/>
            <rFont val="Tahoma"/>
            <family val="2"/>
            <charset val="186"/>
          </rPr>
          <t xml:space="preserve">
Šis ir jāizņem no 0930 un jāliek 0982 algā.
</t>
        </r>
      </text>
    </comment>
    <comment ref="R285" authorId="0" shapeId="0" xr:uid="{C943DC56-84F7-4958-82E9-F3988E8B2CC5}">
      <text>
        <r>
          <rPr>
            <b/>
            <sz val="9"/>
            <color indexed="81"/>
            <rFont val="Tahoma"/>
            <family val="2"/>
            <charset val="186"/>
          </rPr>
          <t>Sarmīte Mūze:</t>
        </r>
        <r>
          <rPr>
            <sz val="9"/>
            <color indexed="81"/>
            <rFont val="Tahoma"/>
            <family val="2"/>
            <charset val="186"/>
          </rPr>
          <t xml:space="preserve">
Šis ir jāizņem no 0930 un jāliek 0982 algā.
</t>
        </r>
      </text>
    </comment>
    <comment ref="U285" authorId="0" shapeId="0" xr:uid="{326D999F-22CF-440B-9B14-78524F659A4C}">
      <text>
        <r>
          <rPr>
            <b/>
            <sz val="9"/>
            <color indexed="81"/>
            <rFont val="Tahoma"/>
            <family val="2"/>
            <charset val="186"/>
          </rPr>
          <t>Sarmīte Mūze:</t>
        </r>
        <r>
          <rPr>
            <sz val="9"/>
            <color indexed="81"/>
            <rFont val="Tahoma"/>
            <family val="2"/>
            <charset val="186"/>
          </rPr>
          <t xml:space="preserve">
Šis ir jāizņem no 0930 un jāliek 0982 algā.
</t>
        </r>
      </text>
    </comment>
    <comment ref="X285" authorId="0" shapeId="0" xr:uid="{E851798F-1597-4D7B-A3B7-40BA5FED72B6}">
      <text>
        <r>
          <rPr>
            <b/>
            <sz val="9"/>
            <color indexed="81"/>
            <rFont val="Tahoma"/>
            <family val="2"/>
            <charset val="186"/>
          </rPr>
          <t>Sarmīte Mūze:</t>
        </r>
        <r>
          <rPr>
            <sz val="9"/>
            <color indexed="81"/>
            <rFont val="Tahoma"/>
            <family val="2"/>
            <charset val="186"/>
          </rPr>
          <t xml:space="preserve">
Šis ir jāizņem no 0930 un jāliek 0982 algā.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Sarmīte Mūze</author>
  </authors>
  <commentList>
    <comment ref="B65" authorId="0" shapeId="0" xr:uid="{3E0ED01F-C397-419E-9F33-9F5C89FC53E9}">
      <text>
        <r>
          <rPr>
            <b/>
            <sz val="9"/>
            <color indexed="81"/>
            <rFont val="Tahoma"/>
            <family val="2"/>
            <charset val="186"/>
          </rPr>
          <t>Sarmīte Mūze:</t>
        </r>
        <r>
          <rPr>
            <sz val="9"/>
            <color indexed="81"/>
            <rFont val="Tahoma"/>
            <family val="2"/>
            <charset val="186"/>
          </rPr>
          <t xml:space="preserve">
Uz projekta sadaļu pārcelts - Uzņēmējdarbības veicināšanas programmas izveide; Piekrastes apsaimniekošanas projekts</t>
        </r>
      </text>
    </comment>
  </commentList>
</comments>
</file>

<file path=xl/sharedStrings.xml><?xml version="1.0" encoding="utf-8"?>
<sst xmlns="http://schemas.openxmlformats.org/spreadsheetml/2006/main" count="1137" uniqueCount="886">
  <si>
    <t xml:space="preserve">Ieņēmumu daļa </t>
  </si>
  <si>
    <t xml:space="preserve">N.p.k. </t>
  </si>
  <si>
    <t>Sadaļa</t>
  </si>
  <si>
    <t>Komentāri</t>
  </si>
  <si>
    <t>Komentāri par izpildi</t>
  </si>
  <si>
    <t>1., 2., 3., 4., 5.</t>
  </si>
  <si>
    <t>Nodokļu ieņēmumi</t>
  </si>
  <si>
    <t>1.1.1.0.</t>
  </si>
  <si>
    <t>1.</t>
  </si>
  <si>
    <t>Iedzīvotāju ienākuma nodoklis</t>
  </si>
  <si>
    <t>PB</t>
  </si>
  <si>
    <t>1.1.</t>
  </si>
  <si>
    <t>01.1.1.2.</t>
  </si>
  <si>
    <t>1.2.</t>
  </si>
  <si>
    <t>pārskata gada</t>
  </si>
  <si>
    <t>4.1.1.0.</t>
  </si>
  <si>
    <t>2.</t>
  </si>
  <si>
    <t>Nekustamā īpašuma nodoklis par zemi</t>
  </si>
  <si>
    <t>04.1.1.1.</t>
  </si>
  <si>
    <t>2.1.</t>
  </si>
  <si>
    <t>04.1.1.2.</t>
  </si>
  <si>
    <t>2.2.</t>
  </si>
  <si>
    <t>iepriekšējo gadu parādi</t>
  </si>
  <si>
    <t>4.1.2.0.</t>
  </si>
  <si>
    <t>3.</t>
  </si>
  <si>
    <t>Nekustamā īpašuma nodoklis par ēkām</t>
  </si>
  <si>
    <t>04.1.2.1.</t>
  </si>
  <si>
    <t>3.1.</t>
  </si>
  <si>
    <t xml:space="preserve">pārskata gada </t>
  </si>
  <si>
    <t>04.1.2.2.</t>
  </si>
  <si>
    <t>3.2.</t>
  </si>
  <si>
    <t>4.1.3.0.</t>
  </si>
  <si>
    <t>4.</t>
  </si>
  <si>
    <t>Nekustamā īpašuma nodoklis par mājokļiem un inženierbūvēm</t>
  </si>
  <si>
    <t>04.1.3.1.</t>
  </si>
  <si>
    <t>4.1.</t>
  </si>
  <si>
    <t>04.1.3.2.</t>
  </si>
  <si>
    <t>4.2.</t>
  </si>
  <si>
    <t>5.</t>
  </si>
  <si>
    <t>Azartspēļu nodoklis</t>
  </si>
  <si>
    <t>9.0.0.0.</t>
  </si>
  <si>
    <t>6.</t>
  </si>
  <si>
    <t>Valsts (pašvaldību) un kancelejas nodevas</t>
  </si>
  <si>
    <t>9.4.0.0.</t>
  </si>
  <si>
    <t>6.1.</t>
  </si>
  <si>
    <t>valsts nodevas</t>
  </si>
  <si>
    <t>09.4.2.0.</t>
  </si>
  <si>
    <t>6.1.1.</t>
  </si>
  <si>
    <t>t.sk.: - par apliecinājumiem un citu funkciju pildīšanu bāriņtiesā</t>
  </si>
  <si>
    <t>09.4.5.0.</t>
  </si>
  <si>
    <t>6.1.2.</t>
  </si>
  <si>
    <t>09.4.9.0.</t>
  </si>
  <si>
    <t>6.1.3.</t>
  </si>
  <si>
    <t>9.5.0.0.</t>
  </si>
  <si>
    <t>6.2.</t>
  </si>
  <si>
    <t>pašvaldību nodevas</t>
  </si>
  <si>
    <t>09.5.1.1.</t>
  </si>
  <si>
    <t>6.2.1.</t>
  </si>
  <si>
    <t>09.5.1.4.</t>
  </si>
  <si>
    <t>6.2.2.</t>
  </si>
  <si>
    <t>6.2.3.</t>
  </si>
  <si>
    <t>09.5.1.7.</t>
  </si>
  <si>
    <t>6.2.4.</t>
  </si>
  <si>
    <t>09.5.2.1.</t>
  </si>
  <si>
    <t>6.2.5.</t>
  </si>
  <si>
    <t>09.5.2.9.</t>
  </si>
  <si>
    <t>6.2.6.</t>
  </si>
  <si>
    <t>10.0.0.0.</t>
  </si>
  <si>
    <t>7.</t>
  </si>
  <si>
    <t>Naudas sodi un sankcijas</t>
  </si>
  <si>
    <t>10.1.4.0.</t>
  </si>
  <si>
    <t>7.1.</t>
  </si>
  <si>
    <t>10.1.5.0.</t>
  </si>
  <si>
    <t>7.2.</t>
  </si>
  <si>
    <t>Naudas sodi, ko uzliek par pārkāpumiem ceļu satiksmē</t>
  </si>
  <si>
    <t>12.0.0.0.</t>
  </si>
  <si>
    <t>8.</t>
  </si>
  <si>
    <t>Pārējie nenodokļu ieņēmumi</t>
  </si>
  <si>
    <t>8.1.</t>
  </si>
  <si>
    <t>citi nenodokļu ieņēmumi</t>
  </si>
  <si>
    <t>8.2.</t>
  </si>
  <si>
    <t>8.3.</t>
  </si>
  <si>
    <t>9.</t>
  </si>
  <si>
    <t>Ieņēmumi no pašvaldības īpašuma pārdošana</t>
  </si>
  <si>
    <t>9.1.</t>
  </si>
  <si>
    <t>9.2.</t>
  </si>
  <si>
    <t>10.</t>
  </si>
  <si>
    <t>Valsts budžeta transferti</t>
  </si>
  <si>
    <t>mērķdotācija</t>
  </si>
  <si>
    <t>18.6.2.3.</t>
  </si>
  <si>
    <t>10.1.</t>
  </si>
  <si>
    <t>dotācija mākslas skolas algām</t>
  </si>
  <si>
    <t>18.6.2.4.</t>
  </si>
  <si>
    <t>10.2.</t>
  </si>
  <si>
    <t>dotācija sporta skolai</t>
  </si>
  <si>
    <t>dotācija skolēnu ēdināšanai</t>
  </si>
  <si>
    <t>18.6.2.5.</t>
  </si>
  <si>
    <t>18.6.2.0.</t>
  </si>
  <si>
    <t>dotācijas pedagogu algām (vsk., PII)</t>
  </si>
  <si>
    <t>18.6.2.2.</t>
  </si>
  <si>
    <t>t.sk.: - piecgadīgo bērnu apmācība</t>
  </si>
  <si>
    <t>18.6.2.1.</t>
  </si>
  <si>
    <t>18.6.2.9.</t>
  </si>
  <si>
    <t>18.6.2.7.</t>
  </si>
  <si>
    <t>dotācija asistenta pakalpojumu nodrošināšanai</t>
  </si>
  <si>
    <t>pārējās dotācijas</t>
  </si>
  <si>
    <t>18.6.3.6.</t>
  </si>
  <si>
    <t>11.</t>
  </si>
  <si>
    <t>Pašvaldību budžeta transferti</t>
  </si>
  <si>
    <t>19.2.1.0.</t>
  </si>
  <si>
    <t>11.1.</t>
  </si>
  <si>
    <t>no citām pašvaldībām izglītības funkciju nodrošināšanai</t>
  </si>
  <si>
    <t>11.2.</t>
  </si>
  <si>
    <t>12.</t>
  </si>
  <si>
    <t>Budžeta iestāžu ieņēmumi</t>
  </si>
  <si>
    <t>21.3.5.0.</t>
  </si>
  <si>
    <t>12.1.</t>
  </si>
  <si>
    <t>12.1.1.</t>
  </si>
  <si>
    <t>21.3.5.2.</t>
  </si>
  <si>
    <t>12.1.2.</t>
  </si>
  <si>
    <t>21.3.5.9.</t>
  </si>
  <si>
    <t>21.3.8.0.</t>
  </si>
  <si>
    <t>12.2.</t>
  </si>
  <si>
    <t>ieņēmumi par nomu un īri</t>
  </si>
  <si>
    <t>21.3.8.1.</t>
  </si>
  <si>
    <t>12.2.1.</t>
  </si>
  <si>
    <t>21.3.8.4.</t>
  </si>
  <si>
    <t>12.2.2.</t>
  </si>
  <si>
    <t>21.3.9.0.</t>
  </si>
  <si>
    <t>12.3.</t>
  </si>
  <si>
    <t>budžeta iestāžu maksas pakalpojumi</t>
  </si>
  <si>
    <t>12.4.</t>
  </si>
  <si>
    <t>KOPĀ IEŅĒMUMI:</t>
  </si>
  <si>
    <t>13.</t>
  </si>
  <si>
    <t>Naudas līdzekļu atlikums gada sākumā</t>
  </si>
  <si>
    <t>13.1.</t>
  </si>
  <si>
    <t>Naudas atlikums iezīmētiem mērķiem</t>
  </si>
  <si>
    <t>13.2.</t>
  </si>
  <si>
    <t>Naudas atlikums pašvaldības līdzekļi</t>
  </si>
  <si>
    <t xml:space="preserve">14. </t>
  </si>
  <si>
    <t>Valsts Kases kredīti</t>
  </si>
  <si>
    <t>PAVISAM KOPĀ IEŅĒMUMI:</t>
  </si>
  <si>
    <t xml:space="preserve">Izdevumu daļa </t>
  </si>
  <si>
    <t>Vispārējie valdības dienesti</t>
  </si>
  <si>
    <t>pārvalde</t>
  </si>
  <si>
    <t>deputāti</t>
  </si>
  <si>
    <t>1.3.</t>
  </si>
  <si>
    <t>administratīvā komisija</t>
  </si>
  <si>
    <t>1.4.</t>
  </si>
  <si>
    <t>iepirkumu komisija</t>
  </si>
  <si>
    <t>1.5.</t>
  </si>
  <si>
    <t>vēlēšanu komisija</t>
  </si>
  <si>
    <t>1.6.</t>
  </si>
  <si>
    <t>1.7.</t>
  </si>
  <si>
    <t>1.8.</t>
  </si>
  <si>
    <t>aizņēmumu procentu maksājumi</t>
  </si>
  <si>
    <t>Iemaksas PFIF</t>
  </si>
  <si>
    <t>Izdevumi neparedzētiem gadījumiem</t>
  </si>
  <si>
    <t>Sabiedriskā kārtība un drošība</t>
  </si>
  <si>
    <t>Sabiedriskās attiecības, laikraksts</t>
  </si>
  <si>
    <t>Pašvaldības teritoriju un mājokļu apsaimniekošana</t>
  </si>
  <si>
    <t>5.1.</t>
  </si>
  <si>
    <t>Būvvalde</t>
  </si>
  <si>
    <t>5.2.</t>
  </si>
  <si>
    <t>nodaļa</t>
  </si>
  <si>
    <t>5.3.</t>
  </si>
  <si>
    <t>Objektu un teritorijas apsaimniekošana un uzturēšana</t>
  </si>
  <si>
    <t>5.4.</t>
  </si>
  <si>
    <t>Atpūta, kultūra un reliģija</t>
  </si>
  <si>
    <t>6.3.</t>
  </si>
  <si>
    <t>Sporta daļa</t>
  </si>
  <si>
    <t>6.4.</t>
  </si>
  <si>
    <t>Evaņģēliski luteriskās draudzes</t>
  </si>
  <si>
    <t>6.5.</t>
  </si>
  <si>
    <t>Sociālā aizsardzība</t>
  </si>
  <si>
    <t>Sociālais dienests</t>
  </si>
  <si>
    <t>Stipendiāti / bezdarbnieki</t>
  </si>
  <si>
    <t>7.3.</t>
  </si>
  <si>
    <t>Bāriņtiesa</t>
  </si>
  <si>
    <t>Izglītība</t>
  </si>
  <si>
    <t>Norēķini ar pašvaldību budžetiem par izglītības iestāžu pakalpojumiem</t>
  </si>
  <si>
    <t>Ādažu Pirmsskolas izglītības iestāde</t>
  </si>
  <si>
    <t>8.2.1.</t>
  </si>
  <si>
    <t>pedagogu algas (mērķdotācija)</t>
  </si>
  <si>
    <t>8.2.2.</t>
  </si>
  <si>
    <t>pārējās izmaksas</t>
  </si>
  <si>
    <t>Kadagas PII</t>
  </si>
  <si>
    <t>8.3.1.</t>
  </si>
  <si>
    <t>8.3.2.</t>
  </si>
  <si>
    <t>8.4.</t>
  </si>
  <si>
    <t>Privātās izglītības iestādes</t>
  </si>
  <si>
    <t>ĀBVS</t>
  </si>
  <si>
    <t>8.5.</t>
  </si>
  <si>
    <t>Ādažu vidusskola</t>
  </si>
  <si>
    <t>8.6.</t>
  </si>
  <si>
    <t>8.7.</t>
  </si>
  <si>
    <t>Sporta skola</t>
  </si>
  <si>
    <t>8.8.</t>
  </si>
  <si>
    <t>Ieguldījumi uzņēmumu pamatkapitālā</t>
  </si>
  <si>
    <t>SIA "Ādažu ūdens"</t>
  </si>
  <si>
    <t>SIA "Garkalnes ūdens"</t>
  </si>
  <si>
    <t>KOPĀ IZDEVUMI:</t>
  </si>
  <si>
    <t>Kredītu pamatsummas atmaksa</t>
  </si>
  <si>
    <t>PAVISAM KOPĀ IZDEVUMI:</t>
  </si>
  <si>
    <t>-</t>
  </si>
  <si>
    <t>Naudas līdzekļu atlikums uz gada beigām</t>
  </si>
  <si>
    <t>0110</t>
  </si>
  <si>
    <t>0111</t>
  </si>
  <si>
    <t>0120</t>
  </si>
  <si>
    <t>0130</t>
  </si>
  <si>
    <t>0140</t>
  </si>
  <si>
    <t>0150</t>
  </si>
  <si>
    <t>0490</t>
  </si>
  <si>
    <t>0340</t>
  </si>
  <si>
    <t>0610</t>
  </si>
  <si>
    <t>0630</t>
  </si>
  <si>
    <t>0812</t>
  </si>
  <si>
    <t>0830</t>
  </si>
  <si>
    <t>0880</t>
  </si>
  <si>
    <t>0910</t>
  </si>
  <si>
    <t>0950</t>
  </si>
  <si>
    <t>0965</t>
  </si>
  <si>
    <t>0970</t>
  </si>
  <si>
    <t>Mērķdotācija</t>
  </si>
  <si>
    <t>Pašvaldības finansējums</t>
  </si>
  <si>
    <t>Pabalsti</t>
  </si>
  <si>
    <t>7.1.1.</t>
  </si>
  <si>
    <t>Asistentu pakalpojumi</t>
  </si>
  <si>
    <t>7.1.2.</t>
  </si>
  <si>
    <t>Domes finansējums</t>
  </si>
  <si>
    <t>NVA finansējums</t>
  </si>
  <si>
    <t>0930</t>
  </si>
  <si>
    <t>5.6.</t>
  </si>
  <si>
    <t>pārējās komisijas</t>
  </si>
  <si>
    <t>projekts Erasmus+</t>
  </si>
  <si>
    <t>pedagogu algas, grāmatas (mērķdotācija)</t>
  </si>
  <si>
    <t>6.6.</t>
  </si>
  <si>
    <t>13.1.0.0.</t>
  </si>
  <si>
    <t>SAM 9.2.4.2. projekts "Pasākumi vietējās sabiedrības veselības veicināšanai Ādažu novadā"</t>
  </si>
  <si>
    <t>Multihalle</t>
  </si>
  <si>
    <t>0981</t>
  </si>
  <si>
    <t>līgumsodi un procentu maksājumi par saistību neizpildi</t>
  </si>
  <si>
    <t>12.3.9.5.</t>
  </si>
  <si>
    <t>19.2.2.0.</t>
  </si>
  <si>
    <t>citi ieņēmumi no citām pašvaldībam</t>
  </si>
  <si>
    <t>ES struktūrfondu līdzekļi un aktivitāšu līdzfinansējumi</t>
  </si>
  <si>
    <t>Valsts budžeta transferti un projektu finansējums</t>
  </si>
  <si>
    <t>VISA projekts "Atbalsts izglītojamo individuālo kompetenču attīstībai"</t>
  </si>
  <si>
    <t>SAM 9311 Deinstitucionalizācija - Dienas centrs</t>
  </si>
  <si>
    <t>0956</t>
  </si>
  <si>
    <t>7.4.</t>
  </si>
  <si>
    <t>dotācija sociālajiem darbiniekiem, kuri strādā ar ģimenēm un bērniem</t>
  </si>
  <si>
    <t xml:space="preserve">18.6.3.13. </t>
  </si>
  <si>
    <t>sākumskolas uzturēšanas izmaksas</t>
  </si>
  <si>
    <t xml:space="preserve">Komentāri </t>
  </si>
  <si>
    <t>projekts "Skolas soma"</t>
  </si>
  <si>
    <t>dotācija māksliniecisko kolektīvu vadītāju atalgojumam</t>
  </si>
  <si>
    <t>18.6.2.6.1.</t>
  </si>
  <si>
    <t>Pārējās privātās vidējās izglītības iestādes</t>
  </si>
  <si>
    <t>ēdināšana (mērķdotācija)</t>
  </si>
  <si>
    <t>sākumskolas ēdināšana (mērķdotācija)</t>
  </si>
  <si>
    <t>18.6.2.10.; 18.6.2.11</t>
  </si>
  <si>
    <t>0911</t>
  </si>
  <si>
    <t>0921</t>
  </si>
  <si>
    <t>valsts dotācija ceļu uzturēšanai</t>
  </si>
  <si>
    <t>0951</t>
  </si>
  <si>
    <t>0952</t>
  </si>
  <si>
    <t xml:space="preserve">PII </t>
  </si>
  <si>
    <t>-  uzturēšana</t>
  </si>
  <si>
    <t>t.sk.: - par civilstāvokļa aktu reģistrēšanu, grozīšanu un papildināšanu</t>
  </si>
  <si>
    <t>t.sk.: - pārējās valsts nodevas, kuras ieskaita pašvaldību budžetā</t>
  </si>
  <si>
    <t>t.sk.: - nodeva par domes izstrādāto oficiālo dokumentu saņemšanu</t>
  </si>
  <si>
    <t>t.sk.: - nodeva par tirdzniecību publiskās vietās</t>
  </si>
  <si>
    <t>t.sk.: - nodeva par reklāmas, afišu un sludinājumu izvietošanu publiskās vietās</t>
  </si>
  <si>
    <t>t.sk.: - nodeva par būvatļaujas saņemšanu</t>
  </si>
  <si>
    <t>t.sk.: - pārējās nodevas</t>
  </si>
  <si>
    <t>t.sk.: - skolotāju algām</t>
  </si>
  <si>
    <t>t.sk.: - interešu izglītība</t>
  </si>
  <si>
    <t>t.sk.: - nodeva par izklaidējoša rakstura pasākumu sarīkošanu publiskās vietās</t>
  </si>
  <si>
    <t>12.4.1.</t>
  </si>
  <si>
    <t>12.4.2.</t>
  </si>
  <si>
    <t>12.5.</t>
  </si>
  <si>
    <t>1.9.</t>
  </si>
  <si>
    <t>Autoceļu fonds</t>
  </si>
  <si>
    <t>CKS</t>
  </si>
  <si>
    <t>Projekts "Sabiedrība ar dvēseli"</t>
  </si>
  <si>
    <t>Pirmsskolas izglītības iestāde "Riekstiņš"</t>
  </si>
  <si>
    <t>Carnikava</t>
  </si>
  <si>
    <t>Kultūra</t>
  </si>
  <si>
    <t>Pirmsskolas izglītības iestādes "Piejūra"</t>
  </si>
  <si>
    <t>7.1.3.</t>
  </si>
  <si>
    <t>Projekts "Skolas soma" Ādaži</t>
  </si>
  <si>
    <t>ESF projekts Karjeras atbalsts vispārējās un profesionālās izglītības iestādēs ©</t>
  </si>
  <si>
    <t>12.3.1.</t>
  </si>
  <si>
    <t>12.3.2.</t>
  </si>
  <si>
    <t>ieņēmumi par telpu nomu</t>
  </si>
  <si>
    <t>ieņēmumi par zemes nomu</t>
  </si>
  <si>
    <t>12.3.3.</t>
  </si>
  <si>
    <t>pārējie ieņēmumi par nomu ©</t>
  </si>
  <si>
    <t>ieņēmumi no zvejas tiesību nomas</t>
  </si>
  <si>
    <t>Informācijas tehnoloģiju nodaļa, vispārējas nozīmes dienestu darbība un pakalpojumi - datortīkla uzturēšana ©</t>
  </si>
  <si>
    <t>Tautas nams "Ozolaine" ©</t>
  </si>
  <si>
    <t>SAM 5.5.1. Kultūras objektu būvniecība (maksājumi projekta partneriem) ©</t>
  </si>
  <si>
    <t>ES projekts Eiropa pilsoņiem (diskriminētām personām) ©</t>
  </si>
  <si>
    <t>Ādažu pašvaldības apvienotais budžets</t>
  </si>
  <si>
    <t>Ādaži</t>
  </si>
  <si>
    <t>ERASMUS + projekti</t>
  </si>
  <si>
    <t>0952.1</t>
  </si>
  <si>
    <t>0954</t>
  </si>
  <si>
    <t>0957</t>
  </si>
  <si>
    <t>09824</t>
  </si>
  <si>
    <t>09011</t>
  </si>
  <si>
    <t>0901; 650_0901</t>
  </si>
  <si>
    <t>0902; 650_0902</t>
  </si>
  <si>
    <t>09021</t>
  </si>
  <si>
    <t>0982</t>
  </si>
  <si>
    <t>09821</t>
  </si>
  <si>
    <t>09822</t>
  </si>
  <si>
    <t>0932</t>
  </si>
  <si>
    <t>0931</t>
  </si>
  <si>
    <t>5.5.</t>
  </si>
  <si>
    <t>7.5.</t>
  </si>
  <si>
    <t>0831</t>
  </si>
  <si>
    <t>0170</t>
  </si>
  <si>
    <t>0670</t>
  </si>
  <si>
    <t>Projekts "Skolas soma" Carnikava</t>
  </si>
  <si>
    <t>Teritorijas plānošanas nodaļa</t>
  </si>
  <si>
    <t>Attīstības un projektu nodaļa</t>
  </si>
  <si>
    <t>P/A "Carnikavas komunālserviss" teritorijas un īpašumu apsaimniekošana</t>
  </si>
  <si>
    <t xml:space="preserve">Ādažu kultūras centrs </t>
  </si>
  <si>
    <t xml:space="preserve">Ādažu bibliotēka </t>
  </si>
  <si>
    <t xml:space="preserve">Carnikavas bibliotēka </t>
  </si>
  <si>
    <t xml:space="preserve">Sociālās funkcijas nodrošināšana </t>
  </si>
  <si>
    <t>”Mobilitātes punkta infrastruktūras izveidošana Rīgas metropoles areālā – “Carnikava””</t>
  </si>
  <si>
    <t>Maģistrālā  veloceļa izbūve Rīga-Carnikava</t>
  </si>
  <si>
    <t>mācību vides labiekārtošana</t>
  </si>
  <si>
    <t>Nodokļi un maksājumi par tiesībām lietot atsevišķas preces</t>
  </si>
  <si>
    <t>Ekonomiskā darbība</t>
  </si>
  <si>
    <t>Dabas resursu nodokļa izlietojums</t>
  </si>
  <si>
    <t>Vides aizsardzība</t>
  </si>
  <si>
    <t>7.6.</t>
  </si>
  <si>
    <t>7.7.</t>
  </si>
  <si>
    <t>8.3.3.</t>
  </si>
  <si>
    <t>Sabiedrisko attiecību nodaļa</t>
  </si>
  <si>
    <t>0841.3</t>
  </si>
  <si>
    <t>0841.2</t>
  </si>
  <si>
    <t>1014.1</t>
  </si>
  <si>
    <t>0510</t>
  </si>
  <si>
    <t>0420</t>
  </si>
  <si>
    <t>0633.1</t>
  </si>
  <si>
    <t>0633.2</t>
  </si>
  <si>
    <t>0841.1</t>
  </si>
  <si>
    <t>1013.1</t>
  </si>
  <si>
    <t>1., 2., 3., 4.</t>
  </si>
  <si>
    <t>Nekustamā īpašuma nodokļu ieņēmumi</t>
  </si>
  <si>
    <t>Dabas resursu nodoklis</t>
  </si>
  <si>
    <t>5.5.3.1.</t>
  </si>
  <si>
    <t>5.4.1.0.</t>
  </si>
  <si>
    <t>10.1.1.</t>
  </si>
  <si>
    <t>10.1.2.</t>
  </si>
  <si>
    <t>10.1.3.</t>
  </si>
  <si>
    <t>10.1.4.</t>
  </si>
  <si>
    <t>10.1.5.</t>
  </si>
  <si>
    <t xml:space="preserve">  10.1.5.1.</t>
  </si>
  <si>
    <t xml:space="preserve">  10.1.5.2.</t>
  </si>
  <si>
    <t xml:space="preserve">  10.1.5.3.</t>
  </si>
  <si>
    <t>10.1.6.</t>
  </si>
  <si>
    <t>10.1.7.</t>
  </si>
  <si>
    <t>10.1.8.</t>
  </si>
  <si>
    <t>10.1.9.</t>
  </si>
  <si>
    <t>10.1.10.</t>
  </si>
  <si>
    <t>10.1.11.</t>
  </si>
  <si>
    <t>10.2.1.</t>
  </si>
  <si>
    <t>10.2.2.</t>
  </si>
  <si>
    <t>10.2.3.</t>
  </si>
  <si>
    <t>10.2.5.</t>
  </si>
  <si>
    <t>10.2.6.</t>
  </si>
  <si>
    <t>10.2.8.</t>
  </si>
  <si>
    <t>10.2.10.</t>
  </si>
  <si>
    <t>10.2.11.</t>
  </si>
  <si>
    <t>18.6.4.0.</t>
  </si>
  <si>
    <t>IIN budžeta dotācija</t>
  </si>
  <si>
    <t>10.3.</t>
  </si>
  <si>
    <t>0620</t>
  </si>
  <si>
    <t>0633.4</t>
  </si>
  <si>
    <t>0634</t>
  </si>
  <si>
    <t>0844.1</t>
  </si>
  <si>
    <t>0844.2</t>
  </si>
  <si>
    <t>0420 (18.6.2.9.)</t>
  </si>
  <si>
    <t>F40321210</t>
  </si>
  <si>
    <t>0933</t>
  </si>
  <si>
    <t>09651</t>
  </si>
  <si>
    <t>0920</t>
  </si>
  <si>
    <t>09825</t>
  </si>
  <si>
    <t>0660</t>
  </si>
  <si>
    <t>Ādažu vēstis</t>
  </si>
  <si>
    <t>Iedzīvotāju iniciatīvas un konkursi.</t>
  </si>
  <si>
    <t>10.2.13.</t>
  </si>
  <si>
    <t>10.2.14.</t>
  </si>
  <si>
    <t>0630.2</t>
  </si>
  <si>
    <t>0630.1</t>
  </si>
  <si>
    <t>Dotācijas Ukrainas pilsoņu atbalstam</t>
  </si>
  <si>
    <t xml:space="preserve">  10.1.4.1.</t>
  </si>
  <si>
    <t xml:space="preserve">  10.1.4.2.</t>
  </si>
  <si>
    <t>t.sk.: - dotācija mācību grāmatām</t>
  </si>
  <si>
    <t>dotācija mācību līdzekļiem</t>
  </si>
  <si>
    <t>t.sk.: - dotācija digitālajiem mācību līdzekļiem</t>
  </si>
  <si>
    <t>21.3.8.9.</t>
  </si>
  <si>
    <t>7.2.1.</t>
  </si>
  <si>
    <t>7.2.2.</t>
  </si>
  <si>
    <t xml:space="preserve">0633.1 </t>
  </si>
  <si>
    <t xml:space="preserve"> ”Mobilitātes punkta infrastruktūras izveidošana Rīgas metropoles areālā – “Carnikava””</t>
  </si>
  <si>
    <t>Dotācijas "Energoresursu atbalsts"</t>
  </si>
  <si>
    <t>Valsts finansējums projektu konkursā "Atbalsts jaunatnes politikas īstenošanai vietējā līmenī"  projekts "Mobilais darbs ar jaunatni Ādažu novadā"</t>
  </si>
  <si>
    <t>0912</t>
  </si>
  <si>
    <t>TEP “Atjaunojamo energoresursu izmantošana Ādažu novadā” (EUCF)</t>
  </si>
  <si>
    <t>SAM 5.1.1. Pretplūdu pasākumi Ādažu centra polderī, Ādažu novadā</t>
  </si>
  <si>
    <t>0632.5</t>
  </si>
  <si>
    <t>14.1.</t>
  </si>
  <si>
    <t>14.2.</t>
  </si>
  <si>
    <t>14.4.</t>
  </si>
  <si>
    <t>14.5.</t>
  </si>
  <si>
    <t>14.6.</t>
  </si>
  <si>
    <t>Plūdu risku projekts</t>
  </si>
  <si>
    <t>Dotācija nodarbinātības pasākumiem</t>
  </si>
  <si>
    <t>10.2.9.</t>
  </si>
  <si>
    <t>10.2.12.</t>
  </si>
  <si>
    <t>DI centra uzturēšanas izdevumi</t>
  </si>
  <si>
    <t>DI centra pakalpojumi (projekts)</t>
  </si>
  <si>
    <t>Ādažu novada  Mākslu skola</t>
  </si>
  <si>
    <t>DI projekts- specializētās darbnīcas</t>
  </si>
  <si>
    <t>ieņēmumi no vecāku maksām (PII)</t>
  </si>
  <si>
    <t>ieņēmumi no vecāku maksām (ĀMMS; BJSS)</t>
  </si>
  <si>
    <t>21.3.9.3.</t>
  </si>
  <si>
    <t>ieņēmumi no biļešu realizācijas</t>
  </si>
  <si>
    <t>maksa par izglītības pakalpojumiem</t>
  </si>
  <si>
    <t>pārējie ieņēmumi/stāvvietu ieņēmumi</t>
  </si>
  <si>
    <t>09.5.1.2.</t>
  </si>
  <si>
    <t>KA</t>
  </si>
  <si>
    <t>uzturēšanas izmaksas (CKS)</t>
  </si>
  <si>
    <t>Muzejs un Carnikavas novadpētniecības centrs</t>
  </si>
  <si>
    <t>0843</t>
  </si>
  <si>
    <t>1014.3</t>
  </si>
  <si>
    <t>14.10.</t>
  </si>
  <si>
    <t>EKII projekts</t>
  </si>
  <si>
    <t>Draudzības iela posmā no Saules ielai līdz Podnieku ielai ar ietvi 0.35km</t>
  </si>
  <si>
    <t>Dotācija CKS teritorijas uzturēšanai</t>
  </si>
  <si>
    <t>Dotācija CKS ceļu uzturēšanai</t>
  </si>
  <si>
    <t>Teritorijas uzturēšana (Dome)</t>
  </si>
  <si>
    <t>10.1.12.</t>
  </si>
  <si>
    <t>10.1.13.</t>
  </si>
  <si>
    <t>10.1.14.</t>
  </si>
  <si>
    <t>Izmaiņa 23.03.2023. - 26.01.2023.</t>
  </si>
  <si>
    <t>Tiek ieskaitīts reizi ceturksnī.</t>
  </si>
  <si>
    <t>Realizē CKS</t>
  </si>
  <si>
    <t>Par projekta gaitu ziņo izpilddirektors.</t>
  </si>
  <si>
    <t>Par projekta gaitu ziņo CKS.</t>
  </si>
  <si>
    <t>Pedagogiem atvaļinājumi vasarā.</t>
  </si>
  <si>
    <t>08412</t>
  </si>
  <si>
    <t>Periods:</t>
  </si>
  <si>
    <t>IEŅĒMUMI</t>
  </si>
  <si>
    <t>IEŅĒMUMI kopā</t>
  </si>
  <si>
    <t>1. Nodokļu ieņēmumi</t>
  </si>
  <si>
    <t>1.1. Iedzīvotāju ienākuma nodoklis</t>
  </si>
  <si>
    <t>1.2. Nekustamā īpašuma nodokļu ieņēmumi</t>
  </si>
  <si>
    <t>2. Valsts (pašvaldību) un kancelejas nodevas</t>
  </si>
  <si>
    <t>3. Naudas sodi un sankcijas</t>
  </si>
  <si>
    <t>4. Pārējie nenodokļu ieņēmumi</t>
  </si>
  <si>
    <t>5. Ieņēmumi no pašvaldības īpašuma pārdošanas</t>
  </si>
  <si>
    <t>6. Valsts budžeta transferti un projektu finansējums</t>
  </si>
  <si>
    <t>6.1. Valsts budžeta transferti</t>
  </si>
  <si>
    <t>7. Pašvaldību budžeta transferti</t>
  </si>
  <si>
    <t>8. Budžeta iestāžu ieņēmumi</t>
  </si>
  <si>
    <t>IZDEVUMI</t>
  </si>
  <si>
    <t>IZDEVUMI kopā</t>
  </si>
  <si>
    <t>1. Vispārējie valdības dienesti</t>
  </si>
  <si>
    <t>2. Sabiedriskā kārtība un drošība (bāze)</t>
  </si>
  <si>
    <t>3. Sabiedriskās attiecības, laikraksts</t>
  </si>
  <si>
    <t>4. Autoceļu fonds</t>
  </si>
  <si>
    <t>5. Vides aizsardzība (DRN izlietojums)</t>
  </si>
  <si>
    <t>6. Pašv. teritoriju un mājokļu apsaimniekošana</t>
  </si>
  <si>
    <t>7. Atpūta, kultūra un reliģija</t>
  </si>
  <si>
    <t>8. Sociālā aizsardzība</t>
  </si>
  <si>
    <t>9. Izglītība</t>
  </si>
  <si>
    <t>10. Kredītu pamatsummas atmaksa</t>
  </si>
  <si>
    <t>Rēķins par visu gadu gada sākumā, var nomaksāt 4os maksājumos.</t>
  </si>
  <si>
    <t>Pēc faktiskās izpildes.</t>
  </si>
  <si>
    <t>Par projektiem ziņo IDR</t>
  </si>
  <si>
    <t>Lielākās plāna pozīcijas bērnu radošās nometnes vasarā.</t>
  </si>
  <si>
    <t>1.1. Pārvalde, deputāti, komisijas</t>
  </si>
  <si>
    <t>1.2. Aizņēmumu procentu maksājumi</t>
  </si>
  <si>
    <t>1.3. Iemaksas PFIF</t>
  </si>
  <si>
    <t>6.4. Projekti</t>
  </si>
  <si>
    <t>6.2. ES struktūrfondu līdzekļi un aktivitāšu līdzfin.</t>
  </si>
  <si>
    <t>8.2. Ieņēmumi par nomu un īri</t>
  </si>
  <si>
    <t>6.1. APN, NĪN, TPN, Būvvalde</t>
  </si>
  <si>
    <t>9.6. Privātās izglītības iestādes</t>
  </si>
  <si>
    <t>9.7. Carnikavas pamatskola</t>
  </si>
  <si>
    <t>9.8. Ādažu vidusskola</t>
  </si>
  <si>
    <t>9.9. Ādažu novada  Mākslu skola</t>
  </si>
  <si>
    <t>9.10. Sporta skola</t>
  </si>
  <si>
    <t xml:space="preserve">9.11. Izglītības un jauniešu lietu pārvalde </t>
  </si>
  <si>
    <t>9.12. Projekti</t>
  </si>
  <si>
    <t>9.2. Ādažu PII "Strautiņš"</t>
  </si>
  <si>
    <t>9.3. Kadagas PII "Mežavēji"</t>
  </si>
  <si>
    <t>9.4. Carnikavas PII "Riekstiņš"</t>
  </si>
  <si>
    <t>9.5. Siguļu PII "Piejūra"</t>
  </si>
  <si>
    <t>9.1. Norēķini ar pašvaldībām par izglītības iestāžu pakalp.</t>
  </si>
  <si>
    <t>Līdzfinansējums skolēnu dalībai konkursos</t>
  </si>
  <si>
    <t>Izglītības un jaunatnes nodaļa</t>
  </si>
  <si>
    <t>0633.6</t>
  </si>
  <si>
    <t>Tūrisms</t>
  </si>
  <si>
    <t>ANM pasākuma "Atbalsta pasākumi cilvēkiem ar invaliditāti mājokļu vides pieejamības nodrošināšanai" projekts</t>
  </si>
  <si>
    <t>Ādažu vidusskolas ēkas A korpusa, savienojuma daļas starp korpusiem (A un B), kā arī, vidusskolas centrālās daļas, tai skaitā torņa fasādes atjaunošana.</t>
  </si>
  <si>
    <t>0632.6</t>
  </si>
  <si>
    <t>LIFE NewBauhaus projekts</t>
  </si>
  <si>
    <t>Krastupes ielas projekts</t>
  </si>
  <si>
    <t>Dzirnupes ielas tilta projekts, Carnikava</t>
  </si>
  <si>
    <t xml:space="preserve">Pārējās privātās PII </t>
  </si>
  <si>
    <t>Publiskās ārtelpas izveide Gaujas ielā 31 Ādažos</t>
  </si>
  <si>
    <t>Attekas ielas turpinājums 0,5 km - projektēšana</t>
  </si>
  <si>
    <t>Valsts finansējums projektu konkursā "Atbalsts jaunatnes politikas īstenošanai vietējā līmenī" Projekts "Mobilais darbs ar jaunatni Ādažu novadā"</t>
  </si>
  <si>
    <t>Projekts jauniešu asociāciju federācija Eiropas mobilitātei. CERV programmas projekts "YOUTth and democracy: empowering Europe's next generation"</t>
  </si>
  <si>
    <t>21.3.9.9.; CKS</t>
  </si>
  <si>
    <t>AM līdzfinansējums Vecštāles ceļa rekonstrukcijai</t>
  </si>
  <si>
    <t>7.1.4.</t>
  </si>
  <si>
    <t xml:space="preserve">ESF projekts Atbalsts priekšlaicīgas mācību pārtraukšanas samazināšanai © </t>
  </si>
  <si>
    <t>10.1.15.</t>
  </si>
  <si>
    <t>2024. gada budžets</t>
  </si>
  <si>
    <t>projekti Erasmus+; NordPlus</t>
  </si>
  <si>
    <t xml:space="preserve">Apgaismes stabi Attekas ielas savienojumā no Ķiršu līdz Draudzības ielai. </t>
  </si>
  <si>
    <t>10.2.7.</t>
  </si>
  <si>
    <t>- uzturēšanas izmaksas (CKS)</t>
  </si>
  <si>
    <t>sākumskolas uzturēšanas izmaksas (CKS)</t>
  </si>
  <si>
    <t>-  sporta funkcijas nodrošināšana</t>
  </si>
  <si>
    <t>AND trūkstošais finansējums uz, ko jāatmaksā citām pašv.</t>
  </si>
  <si>
    <t>Jaunas pirmsskolas izglītības iestādes Podniekos būvniecība</t>
  </si>
  <si>
    <t>0903</t>
  </si>
  <si>
    <t>12.2.3.0.</t>
  </si>
  <si>
    <t>18.6.2.14.</t>
  </si>
  <si>
    <t>18.6.2.20.</t>
  </si>
  <si>
    <t>MD pedagogiem</t>
  </si>
  <si>
    <t>MD interešu izglītība</t>
  </si>
  <si>
    <t>MD mācību līdzekļiem</t>
  </si>
  <si>
    <t>0954.1</t>
  </si>
  <si>
    <t>09821.1</t>
  </si>
  <si>
    <t>- pedagogu algas, māc. līdzekļi (mērķdotācija)</t>
  </si>
  <si>
    <t>Pašvaldības DRN maksājums</t>
  </si>
  <si>
    <t>Projekts noslēdzies, konta atlikums.</t>
  </si>
  <si>
    <t>0632.7</t>
  </si>
  <si>
    <t>Atņemts EKK 7230, jo tā izpilde nāk no CKS</t>
  </si>
  <si>
    <t>1.3. Atbilstoši plānam.</t>
  </si>
  <si>
    <t>Kļavu ielā divkārtas virsmas apstrāde 0.35km</t>
  </si>
  <si>
    <t>Mežmalas ielas seguma vienkāršotā atjaunošana, 0.22km, Alderi</t>
  </si>
  <si>
    <t>DI centra uzturēšanas izdevumi (CKS)</t>
  </si>
  <si>
    <t>Uzturēšanas izdevumi (CKS)</t>
  </si>
  <si>
    <t>8.9.</t>
  </si>
  <si>
    <t>0631.2</t>
  </si>
  <si>
    <t>0634.1</t>
  </si>
  <si>
    <t>Jaunais plūdu projekts - 2.1.3.2. "Nacionālas nozīmes plūdu un krasta erozijas pasākumi" 1.daļa</t>
  </si>
  <si>
    <t xml:space="preserve">Par projekta gaitu ziņo izpilddirektors. </t>
  </si>
  <si>
    <t>8.1. Maksa par izglītības pakalpojumiem u.c. ieņēmumi</t>
  </si>
  <si>
    <t>Līdzdalības budžets</t>
  </si>
  <si>
    <t>0940.2</t>
  </si>
  <si>
    <t>0940.3</t>
  </si>
  <si>
    <t>Carnikavas vidusskola</t>
  </si>
  <si>
    <t>Norēķini notiek 3x gadā.</t>
  </si>
  <si>
    <t>Āra lifta izbūve pie A korpusa</t>
  </si>
  <si>
    <t>Ādažu vidusskolas D korpusa siltināšana</t>
  </si>
  <si>
    <t>"Upesceļi II/Ūdenstūrisma pieejamības veicināšana (RiverwaysII/Facilitating access to watertourism activities)".</t>
  </si>
  <si>
    <t>0631.3</t>
  </si>
  <si>
    <t>0904</t>
  </si>
  <si>
    <t>2025. gada budžets</t>
  </si>
  <si>
    <t>21.1.9.1.</t>
  </si>
  <si>
    <t>8.3.9.0.; 8.6.1.2.; 8.6.4.0.; 12.3.9.9.</t>
  </si>
  <si>
    <t>pārrobežu projektu ieņēmumi</t>
  </si>
  <si>
    <t>0690</t>
  </si>
  <si>
    <t>2025. gads</t>
  </si>
  <si>
    <t>3.1.1.</t>
  </si>
  <si>
    <t>3.1.2.</t>
  </si>
  <si>
    <t>5.5.1.</t>
  </si>
  <si>
    <t>5.5.2.</t>
  </si>
  <si>
    <t>5.5.3.</t>
  </si>
  <si>
    <t>5.5.4.</t>
  </si>
  <si>
    <t>5.5.5.</t>
  </si>
  <si>
    <t>5.5.6.</t>
  </si>
  <si>
    <t>5.5.7.</t>
  </si>
  <si>
    <t>5.5.8.</t>
  </si>
  <si>
    <t>5.5.9.</t>
  </si>
  <si>
    <t>5.5.10.</t>
  </si>
  <si>
    <t>5.5.11.</t>
  </si>
  <si>
    <t>5.5.12.</t>
  </si>
  <si>
    <t>5.5.13.</t>
  </si>
  <si>
    <t>5.6.1.</t>
  </si>
  <si>
    <t>5.6.2.</t>
  </si>
  <si>
    <t>5.6.3.</t>
  </si>
  <si>
    <t>5.6.4.</t>
  </si>
  <si>
    <t>5.6.6.</t>
  </si>
  <si>
    <t>5.6.7.</t>
  </si>
  <si>
    <t>5.6.10.</t>
  </si>
  <si>
    <t>5.6.11.</t>
  </si>
  <si>
    <t>5.6.12.</t>
  </si>
  <si>
    <t>5.6.13.</t>
  </si>
  <si>
    <t>5.6.14.</t>
  </si>
  <si>
    <t>5.6.15.</t>
  </si>
  <si>
    <t>5.6.16.</t>
  </si>
  <si>
    <t>6.1.4.</t>
  </si>
  <si>
    <t>7.1.5.</t>
  </si>
  <si>
    <t>7.3.1.</t>
  </si>
  <si>
    <t>7.3.2.</t>
  </si>
  <si>
    <t>7.3.3.</t>
  </si>
  <si>
    <t>7.3.4.</t>
  </si>
  <si>
    <t>8.2.3.</t>
  </si>
  <si>
    <t>8.4.1.</t>
  </si>
  <si>
    <t>8.4.2.</t>
  </si>
  <si>
    <t>8.4.3.</t>
  </si>
  <si>
    <t>8.5.1.</t>
  </si>
  <si>
    <t>8.5.2.</t>
  </si>
  <si>
    <t>8.5.3.</t>
  </si>
  <si>
    <t>8.6.1.</t>
  </si>
  <si>
    <t>8.6.2.</t>
  </si>
  <si>
    <t>8.6.3.</t>
  </si>
  <si>
    <t>8.7.1.</t>
  </si>
  <si>
    <t>8.7.1.1.</t>
  </si>
  <si>
    <t>8.7.1.2.</t>
  </si>
  <si>
    <t>8.7.1.3.</t>
  </si>
  <si>
    <t>8.7.2.</t>
  </si>
  <si>
    <t>8.7.3.</t>
  </si>
  <si>
    <t>8.7.4.</t>
  </si>
  <si>
    <t>8.7.5.</t>
  </si>
  <si>
    <t>8.7.6.</t>
  </si>
  <si>
    <t>8.7.7.</t>
  </si>
  <si>
    <t>8.8.1.</t>
  </si>
  <si>
    <t>8.8.1.1.</t>
  </si>
  <si>
    <t>8.8.1.2.</t>
  </si>
  <si>
    <t>8.8.1.3.</t>
  </si>
  <si>
    <t>8.8.2.</t>
  </si>
  <si>
    <t>8.8.3.</t>
  </si>
  <si>
    <t>8.8.4.</t>
  </si>
  <si>
    <t>8.8.5.</t>
  </si>
  <si>
    <t>8.8.6.</t>
  </si>
  <si>
    <t>8.8.7.</t>
  </si>
  <si>
    <t>8.8.8.</t>
  </si>
  <si>
    <t>8.8.9.</t>
  </si>
  <si>
    <t>8.8.10.</t>
  </si>
  <si>
    <t>8.8.11.</t>
  </si>
  <si>
    <t>8.9.1.</t>
  </si>
  <si>
    <t>8.10.</t>
  </si>
  <si>
    <t>8.10.2.</t>
  </si>
  <si>
    <t>8.10.1.</t>
  </si>
  <si>
    <t>8.11</t>
  </si>
  <si>
    <t>8.12.</t>
  </si>
  <si>
    <t>8.13.</t>
  </si>
  <si>
    <t>8.14.</t>
  </si>
  <si>
    <t>8.15.</t>
  </si>
  <si>
    <t>citi pārrobežu projektu ieņēmumi</t>
  </si>
  <si>
    <t xml:space="preserve">0631.4 </t>
  </si>
  <si>
    <t>Projekts “Infrastruktūras uzlabošana uzņēmējdarbības attīstībai Ādažos”</t>
  </si>
  <si>
    <t>8.18.</t>
  </si>
  <si>
    <t>8.18.1.</t>
  </si>
  <si>
    <t>8.18.2</t>
  </si>
  <si>
    <t>Teritorijas novērtēšana pirms būvprojekta izstrādes un būvprojekts jaunas pamatskolas izveidei Ādažu pilsētā</t>
  </si>
  <si>
    <t>"Blusu" kroga pārbūves tehniskā projekta izstrāde.</t>
  </si>
  <si>
    <t>"Blusu" kroga pārbūves tehniskā projekta izstrāde</t>
  </si>
  <si>
    <t>Latvijas Skolu jaunatnes dziesmu un deju svētki</t>
  </si>
  <si>
    <t>Investīcijas energosaimniecības uzlabošanā</t>
  </si>
  <si>
    <t>5.6.4.1.</t>
  </si>
  <si>
    <t>5.6.4.2.</t>
  </si>
  <si>
    <t>5.6.4.3.</t>
  </si>
  <si>
    <t>5.6.5.</t>
  </si>
  <si>
    <t>Investīcijas vides pārvaldībā un uzlabošanā</t>
  </si>
  <si>
    <t>Investīcijas ceļu, ielu infrastruktūras attīstībā un uzlabošanā</t>
  </si>
  <si>
    <t xml:space="preserve">Dzirnupes ielas tilta pārbūve I kārta </t>
  </si>
  <si>
    <t>18.6.2.9.; 18.6.2.6.1.</t>
  </si>
  <si>
    <t xml:space="preserve">Nekustamā īpašuma nodaļa </t>
  </si>
  <si>
    <t>EKII</t>
  </si>
  <si>
    <t>0990</t>
  </si>
  <si>
    <t>VĒRTĪBAS</t>
  </si>
  <si>
    <t>0631.5</t>
  </si>
  <si>
    <t>1010; 1010.1; 1010.2</t>
  </si>
  <si>
    <t xml:space="preserve">Koriģēts interešu izgl. finansējums saskaņā ar 30.01. rīkojumu </t>
  </si>
  <si>
    <t>EUR 1'113 mērķdotācija no ĀVS uz CVSs, saskaņā ar 27.02.2025. lēmumu "Par mācību jomu koordinatoru darba nodrošināšanu".</t>
  </si>
  <si>
    <t>ERASMUS programmas projekts "Nacionālie koordinatori dalības pieaugušo izglītībā veicināšanai Latvijā" (realizē Izglītības nodaļa).</t>
  </si>
  <si>
    <t>Saskaņā ar lēmumprojektu par izmaiņām CKS struktūrā daļa tehnisko darbinieku (atalgojums) tiek pārcelts uz izglītības iestādes budžtu.</t>
  </si>
  <si>
    <t>EUR 1'113 mērķdotācija no ĀVS uz CVS, saskaņā ar 27.02.2025. lēmumu "Par mācību jomu koordinatoru darba nodrošināšanu".</t>
  </si>
  <si>
    <t>Saskaņā ar lēmumprojektu par izmaiņām CKS struktūrā daļa tehnisko darbinieku (atalgojums) tiek pārcelts uz iestādes budžetu.</t>
  </si>
  <si>
    <t>Saskaņā ar lēmumprojektu par izmaiņām CKS struktūrā daļa tehnisko darbinieku (atalgojums) tiek pārcelts uz izglītības iestādes budžetu.</t>
  </si>
  <si>
    <t>27.03.2025. grozījumi</t>
  </si>
  <si>
    <t>Izmaiņa 27.03.2025. - 22.01.2025.</t>
  </si>
  <si>
    <t>1) EUR 1'500 ERASMUS programmas projekts "Nacionālie koordinatori dalības pieaugušo izglītībā veicināšanai Latvijā" ārfinansējums (realizē Izglītības nodaļa).
2) EUR 30'428 projekta “Digitālā darba ar jaunatni sistēmas attīstība pašvaldībās” ārfinansējums (0932).</t>
  </si>
  <si>
    <t>Projekts “Digitālā darba ar jaunatni sistēmas attīstība pašvaldībās”</t>
  </si>
  <si>
    <t>EUR 30'428 projekta “Digitālā darba ar jaunatni sistēmas attīstība pašvaldībās” ārfinansējums (0932).</t>
  </si>
  <si>
    <t>EUR 21 780 ĀVS D korpusa siltināšanai pārcelt uz ĀVS CKS-investīcijas (līgums ar SIA "US Arhitekti", par paskaidrojuma raksta izstrādi, noslēgts ar CKS) no EKK 5250 uz EKK 7230</t>
  </si>
  <si>
    <t>1) EUR 4'000 no CKS apsaimniekošanas (0645) (ietaupījumu no Carnikavas stadiona vārtu uztādīšanas)  uz ĀVS apsaimniekošanu  (0950) (ĀVS kanalizācijas un ūdens cauruļvadu remontam).
2) EUR 1'600 no CKS apsaimniekošanas (0645) (ietaupījums no Carnikavas stadiona vārtu uzstādīšanas) uz ĀVS sākumskolas apsaimniekošanu (0981) (UPS nomaiņa un signalizācijas sistēmas programmēšana).</t>
  </si>
  <si>
    <t>1) Saskaņā ar lēmumprojektu par izmaiņām CKS struktūrā daļa tehnisko darbinieku (atalgojums) tiek pārcelts uz izglītības iestādes budžetu.
2) EUR 4'000 no CKS apsaimniekošanas (0645) (ietaupījumu no Carnikavas stadiona vārtu uztādīšanas)  uz ĀVS apsaimniekošanu  (0950) (ĀVS kanalizācijas un ūdens cauruļvadu remontam). 
3) EUR 4'000 no ĀVS sākumskolas apsaimniekošanas (0981) (ietaupījumu no ēku uzraugiem) pārcelt uz ĀVS apsaimniekošanu (0950)  (signalizācijas sistēmas uzstādīšanai).</t>
  </si>
  <si>
    <t>1) Saskaņā ar lēmumprojektu par izmaiņām CKS struktūrā daļa tehnisko darbinieku (atalgojums) tiek pārcelts uz izglītības iestādes budžetu.
2) EUR 1'600 no CKS apsaimniekošanas (0645) (ietaupījums no Carnikavas stadiona vārtu uzstādīšanas) uz ĀVS sākumskolas apsaimniekošanu (0981) (UPS nomaiņa un signalizācijas sistēmas programmēšana).
3) EUR 4'000 no ĀVS sākumskolas apsaimniekošanas (0981) (ietaupījumu no ēku uzraugiem) pārcelt uz ĀVS apsaimniekošanu (0950)  (signalizācijas sistēmas uzstādīšanai).</t>
  </si>
  <si>
    <t>EUR 78'842 no Baltezera kapu atmežotās daļas ceļu un celiņu izveidošanai plānotajiem līdzekļiem novirzīt Ķiršu ielas pārbūves 4.kārtai</t>
  </si>
  <si>
    <t>1010; 1010.3</t>
  </si>
  <si>
    <t>Projekts "Labklājības nozares un pašvaldību sociālās sfēras platformas "DigiSoc" izstrāde un ieviešana</t>
  </si>
  <si>
    <t>EUR 2'000 no ekonomijas plānošanas programmas iegādei iniciatīvu projektu finansējuma palielinājumam.</t>
  </si>
  <si>
    <t>7210 (0940.1)</t>
  </si>
  <si>
    <t>1.3. Dabas resursu nodoklis un azartspēļu nodoklis</t>
  </si>
  <si>
    <t>8.3. Pārrobežu projektu ieņēmumi</t>
  </si>
  <si>
    <t>6.2. Teritorijas uzturēšana</t>
  </si>
  <si>
    <t>6.3. Izdevumi neparedzētiem gadījumiem, līdzdalības budžets</t>
  </si>
  <si>
    <t>1. Nodokļu ieņēmumu izpilde atbilstoši plānotajam.</t>
  </si>
  <si>
    <t>(I.cet. 22%, II.cet.23%. III.cet.27%, IV.cet. 28%)</t>
  </si>
  <si>
    <t>Par projektu izpildes gaitu ziņo izpilddirektors</t>
  </si>
  <si>
    <t xml:space="preserve">4. Realizē un par izpildi ziņo CKS. </t>
  </si>
  <si>
    <t>5. Pašvaldības DRN maksājums. Plānots novirzīt kapitālieguldījumiem, kas vēl nav realizēti.</t>
  </si>
  <si>
    <t xml:space="preserve">10. Atbilstoši plānotajam. </t>
  </si>
  <si>
    <t>Aizņēmums Skolas ielas rekonstrukcijai</t>
  </si>
  <si>
    <t>29.05.2025. grozījumi</t>
  </si>
  <si>
    <t>Izmaiņa 29.05.2025. - 27.03.2025.</t>
  </si>
  <si>
    <t>6.4.1.</t>
  </si>
  <si>
    <t>6.4.2.</t>
  </si>
  <si>
    <t>EUR 952'269 no IIN klasificējas kā IIN dotācijas, kas jāatspoguļo valsts budžeta transfertu sadaļā (10.p.)</t>
  </si>
  <si>
    <t>Pēdējais maksājums no KA izņemtais VK aizņēmums. Garantija netika saņemta, līdz ar to maksājums garantijas termiņa beigās. Novirzīts VK aizņēmuma atmaksai.</t>
  </si>
  <si>
    <t>Papildus apjoms avīzes drukai, lai iekļautu pašvaldību vēlēšanu informāciju. Līdzekļus pārcelt no nodaļas plānotajiem reprezentācijas izdevumiem.</t>
  </si>
  <si>
    <t>Dalība Zivju fonda projektā par videonovērošanas kameru iegādi. Realizē pašvaldības policija.</t>
  </si>
  <si>
    <t>EUR 14'715 no ekonomijas Sporta centra ventilācijas sistēmu tīrīšanas uz Ādažu vidusskolas siltināšanas procesā konstatēto papildus darbu veikšanai.</t>
  </si>
  <si>
    <t>EUR 1'321 no ekonomijas Sporta centra ventilācijas sistēmu tīrīšanai uz Ādažu vidusskolu (karstā cirkulācijas sūkņa nomaiņai)</t>
  </si>
  <si>
    <t>1) EUR 14'715 no ekonomijas Sporta centra ventilācijas sistēmu tīrīšanas uz Ādažu vidusskolas siltināšanas procesā konstatēto papildus darbu veikšanai.
2) EUR 1'321 no ekonomijas Sporta centra ventilācijas sistēmu tīrīšanai uz Ādažu vidusskolu (karstā cirkulācijas sūkņa nomaiņai).</t>
  </si>
  <si>
    <t>EUR 5'070 no CKS plānotās dotācijas īpašumu apsaimniekošanai uz Teritorijas uzturēšanu (Dome) arboristu čempionāta līguma apmaksai, kas noslēgts ar Domi).</t>
  </si>
  <si>
    <t>Sporta centra POS termināla nomas maksas plānu pārcelt no pārvaldes tāmes uz Sporta centra tāmi (EUR 650)</t>
  </si>
  <si>
    <t>Rīkojums par valsts mērķdotāciju mācību līdzekļiem</t>
  </si>
  <si>
    <t>Precizēts pēc projekta naudas plūsmas</t>
  </si>
  <si>
    <t>Pēdējais maksājums no KA izņemtais VK aizņēmums. Garantija netika saņemta, līdz ar to maksājums garantijas termiņa beigās (2029.gadā). Novirzīts VK aizņēmuma atmaksai.</t>
  </si>
  <si>
    <t>1) Dalība Zivju fonda projektā par videonovērošanas kameru iegādi. Realizē pašvaldības policija.
2) Atbalsts Ukrainas un Latvijas bērnu nometnēm EUR 4'455</t>
  </si>
  <si>
    <t>Atbalsts Ukrainas un Latvijas bērnu nometnēm EUR 4'455</t>
  </si>
  <si>
    <t>EUR 8'000 pārcelts uz CKS ēkas nojaukšanai  Kalmju ielā 2</t>
  </si>
  <si>
    <t>1) EUR 5'070 no CKS plānotās dotācijas īpašumu apsaimniekošanai uz Teritorijas uzturēšanu (Dome) arboristu čempionāta līguma apmaksai, kas noslēgts ar Domi).
2) EUR 8'000 pārcelts uz CKS ēkas nojaukšanai  Kalmju ielā 2</t>
  </si>
  <si>
    <t>26.06.2025. grozījumi</t>
  </si>
  <si>
    <t>Izmaiņa 26.06.2025. - 29.05.2025.</t>
  </si>
  <si>
    <t>Tā kā pamatā pašvaldībai ir mainīgās likmes aizņēmumi, kas šobrīd samazinās salīdzinot ar brīdi, kad tika plānots budžets, tad likmes ir pārskatītas un plānojam, ka 2025.gada maksājamā summa būs mazāka kā sākotnēji plānotā.</t>
  </si>
  <si>
    <t>EUR 300 no Mākslu skolas budžeta uz vidusskolas budžetu par apmācību vadīšanu Bērnu tiesību aizsardzību.</t>
  </si>
  <si>
    <t>14.3.</t>
  </si>
  <si>
    <t>14.7.</t>
  </si>
  <si>
    <t>14.8.</t>
  </si>
  <si>
    <t>14.9.</t>
  </si>
  <si>
    <t>Saņemtā PVN par sniegtajiem pakalpojumiem atmaksa valstij.</t>
  </si>
  <si>
    <t>1) Saņemtā PVN par sporta centra sniegtajiem pakalpojumiem atmaksa valstij.
2) Saskaņā ar atbalstīto lēmumu papildus finansējums EUR 13'800 no nesadalītā konta atlikuma grīdas seguma iegādei Ādažu vsk sporta zālē.</t>
  </si>
  <si>
    <t>1) Apstiprināts projekts Pedagogu profesionālā atbalsta sistēmas izveidei. Precizēts finansējums 35'581 un no pašvaldības nepieciešams 20% avanss (EUR 8'896), ko atgūsim, noslēdzeties projektam.
2) Dalība konkursā "Atbalsts jaunatnes politikas īstenošanai vietējā līmenī" - ārfinansējums EUR 8'781.
3) Dalība ESF projektu konkursā “Skola – kopienā”. Plānots ienākošais finansējums EUR 38'003 (realizē Izglītības nodaļa).
4) Valsts izglītības attīstības aģentūras finansējums EUR 5'643 dalībai projektā “Neformālās izglītības pasākumi, t.sk., latviešu valodas apguve, Ukrainas bērniem un jauniešiem”</t>
  </si>
  <si>
    <t>Ieguvumu izdevumu analīzei ERAF projektu pieteikumiem «Multimodāls sabiedriskā transporta tīkls» STACIJA 2.0 (Garciems, Carnikava, Gauja).</t>
  </si>
  <si>
    <t>Papildus plānotajam ieņēmumi Gaujas svētku ietvaros</t>
  </si>
  <si>
    <t>Saskaņā ar 27.02.2025. Domes lēmumu Nr.86 papildus ieņēmumi Gaujas ielas svētku laikā novirzīti svētku organizēšanas izdevumu segšanai.</t>
  </si>
  <si>
    <t>EKII projekts noslēdzies, tiks ieskaitīts gala maksājums, kas jānovirza kredīta atmaksai</t>
  </si>
  <si>
    <t>EUR 5'051 no Gaujas dambja virskārtas atjaunošanai plānotajiem līdzekļiem novirzīt Lavera ceļa drenu kolektora iztekas pārbūvei.</t>
  </si>
  <si>
    <t>0934</t>
  </si>
  <si>
    <t>1) Apstiprināts projekts Pedagogu profesionālā atbalsta sistēmas izveidei. Precizēts finansējums 35'581 un no pašvaldības nepieciešams 20% avanss (EUR 8'896), ko atgūsim, noslēdzoties projektam (0934).
2) Dalība konkursā "Atbalsts jaunatnes politikas īstenošanai vietējā līmenī" - ārfinansējums EUR 8'781 (0935).
3) Dalība ESF projektu konkursā “Skola – kopienā”. Plānots ienākošais finansējums EUR 38'003 (realizē Izglītības nodaļa) (0936).
4) Valsts izglītības attīstības aģentūras finansējums EUR 5'643 dalībai projektā “Neformālās izglītības pasākumi, t.sk., latviešu valodas apguve, Ukrainas bērniem un jauniešiem” (0930).
5) Apstiprināts valsts finansējums dziesmu un deju svētku dalībnieku ēdināšanai EUR 16'359 (0990).</t>
  </si>
  <si>
    <t>Maksājumi tiek veikti 3x gadā</t>
  </si>
  <si>
    <t>Līdzfinansējums Baltezera kapu apsaimniekošanai (Ropažu novada pašvaldība) EUR 66'730.
Komunālie ieņēmumi CKS EUR 10'879.
 Pārējie ieņēmumi CKS EUR 17'456.</t>
  </si>
  <si>
    <t xml:space="preserve">1.3. DRN plāns bija sastādīts balstoties uz 2024.gada izpildi. Ja būs pārpilde, šie līdzekļi ir novirzāmi konkrētiem mērķiem. Ir plānoti divi projekti (Atkritumu dalītās vākšanas laukums, </t>
  </si>
  <si>
    <t>6.3. IIN budžeta dotācija</t>
  </si>
  <si>
    <t>6.3. Izdevumi neparedzētiem gadījumiem, līdzdalības budžets - šī gada pirmajā pusē izpilde "0".</t>
  </si>
  <si>
    <t>28.08.2025. grozījumi</t>
  </si>
  <si>
    <t>Izmaiņa 28.08.2025. - 26.06.2025.</t>
  </si>
  <si>
    <t>Reāli saņemtais finansējums no pašvaldības īpašumu pārdošanas.</t>
  </si>
  <si>
    <t>1) Saskaņā ar IDR rīkojumu #ĀNP/1-6-1/25/59 "Par videonovērošanas sistēmu sabiedriskajai drošībai un kārtībai" šo funkciju nododot no ĀPP uz IT, uzturēšanai un kameru iegādei EUR 11'328 no 0340/2243 uz 0170/2243.
2) APP saskaņā ar 24.07.2025. protokollēmumu EUR 3'580 automatizētās sistēmas ieviešanai pašvaldībā ceļu satiksmes noteikumu pārkāpumu konstatēšanai ar tehniskiem līdzekļiem.</t>
  </si>
  <si>
    <t>Daļu no ielu dubultās virsmas apstrādei plānotajiem līdzekļiem un daļu no Skolas ielas pārbūvei plānotajiem līdzekļiem novirzīt transportlīdzekļa (ar sniega lāpstu) un kaisītāja iegādei. (saskaņā ar 09.07.2025. lēmumu #270).</t>
  </si>
  <si>
    <t>1) Projektā "Pedagogu profesionālā atbalsta sistēmas izveide" paredzēti papildus līdzekļi mācību literatūras iegādei. 2025.gadā EUR 14'838 (realizē Izglītības nodaļa).
2) EUR 2'193 pedagogu profesionālās kompetences pilnveidei, vardarbības novēršanai un labbūtības veicināšanai izglītības vidē.</t>
  </si>
  <si>
    <t>EUR 1'000 no Izglītības nodaļas (0930/ EKK 3263) uz 0630.1/ EKK 3263) iniciatīvu projektu līdzfinansējumam.</t>
  </si>
  <si>
    <t>LEADER projektu realizācija</t>
  </si>
  <si>
    <t xml:space="preserve"> "Carnikavas novadpētniecības centra Saimes mājas ekspozīcijas pamatnes atjaunošana" realizācijai 2025.g. EUR 3'600 LAD finansējums.</t>
  </si>
  <si>
    <t>1) "Sporta laukuma ierīkošana Garciemā" realizācijai EUR 5'400 LAD finansējums 2025.gadā. Pašvaldības līdzfinansējums EUR 9'600 no sadaļas 0904 "Jaunas pamatskolas izveide Ādažu pilsētā".
2) "Veloapkopes stenda ierīkošana Kadagā un Garkalnē" realizācijai EUR 900 LAD finansējums 2025.gadā. Pašvaldības līdzfinansējums EUR 4'100 no sadaļas 0904 "Jaunas pamatskolas izveide Ādažu pilsētā".
3)  "Garezeru apkārtnes biotopu saudzēšana veicinot koncentrētu gājēju plūsmas vadīšanu ar mērķi mazināt augsnes degradāciju" realizācijai EUR 1'800 LAD finansējums 2025.gadā. Pašvaldības līdzfinansējums EUR 8'200 no sadaļas 0904 "Jaunas pamatskolas izveide Ādažu pilsētā".</t>
  </si>
  <si>
    <t>1) Projektā "Pedagogu profesionālā atbalsta sistēmas izveide" paredzēti papildus līdzekļi mācību literatūras iegādei. 2025.gadā EUR 14'838 (realizē Izglītības nodaļa).
2) EUR 2'193 pedagogu profesionālās kompetences pilnveidei, vardarbības novēršanai un labbūtības veicināšanai izglītības vidē.
3) EUR 1'000 no Izglītības nodaļas (0930/ EKK 3263) uz 0630.1/ EKK 3263) iniciatīvu projektu līdzfinansējumam.
4) "Bērnu un jauniešu centra izveide Ādažos" realizācijai EUR 5'400 LAD finansējums 2025.gadā. Pašvaldības līdzfinansējums EUR 24'600 no sadaļas 0904 "Jaunas pamatskolas izveide Ādažu pilsētā"</t>
  </si>
  <si>
    <t>1) Pašvaldības līdzfinansējums EUR 9'600 no sadaļas 0904 "Jaunas pamatskolas izveide Ādažu pilsētā" uz attīstības un projektu nodaļu projekta "Sporta laukuma ierīkošana Garciemā" realizācijai.
2) Pašvaldības līdzfinansējums EUR 4'100 no sadaļas 0904 "Jaunas pamatskolas izveide Ādažu pilsētā" uz attīstības un projektu nodaļu projekta "Veloapkopes stenda ierīkošana Kadagā un Garkalnē" realizācijai.
3) Pašvaldības līdzfinansējums EUR 8'200 no sadaļas 0904 "Jaunas pamatskolas izveide Ādažu pilsētā" uz attīstības un projektu nodaļu projekta "Garezeru apkārtnes biotopu saudzēšana veicinot koncentrētu gājēju plūsmas vadīšanu ar mērķi mazināt augsnes degradāciju" realizācijai.
4) Pašvaldības līdzfinansējums EUR 24'600 no sadaļas 0904 "Jaunas pamatskolas izveide Ādažu pilsētā" uz izglītības un jaunatnes nodaļu projekta "Bērnu un jauniešu centra izveide Ādažos" realizācijai.</t>
  </si>
  <si>
    <t>Saskaņā ar protokollēmumu EUR 24'862 no ēdināšanas pabalsta 5.-9.klašu skolēniem (pie Soc. Dienesta 1010/EKK6423) uz CVS un EUR 42'138 uz ĀVS brīvpusdienu līdzfinansējuma nodrošināšanai .</t>
  </si>
  <si>
    <t>Saskaņā ar protokollēmumu EUR 42'138 no ēdināšanas pabalsta 5.-9.klašu skolēniem (pie Soc. Dienesta 1010/EKK6423) un EUR 27'392 no nesadalītā konta atlikuma uz ĀVS brīvpusdienu līdzfinansējuma nodrošināšanai.</t>
  </si>
  <si>
    <t>10.1.16.</t>
  </si>
  <si>
    <t>EKII nav ES fondu finansējums, tāpēc ieņēmumos jāatspoguļo sadaļā - Valsts budžeta transferti</t>
  </si>
  <si>
    <t>1) Daļu no ielu dubultās virsmas apstrādei plānotajiem līdzekļiem un daļu no Skolas ielas pārbūvei plānotajiem līdzekļiem novirzīt transportlīdzekļa (ar sniega lāpstu) un kaisītāja iegādei. (saskaņā ar 09.07.2025. lēmumu #270).
2) Auto līzingu līgumi noslēgti caur CKS, tāpēc šim mērķim paredzēto finansējumu pārcelt no Domes sadaļas uz CKS. EUR 16'488.</t>
  </si>
  <si>
    <t>1) Līdzfinansējums  daudzstāvu ēku siltināšanai un pagalmu labiekārtošanai bija paredzēts EUR 23'000. Uz šo brīdi tas ir iztērēts un ir divi komisijas lēmumi par atbalstu 2 ēkām kopā EUR 14'000 apmērā, kuras var apmaksāt, ja akceptē finansējuma palielinājumu. Un vēl papildus 2i neizskatīti iesniegumi par EUR 13'020.
2) Auto līzingu līgumi noslēgti caur CKS, tāpēc šim mērķim paredzēto finansējumu pārcelt no Domes sadaļas uz CKS. EUR 16'488.</t>
  </si>
  <si>
    <r>
      <t xml:space="preserve">LAD finansējums projektiem:
1) "Carnikavas novadpētniecības centra Saimes mājas ekspozīcijas pamatnes atjaunošana" realizācijai 2025.g. EUR 3'600. (Izdevumos pie nodaļas "Muzejs un Carnikavas novadpētniecības centrs"
2)  "Sporta laukuma ierīkošana Garciemā" realizācijai EUR 5'400. (Izdevumos pie Attīstības un projektu nodaļas.)
3) "Veloapkopes stenda ierīkošana Kadagā un Garkalnē" realizācijai EUR 900. (Izdevumos pie Attīstības un projektu nodaļas.)
4) "Garezeru apkārtnes biotopu saudzēšana veicinot koncentrētu gājēju plūsmas vadīšanu ar mērķi mazināt augsnes degradāciju" realizācijai EUR 1'800. (Izdevumos pie Attīstības un projektu nodaļas.)
5) "Bērnu un jauniešu centra izveide Ādažos" realizācijai EUR 5'400. (Izdevumos pie Izglītības un jaunatnes nodaļas.). </t>
    </r>
    <r>
      <rPr>
        <sz val="11"/>
        <color rgb="FFFF0000"/>
        <rFont val="Times New Roman"/>
        <family val="1"/>
        <charset val="186"/>
      </rPr>
      <t>Šis ekselī reāli nav ielikts.</t>
    </r>
  </si>
  <si>
    <r>
      <t xml:space="preserve">LAD finansējums projektam "Bērnu un jauniešu centra izveide Ādažos" realizācijai EUR 5'400. (Izdevumos pie Izglītības un jaunatnes nodaļas.). </t>
    </r>
    <r>
      <rPr>
        <sz val="11"/>
        <color rgb="FFFF0000"/>
        <rFont val="Times New Roman"/>
        <family val="1"/>
        <charset val="186"/>
      </rPr>
      <t>Šis iepriekšējos grozījumos tika prezentēts, bet summa ieņēmumu daļā netika pieskaitīta ekselī.</t>
    </r>
  </si>
  <si>
    <t>Aizņēmums ir atbalstīts.</t>
  </si>
  <si>
    <t>23.10.2025. grozījumi</t>
  </si>
  <si>
    <t>Izmaiņa 23.10.2025. - 28.08.2025.</t>
  </si>
  <si>
    <t>0630; 0631.7; 0631.8; 0631.9</t>
  </si>
  <si>
    <t>Saskaņā ar Domes 25.09. protokollēmumu, nolemts nepieciešmaos līdzekļus EUR 10'933 apmērā novirzīt projekta “LIFEBauhausingEurope” īstenošanai no budžeta sadaļas “TEP Atjaunojamo energoresursu izmantošana Ādažu novadā
(EUCF)”.</t>
  </si>
  <si>
    <t>Saskaņā ar FK 17.09. protokollēmumu, nolemts nepieciešmaos līdzekļus PII "Strautiņš" jumta daļas remontam EUR 17'324 apmērā novirzīt no nesadalītā konta atlikuma.</t>
  </si>
  <si>
    <t>Izdevumi par CKS darbinieku apdrošināšanu, kas piekritīgi CKS, bet sākotnēji plānoti izglītības iestādēs:
EUR 8'600 no ĀVS; EUR 200 no ĀVS PII; EUR 1'400 no CVS; EUR 1'000 no KPII; EUR 1'000 no SPII; EUR 1'200 no CPII; EUR 1'400 no ĀPII uz sadaļu teritorijas uzturēšana (Dome)</t>
  </si>
  <si>
    <t>Precizēts MD apjoms septembrim-decembrim.</t>
  </si>
  <si>
    <t>Precizēts MD apjoms septembrim-decembrim. (Izdevumos pie ĀVS un CVS)</t>
  </si>
  <si>
    <t>Precizēts MD apjoms septembrim-decembrim. (Izdevumos pie PII)</t>
  </si>
  <si>
    <t>Precizēts MD apjoms interešu izglītībai septembrim-decembrim.</t>
  </si>
  <si>
    <t>10.2.4.</t>
  </si>
  <si>
    <t>10.2.15.</t>
  </si>
  <si>
    <t>ES Kohēzijas fonda projekts "STEM un pilsoniskās līdzdalības norises plašākai izglītības pieredzei un karjeras izvēlei"</t>
  </si>
  <si>
    <t>Uzsākts jauns projekts visās izglītības iestādēs</t>
  </si>
  <si>
    <t>8.8.12.</t>
  </si>
  <si>
    <t>8.8.12.1</t>
  </si>
  <si>
    <t>8.8.12.2.</t>
  </si>
  <si>
    <t>8.8.12.3.</t>
  </si>
  <si>
    <t>Uzsākts jauns projekts</t>
  </si>
  <si>
    <t>8.8.12.4.</t>
  </si>
  <si>
    <t>- ES Kohēzijas fonda projekts "STEM un pilsoniskās līdzdalības norises plašākai izglītības pieredzei un karjeras izvēlei"</t>
  </si>
  <si>
    <t>8.7.8.</t>
  </si>
  <si>
    <t>8.4.4.</t>
  </si>
  <si>
    <t>8.2.4.</t>
  </si>
  <si>
    <t>8.3.4.</t>
  </si>
  <si>
    <t>0922</t>
  </si>
  <si>
    <t>8.5.4.</t>
  </si>
  <si>
    <t>Laveru sūkņu stacijas pārbūve), kam šo finansējumu uzkrājam. Plāns tiks precizēts pēc faktiskās izpildes.</t>
  </si>
  <si>
    <t>Precizēts pēc faktiskās izpildes</t>
  </si>
  <si>
    <t>Pārpilde, šie līdzekļi ir novirzāmi konkrētiem mērķiem. Ir plānoti divi projekti (Atkritumu dalītās vākšanas laukums, Laveru sūkņu stacijas pārbūve), kam šo finansējumu uzkrājam. Plāns tiks precizēts pēc faktiskās izpildes.</t>
  </si>
  <si>
    <t>Precizēta ārfinansētā projekta summa ieņēmumos un izdevumos</t>
  </si>
  <si>
    <t>Mācību literat. Mazākumtautību valodas interešu izglītības apguvei (izdevumos pie attiecīgas iestādes, kas to realizē).</t>
  </si>
  <si>
    <t>Mācību literat. Mazākumtautību valodas interešu izglītības apguvei.</t>
  </si>
  <si>
    <t>Precizēts MD apjoms septembrim-decembrim; Mācību literat. Mazākumtautību valodas interešu izglītības apguvei.</t>
  </si>
  <si>
    <t>Precizēts MD apjoms septembrim-decembrim. Mācību literat. Mazākumtautību valodas interešu izglītības apguvei.</t>
  </si>
  <si>
    <t>Precizēts MD apjoms septembrim-decembrim. Mazākumtautību valodas interešu izglītības apguvei.</t>
  </si>
  <si>
    <t>Mazākumtautību valodas interešu izglītības apguvei. (Privātajām PII)</t>
  </si>
  <si>
    <t>ROPAŽU NOVADA PAŠVALDĪBA Dok.Nr. R25.0979 22.05.2025 Līdzfinansējums Baltezera kapu apsaimniekošanai 2025.gadam. Par sadarbību ar Ropažu novada pašvaldību; Līgums JUR 2021-02/126 un vienošanās JUR 2025-04/339</t>
  </si>
  <si>
    <r>
      <t>1. Saskaņā ar Domes 25.09. protokollēmumu, nolemts nepieciešmaos līdzekļus EUR 10'933 apmērā novirzīt projekta “LIFEBauhausingEurope” īstenošanai no budžeta sadaļas “TEP Atjaunojamo energoresursu izmantošana Ādažu novadā (EUCF)”.
2.</t>
    </r>
    <r>
      <rPr>
        <b/>
        <u/>
        <sz val="11"/>
        <rFont val="Times New Roman"/>
        <family val="1"/>
        <charset val="186"/>
      </rPr>
      <t xml:space="preserve"> Iekš. Groz.:</t>
    </r>
    <r>
      <rPr>
        <sz val="11"/>
        <rFont val="Times New Roman"/>
        <family val="1"/>
        <charset val="186"/>
      </rPr>
      <t xml:space="preserve"> EUR 11'520 CSS paplašināšanai no Ādažu Centra katlu mājas līdz ēkām Gaujas ielā 33A un Gaujas ielā 30 no pakalpojuma EKK 2239 uz pamatkapitāla EKK 5240</t>
    </r>
  </si>
  <si>
    <t>1. Saskaņā ar lēmumu EUR 12'100 ēku demontāžai Pīlādžu ielā no "Nekustamā īpašuma" sadaļas uz CKS, jo to realizēs CKS.
2. Saskaņā ar lēmumu, EUR 3'000 no "Nekustamā īpašuma" uz CKS koku uzmērīšanai, cirsmu inventarizācijai un sagatavošanai atsavināšanai.
3. EUR 17'000 no nodaļas 0648 uz nodaļu 0670 - saņemtā PVN atmaksa valstij.</t>
  </si>
  <si>
    <t>1. Izdevumi par CKS darbinieku apdrošināšanu, kas piekritīgi CKS, bet sākotnēji plānoti izglītības iestādēs:
EUR 8'600 no ĀVS; EUR 200 no ĀVS PII; EUR 1'400 no CVS; EUR 1'000 no KPII; EUR 1'000 no SPII; EUR 1'200 no CPII; EUR 1'400 no ĀPII uz sadaļu teritorijas uzturēšana (Dome).
2. EUR 17'000 no nodaļas 0648 uz nodaļu 0670 - saņemtā PVN atmaksa valstij.</t>
  </si>
  <si>
    <t>Precizēts MD apjoms pedagogiem septembrim-decembrim. Mācību literat. Mazākumtautību valodas interešu izglītības apguvei.</t>
  </si>
  <si>
    <t>Jauns projekts</t>
  </si>
  <si>
    <t>Ādažu vsk. priekšfinansējuma maks., Mācību mobilitātes skolu sektorā</t>
  </si>
  <si>
    <t>EUR 70'000 atalgojuma samazinājums pašvaldības sadaļā, palielinoties mērķdotācijas apjomam.</t>
  </si>
  <si>
    <t>Precizēts mērķdotācijas apjoms sept.- dec.</t>
  </si>
  <si>
    <t>1. EUR 18'754 Carnikavas vsk. priekšfinansējuma maks., Mācību mobilitātes skolu sektorā
2. EUR 17'490 NordPlus projekta Carnikavas vsk.</t>
  </si>
  <si>
    <t>1. EUR 57'884 Ādažu un Carnikavas vsk. priekšfinansējuma maks., Mācību mobilitātes skolu sektorā
2. EUR 17'490 NordPlus projekta Carnikavas vsk.</t>
  </si>
  <si>
    <t>EUR 2'264 pārcelts uz Attīstības nodaļas budžetu multifunkcionālās iekārtas iegādei, jo šos izdevumus sedza projekta vadošais partneris.</t>
  </si>
  <si>
    <r>
      <t xml:space="preserve">Saskaņā ar augusta protokollēmumu pārcelt 15 000 </t>
    </r>
    <r>
      <rPr>
        <i/>
        <sz val="11"/>
        <rFont val="Times New Roman"/>
        <family val="1"/>
        <charset val="186"/>
      </rPr>
      <t>euro</t>
    </r>
    <r>
      <rPr>
        <sz val="11"/>
        <rFont val="Times New Roman"/>
        <family val="1"/>
        <charset val="186"/>
      </rPr>
      <t xml:space="preserve"> no sadaļas “Investīcijas vides pārvaldībā un uzlabošanā” (“Baltezera kapu celiņu ierīkošana”) uz sadaļu "Dotācija CKS teritorijas uzturēšanai" (“Transportlīdzekļa MB UNIMOG remonts”).</t>
    </r>
  </si>
  <si>
    <t>1. Saskaņā ar lēmumu EUR 12'100 ēku demontāžai Pīlādžu ielā no "Nekustamā īpašuma" sadaļas uz CKS, jo to realizēs CKS.
2. Saskaņā ar lēmumu, EUR 3'000 no 0670/EKK 2239 uz CKS koku uzmērīšanai, cirsmu inventarizācijai un sagatavošanai atsavināšanai.
3. Saskaņā ar augusta protokollēmumu pārcelt 15 000 euro no sadaļas “Investīcijas vides pārvaldībā un uzlabošanā” (“Baltezera kapu celiņu ierīkošana”) uz sadaļu "Dotācija CKS teritorijas uzturēšanai" (“Transportlīdzekļa MB UNIMOG remonts”).
4. EUR 25'297 no Jūras iela 4 demontāžas un stāvlaukuma izbūves Ķiršu ielas lietus kanalizācijas izbūvei.</t>
  </si>
  <si>
    <t>EUR 25'297 no Jūras iela 4 demontāžas un stāvlaukuma izbūves Ķiršu ielas lietus kanalizācijas izbūvei. Vēl papildus Ķiršu ielas lietus kanalizācijas izbūvei pārcelti EUR 24003 pārējie atlikumi ielu investīciju ietvaros</t>
  </si>
  <si>
    <t>EUR 4'000 no Ādažu sākumskolas uzturēšanas izmaksām (ietaupījums no parketa slīpēšanas) uz sporta centru ūdens un kanalizācijas patēriņa apmaksai</t>
  </si>
  <si>
    <t>EUR 9'600 no uzturēšanas izmaksām ĀVS CKS sadaļā uz ĀVS ēkas A korpusa projekta realizāciju</t>
  </si>
  <si>
    <t>EUR 5'650 no uzturēšanas izmaksām ĀVS CKS sadaļā uz ĀVS ēkas D korpusa projekta realizāciju</t>
  </si>
  <si>
    <t>EUR 2'184 no uzturēšanas izmaksām ĀVS CKS sadaļā uz ĀVS PII CKS sadaļu izmaksu</t>
  </si>
  <si>
    <t>EUR 2'480 no sadaļas "Teritorijas novērtēšana pirms būvprojekta izstrādes un būvprojekts jaunas pamatskolas izveidei Ādažu pilsētā" uz Izglītības un jaunatnes nodaļu paskaidrojuma raksta apmaksai projektam  "Bērnu un jauniešu centra izveide Ādažos"</t>
  </si>
  <si>
    <t>Plānots, ka decembra sākumā ienāks papildu summa, kas decembrī arī tiks izmaksāti asistentiem</t>
  </si>
  <si>
    <t>Saskaņā ar CKS 27.11. decembra protokollēmumu EUR 26'000 baseina ventilācijas sistēmas remontam no Ādažu vidusskolas sākumskolas EUR 3'400, no Ādažu vidusskolas EUR 12969, no teritorijas uzturēšanas EUR 9'631.</t>
  </si>
  <si>
    <t>1) EUR 4'639 no uzturēšanas izmaksām ĀVS CKS sadaļā uz Sporta centra CKS sadaļu izmaksu.
2) Saskaņā ar CKS 27.11. decembra protokollēmumu EUR 26'000 baseina ventilācijas sistēmas remontam no Ādažu vidusskolas sākumskolas EUR 3'400, no Ādažu vidusskolas EUR 12969, no teritorijas uzturēšanas EUR 9'631.</t>
  </si>
  <si>
    <t>1) EUR 9'600 no uzturēšanas izmaksām ĀVS CKS sadaļā uz ĀVS ēkas A korpusa projekta realizāciju
2)  EUR 5'650 no uzturēšanas izmaksām ĀVS CKS sadaļā uz ĀVS ēkas D korpusa projekta realizāciju
3) EUR 2'184 no uzturēšanas izmaksām ĀVS CKS sadaļā uz ĀVS PII CKS sadaļu izmaksu
4) EUR 4'639 no uzturēšanas izmaksām ĀVS CKS sadaļā uz Sporta centra CKS sadaļu izmaksu
5) Saskaņā ar CKS 27.11. decembra protokollēmumu EUR 26'000 baseina ventilācijas sistēmas remontam no Ādažu vidusskolas sākumskolas EUR 3'400, no Ādažu vidusskolas EUR 12969, no teritorijas uzturēšanas EUR 9'631.</t>
  </si>
  <si>
    <t>Budžetā tika paredzēti 32'526 euro ar PVN līdzekļi traktortehnikas Ekskavatora CASE nomas līguma izpirkuma maksai. Sākotnēji budžetā mērķim paredzētie līdzekļi iekļauti EKK 2262, taču pie pilnīgas izpirkšanas tas klasificējas EKK 5231.</t>
  </si>
  <si>
    <t>EUR 300 no Ādažu Mākslu skolas budžeta uz Ādažu vidusskolas budžetu - obligātos Bērnu tiesības kursus vadīs sadarbībā ar Ādažu vidusskolas kolēģi, kurai ir saskaņota šo kursu A programma</t>
  </si>
  <si>
    <r>
      <rPr>
        <b/>
        <u/>
        <sz val="11"/>
        <rFont val="Times New Roman"/>
        <family val="1"/>
        <charset val="186"/>
      </rPr>
      <t>Iekš. Groz:</t>
    </r>
    <r>
      <rPr>
        <sz val="11"/>
        <rFont val="Times New Roman"/>
        <family val="1"/>
        <charset val="186"/>
      </rPr>
      <t xml:space="preserve"> Tika veikta Ādažu pilsēta vidonovērošanas sistēmas bezvadu tīkla rekonstrukcija - šim mērķim EUR 1'817 no EKK 2312 Inventārs un EUR 5'052 no EKK 2243 Iekārtas, inventāra un aparatūras remonts, tehniskā apkalpošana uz EKK 5240 Pamatlīdzekļu un ieguldījumu īpašumu izveidošana </t>
    </r>
  </si>
  <si>
    <t>22.12.2025. grozījumi</t>
  </si>
  <si>
    <t>Izmaiņa 22.12.2025. - 23.10.2025.</t>
  </si>
  <si>
    <t>Saskaņā ar CKS 27.11. decembra protokollēmumu EUR 26'000 baseina ventilācijas sistēmas remontam no Ādažu vidusskolas sākumskolas EUR 3'400, no Ādažu vidusskolas EUR 12'969, no teritorijas uzturēšanas EUR 9'631.</t>
  </si>
  <si>
    <t>31.12.2025. fakts</t>
  </si>
  <si>
    <t>31.12.2025. fakts (%) pret 2025. plānu</t>
  </si>
  <si>
    <t xml:space="preserve">EUR 26'204 - % ieņēmumi no nakts depozīta; 
</t>
  </si>
  <si>
    <t>Jauniešiem par nodarbinātību vasarā EUR 23'710.
AM transfērs Vecštāles ceļa pārbūvei EUE 888'703.
Soc. pabalsti pēc faktiskājām izmaksām EUR 97'644.
DI pakalpojumu finansējums pēc faktiskajām izmaksām EUR 37'976.
VB dotācija KAC uzturēšanai un publisko pakalp.sistēmas pilnveidei un pakalp.vadības sistēmas uzturēšana EUR 4'568.
Zivju fonda projekts EUR 15'585.
Izglītības jomas projekti EUR 10'974.
Valsts finansējums dziesmu un deju svētku dalībnieku ēdināšanai EUR 16'713.
BJSS projekts basketbola inventāra iegādei EUR 9'996.</t>
  </si>
  <si>
    <t>Pedagogu profesionālā atbalsta sistēmas izveide</t>
  </si>
  <si>
    <t>Skola - kopienā</t>
  </si>
  <si>
    <t xml:space="preserve">  0632.7 "Upesceļi II/Ūdenstūrisma pieejamības veicināšana (RiverwaysII/Facilitating access to watertourism activities)".</t>
  </si>
  <si>
    <t xml:space="preserve">  1014.3 Projekts Deinstitucionalizācija SAM 9.3.1.1./Dienas aprūpes un rehabilitācijas centrs "Ādažu Ūdensroze"</t>
  </si>
  <si>
    <t>2025.gads</t>
  </si>
  <si>
    <t>Kopējā ieņēmumu izpilde pret plānoto ir 96%, jeb EUR 60'064'488.</t>
  </si>
  <si>
    <r>
      <t xml:space="preserve">3. Ieņēmumu no naudas sodiem izpilde 126%. </t>
    </r>
    <r>
      <rPr>
        <b/>
        <sz val="10"/>
        <rFont val="Arial"/>
        <family val="2"/>
        <charset val="186"/>
      </rPr>
      <t>Pārpilde EUR 33'453</t>
    </r>
    <r>
      <rPr>
        <sz val="10"/>
        <rFont val="Arial"/>
        <family val="2"/>
        <charset val="186"/>
      </rPr>
      <t>.</t>
    </r>
  </si>
  <si>
    <r>
      <t xml:space="preserve">1.1. IIN atbilstoši plānotajam. (I.cet. 22%, II.cet.23%. III.cet.27%, IV.cet. 28%), ieskaitot </t>
    </r>
    <r>
      <rPr>
        <b/>
        <sz val="10"/>
        <rFont val="Arial"/>
        <family val="2"/>
        <charset val="186"/>
      </rPr>
      <t>pārpildi EUR 455'488</t>
    </r>
    <r>
      <rPr>
        <sz val="10"/>
        <rFont val="Arial"/>
        <family val="2"/>
        <charset val="186"/>
      </rPr>
      <t>.</t>
    </r>
  </si>
  <si>
    <r>
      <t xml:space="preserve">1.2. NĪN rēķins par visu gadu gada sākumā, var nomaksāt gan visu uzreiz, gan 4 maksājumos. Plāna </t>
    </r>
    <r>
      <rPr>
        <b/>
        <sz val="10"/>
        <rFont val="Arial"/>
        <family val="2"/>
        <charset val="186"/>
      </rPr>
      <t>pārpilde EUR 187'772.</t>
    </r>
  </si>
  <si>
    <r>
      <t xml:space="preserve">2. Izpilde </t>
    </r>
    <r>
      <rPr>
        <b/>
        <sz val="10"/>
        <rFont val="Arial"/>
        <family val="2"/>
        <charset val="186"/>
      </rPr>
      <t>pārsniedz plānoto par EUR 19'818</t>
    </r>
    <r>
      <rPr>
        <sz val="10"/>
        <rFont val="Arial"/>
        <family val="2"/>
        <charset val="186"/>
      </rPr>
      <t>.</t>
    </r>
  </si>
  <si>
    <r>
      <t xml:space="preserve">4. Uz gada beigām plāna </t>
    </r>
    <r>
      <rPr>
        <b/>
        <sz val="10"/>
        <rFont val="Arial"/>
        <family val="2"/>
        <charset val="186"/>
      </rPr>
      <t>pārpilde EUR 13'721.</t>
    </r>
  </si>
  <si>
    <r>
      <t xml:space="preserve">5. Uz gada beigām </t>
    </r>
    <r>
      <rPr>
        <b/>
        <sz val="10"/>
        <rFont val="Arial"/>
        <family val="2"/>
        <charset val="186"/>
      </rPr>
      <t>pārpilde EUR 199'880.</t>
    </r>
  </si>
  <si>
    <t>6. Valsts budžeta transferti un projektu finansējums ieņēmumu izpilde 107%.</t>
  </si>
  <si>
    <r>
      <t xml:space="preserve">6.1. AM transfērs Vecštāles ceļa pārbūvei </t>
    </r>
    <r>
      <rPr>
        <b/>
        <sz val="10"/>
        <rFont val="Arial"/>
        <family val="2"/>
        <charset val="186"/>
      </rPr>
      <t xml:space="preserve">EUR 888'703 </t>
    </r>
    <r>
      <rPr>
        <sz val="10"/>
        <rFont val="Arial"/>
        <family val="2"/>
        <charset val="186"/>
      </rPr>
      <t>(realizācija 2026.gadā, netika iekļauts 2025.gada plānā).</t>
    </r>
  </si>
  <si>
    <t>6.2. Izpilde 44%. Par projektu gaitu sīkāk ziņos izpilddirektors.</t>
  </si>
  <si>
    <t>6.3. IIN budžeta dotācijas izpilde 100%. Atbilstoši plānotajam.</t>
  </si>
  <si>
    <r>
      <t xml:space="preserve">7. Maksājumi tiek veikti 3 reizes gadā, maksājums par Ādažos deklarēto bērnu skaitu, kas apmeklē citu pašvaldību izglītības iestādes. Izpilde 102% </t>
    </r>
    <r>
      <rPr>
        <b/>
        <sz val="10"/>
        <rFont val="Arial"/>
        <family val="2"/>
        <charset val="186"/>
      </rPr>
      <t>Pārpilde EUR 5'772.</t>
    </r>
  </si>
  <si>
    <t>8. Izpilde 100%.</t>
  </si>
  <si>
    <t>1. Kopumā izpilde 78%, jeb EUR 59'017'174. Daļa investīciju projektu vēl nav realizēti. Lielākās investīcijas (projekti) sastāda 22% no kopējām plānotajām izmaksām (EUR 16'788'216), kuru kopējā finansiālā izpilde uz gada beigām ir 36%.</t>
  </si>
  <si>
    <t>1.1. Izpilde 87% no gada plāna. Ekonomija uz komisiju atalgojuma, kur plānots saskaņā ar nolikumiem atļautās stundas.</t>
  </si>
  <si>
    <r>
      <t xml:space="preserve">1.2. Izpilde 81%. </t>
    </r>
    <r>
      <rPr>
        <b/>
        <sz val="10"/>
        <rFont val="Arial"/>
        <family val="2"/>
        <charset val="186"/>
      </rPr>
      <t>Ekonomija EUR 379'787.</t>
    </r>
  </si>
  <si>
    <t xml:space="preserve">2. Izpilde 97%. </t>
  </si>
  <si>
    <t xml:space="preserve">3. Plāna izpilde 97%. </t>
  </si>
  <si>
    <t>6. Kopējā izpilde 62%. Maza izpilde, jo šajā sadaļā ir plānotie projekti EUR 10'684'673 apmērā, kur izpilde uz gada beigām ir 44% (EUR 4'682'710).</t>
  </si>
  <si>
    <t xml:space="preserve">     6.1. Izpilde 87%. </t>
  </si>
  <si>
    <t xml:space="preserve">6.2. Izpilde 90%. Realizē un par izpildi ziņo CKS. </t>
  </si>
  <si>
    <t>6.4.  Izpilde 44%. Par projektu gaitu sīkāk ziņo izpilddirektors.</t>
  </si>
  <si>
    <t>7.  Kopējā izpilde 90%. Ādažu kultūras centram izpilde 89%, TN Ozolaine, muzejam uz tūrismam  izpilde 88%.
Sporta daļai izpilde 93%.</t>
  </si>
  <si>
    <t>8. Kopējā izpilde 87%. Iniciatīvu projektu finansēšanai paredzētā summa EUR 15'000 izmaksāta pilnā apmērā.</t>
  </si>
  <si>
    <t>9. Kopējā izpilde 78%. Izglītības sektora projektiem paredzēti plānā EUR 6'103'543 no kuriem ir veiktas izmaksas EUR 1'390'683 apmērā (23% no plānotā).</t>
  </si>
  <si>
    <r>
      <t xml:space="preserve">     9.1. Norēķini ar pašvaldībām par izglītības iestāžu pakalp. - izpilde 76%, norēķini notiek 3x gadā. Plāns pārsniedz faktisko par</t>
    </r>
    <r>
      <rPr>
        <b/>
        <sz val="10"/>
        <rFont val="Arial"/>
        <family val="2"/>
        <charset val="186"/>
      </rPr>
      <t xml:space="preserve"> EUR 202'988.</t>
    </r>
  </si>
  <si>
    <t xml:space="preserve">9.2. - 9.5. Ādažu PII izpilde izpilde vidēji 93%. </t>
  </si>
  <si>
    <r>
      <t xml:space="preserve">9.6. Privātās izglītības iestādes. Izpilde 78%. Plāns pārsniedz faktisko par </t>
    </r>
    <r>
      <rPr>
        <b/>
        <sz val="10"/>
        <rFont val="Arial"/>
        <family val="2"/>
        <charset val="186"/>
      </rPr>
      <t>EUR 828'575.</t>
    </r>
  </si>
  <si>
    <t>9.7. Carnikavas vidusskola - izpilde 95 %.</t>
  </si>
  <si>
    <t>9.8. Ādažu vidusskola 92% - projekts Ādažu vidusskolas ēkas D korpuss realizēts 69% apjomā no kopējā plāna.</t>
  </si>
  <si>
    <t>9.9. Mākslu skola - izpilde 98%.</t>
  </si>
  <si>
    <t>9.10. Sporta skola 95%. Ekonomija uz transporta pakalpojumu izmaksām.</t>
  </si>
  <si>
    <t>9.11. Izglītības un jauniešu lietu pārvalde 76% - uzsākti vairāki projekti, kur izdevumi plānoti, bet izpilde vēl daļēji pārcelsies uz 2026.gadu.</t>
  </si>
  <si>
    <t xml:space="preserve">     9.12. projekti - izpilde 23%. Par projektu gaitu ziņo izpilddirektors.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</si>
</sst>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43" formatCode="_-* #,##0.00_-;\-* #,##0.00_-;_-* &quot;-&quot;??_-;_-@_-"/>
    <numFmt numFmtId="164" formatCode="_-* #,##0.00\ _€_-;\-* #,##0.00\ _€_-;_-* &quot;-&quot;??\ _€_-;_-@_-"/>
    <numFmt numFmtId="165" formatCode="_-&quot;€&quot;\ * #,##0.00_-;\-&quot;€&quot;\ * #,##0.00_-;_-&quot;€&quot;\ * &quot;-&quot;??_-;_-@_-"/>
    <numFmt numFmtId="166" formatCode="_-&quot;Ls&quot;\ * #,##0.00_-;\-&quot;Ls&quot;\ * #,##0.00_-;_-&quot;Ls&quot;\ * &quot;-&quot;??_-;_-@_-"/>
    <numFmt numFmtId="167" formatCode="_-* #,##0_-;\-* #,##0_-;_-* &quot;-&quot;??_-;_-@_-"/>
    <numFmt numFmtId="168" formatCode="0.0%"/>
    <numFmt numFmtId="169" formatCode="[$-426]General"/>
    <numFmt numFmtId="170" formatCode="[$-426]0%"/>
    <numFmt numFmtId="171" formatCode="&quot; &quot;#,##0.00&quot; &quot;;&quot;-&quot;#,##0.00&quot; &quot;;&quot; -&quot;#&quot; &quot;;&quot; &quot;@&quot; &quot;"/>
    <numFmt numFmtId="172" formatCode="[&lt;=9999999]###\-####;\(###\)\ ###\-####"/>
    <numFmt numFmtId="173" formatCode="_-* #,##0.00\ [$EUR]_-;\-* #,##0.00\ [$EUR]_-;_-* &quot;-&quot;??\ [$EUR]_-;_-@_-"/>
    <numFmt numFmtId="174" formatCode="_-&quot;€&quot;* #,##0.00_-;\-&quot;€&quot;* #,##0.00_-;_-&quot;€&quot;* &quot;-&quot;??_-;_-@_-"/>
    <numFmt numFmtId="175" formatCode="&quot; &quot;#,##0.00&quot; &quot;;&quot;-&quot;#,##0.00&quot; &quot;;&quot; -&quot;00&quot; &quot;;&quot; &quot;@&quot; &quot;"/>
  </numFmts>
  <fonts count="126" x14ac:knownFonts="1">
    <font>
      <sz val="9"/>
      <color theme="1"/>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rgb="FFFF0000"/>
      <name val="Calibri"/>
      <family val="2"/>
      <charset val="186"/>
      <scheme val="minor"/>
    </font>
    <font>
      <sz val="11"/>
      <name val="Times New Roman"/>
      <family val="1"/>
      <charset val="186"/>
    </font>
    <font>
      <sz val="11"/>
      <color indexed="10"/>
      <name val="Times New Roman"/>
      <family val="1"/>
      <charset val="186"/>
    </font>
    <font>
      <sz val="11"/>
      <color rgb="FFFF0000"/>
      <name val="Times New Roman"/>
      <family val="1"/>
      <charset val="186"/>
    </font>
    <font>
      <sz val="11"/>
      <color theme="3"/>
      <name val="Times New Roman"/>
      <family val="1"/>
      <charset val="186"/>
    </font>
    <font>
      <sz val="11"/>
      <color indexed="8"/>
      <name val="Calibri"/>
      <family val="2"/>
      <charset val="186"/>
    </font>
    <font>
      <b/>
      <sz val="11"/>
      <name val="Times New Roman"/>
      <family val="1"/>
      <charset val="186"/>
    </font>
    <font>
      <sz val="9"/>
      <color theme="1"/>
      <name val="Arial"/>
      <family val="2"/>
      <charset val="186"/>
    </font>
    <font>
      <sz val="10"/>
      <name val="Arial"/>
      <family val="2"/>
      <charset val="186"/>
    </font>
    <font>
      <b/>
      <sz val="11"/>
      <color rgb="FFFF0000"/>
      <name val="Times New Roman"/>
      <family val="1"/>
      <charset val="186"/>
    </font>
    <font>
      <b/>
      <sz val="11"/>
      <color theme="3"/>
      <name val="Times New Roman"/>
      <family val="1"/>
      <charset val="186"/>
    </font>
    <font>
      <sz val="11"/>
      <color indexed="8"/>
      <name val="Times New Roman"/>
      <family val="1"/>
      <charset val="186"/>
    </font>
    <font>
      <sz val="10"/>
      <name val="Times New Roman"/>
      <family val="1"/>
      <charset val="186"/>
    </font>
    <font>
      <i/>
      <sz val="11"/>
      <name val="Times New Roman"/>
      <family val="1"/>
      <charset val="186"/>
    </font>
    <font>
      <sz val="8"/>
      <name val="Arial"/>
      <family val="2"/>
      <charset val="186"/>
    </font>
    <font>
      <sz val="8"/>
      <color indexed="10"/>
      <name val="Tahoma"/>
      <family val="2"/>
      <charset val="186"/>
    </font>
    <font>
      <sz val="9"/>
      <color indexed="8"/>
      <name val="Arial"/>
      <family val="2"/>
      <charset val="186"/>
    </font>
    <font>
      <sz val="9"/>
      <color rgb="FF006100"/>
      <name val="Arial"/>
      <family val="2"/>
      <charset val="186"/>
    </font>
    <font>
      <sz val="12"/>
      <name val="Times New Roman"/>
      <family val="1"/>
      <charset val="186"/>
    </font>
    <font>
      <b/>
      <sz val="11"/>
      <color theme="1"/>
      <name val="Calibri"/>
      <family val="2"/>
      <charset val="186"/>
      <scheme val="minor"/>
    </font>
    <font>
      <u/>
      <sz val="11"/>
      <color theme="10"/>
      <name val="Calibri"/>
      <family val="2"/>
      <charset val="186"/>
      <scheme val="minor"/>
    </font>
    <font>
      <sz val="11"/>
      <color rgb="FF000000"/>
      <name val="Calibri"/>
      <family val="2"/>
    </font>
    <font>
      <b/>
      <sz val="10"/>
      <name val="Arial"/>
      <family val="2"/>
      <charset val="186"/>
    </font>
    <font>
      <sz val="10"/>
      <color rgb="FFFF0000"/>
      <name val="Arial"/>
      <family val="2"/>
      <charset val="186"/>
    </font>
    <font>
      <sz val="10"/>
      <color theme="1"/>
      <name val="Arial"/>
      <family val="2"/>
      <charset val="186"/>
    </font>
    <font>
      <sz val="10"/>
      <name val="Arial"/>
      <family val="2"/>
    </font>
    <font>
      <b/>
      <sz val="11"/>
      <name val="Times New Roman"/>
      <family val="1"/>
    </font>
    <font>
      <sz val="9"/>
      <color indexed="81"/>
      <name val="Tahoma"/>
      <family val="2"/>
      <charset val="186"/>
    </font>
    <font>
      <b/>
      <sz val="9"/>
      <color indexed="81"/>
      <name val="Tahoma"/>
      <family val="2"/>
      <charset val="186"/>
    </font>
    <font>
      <sz val="10"/>
      <name val="Arial"/>
      <family val="2"/>
      <charset val="186"/>
    </font>
    <font>
      <sz val="11"/>
      <color theme="1"/>
      <name val="Arial"/>
      <family val="2"/>
      <charset val="186"/>
    </font>
    <font>
      <b/>
      <sz val="20"/>
      <color indexed="8"/>
      <name val="Times New Roman"/>
      <family val="1"/>
      <charset val="186"/>
    </font>
    <font>
      <b/>
      <sz val="16"/>
      <color theme="1"/>
      <name val="Times New Roman"/>
      <family val="1"/>
      <charset val="186"/>
    </font>
    <font>
      <sz val="13"/>
      <name val="Times New Roman"/>
      <family val="1"/>
    </font>
    <font>
      <u/>
      <sz val="12"/>
      <color theme="10"/>
      <name val="Times New Roman"/>
      <family val="2"/>
      <charset val="186"/>
    </font>
    <font>
      <sz val="11"/>
      <color theme="1"/>
      <name val="Calibri"/>
      <family val="2"/>
      <scheme val="minor"/>
    </font>
    <font>
      <sz val="11"/>
      <name val="Calibri"/>
      <family val="2"/>
      <scheme val="minor"/>
    </font>
    <font>
      <sz val="18"/>
      <color theme="3"/>
      <name val="Calibri Light"/>
      <family val="2"/>
      <charset val="186"/>
      <scheme val="major"/>
    </font>
    <font>
      <b/>
      <sz val="15"/>
      <color theme="3"/>
      <name val="Calibri"/>
      <family val="2"/>
      <charset val="186"/>
      <scheme val="minor"/>
    </font>
    <font>
      <b/>
      <sz val="13"/>
      <color theme="3"/>
      <name val="Calibri"/>
      <family val="2"/>
      <charset val="186"/>
      <scheme val="minor"/>
    </font>
    <font>
      <b/>
      <sz val="11"/>
      <color theme="3"/>
      <name val="Calibri"/>
      <family val="2"/>
      <charset val="186"/>
      <scheme val="minor"/>
    </font>
    <font>
      <sz val="11"/>
      <color rgb="FF006100"/>
      <name val="Calibri"/>
      <family val="2"/>
      <charset val="186"/>
      <scheme val="minor"/>
    </font>
    <font>
      <sz val="11"/>
      <color rgb="FF9C0006"/>
      <name val="Calibri"/>
      <family val="2"/>
      <charset val="186"/>
      <scheme val="minor"/>
    </font>
    <font>
      <sz val="11"/>
      <color rgb="FF9C6500"/>
      <name val="Calibri"/>
      <family val="2"/>
      <charset val="186"/>
      <scheme val="minor"/>
    </font>
    <font>
      <sz val="11"/>
      <color rgb="FF3F3F76"/>
      <name val="Calibri"/>
      <family val="2"/>
      <charset val="186"/>
      <scheme val="minor"/>
    </font>
    <font>
      <b/>
      <sz val="11"/>
      <color rgb="FF3F3F3F"/>
      <name val="Calibri"/>
      <family val="2"/>
      <charset val="186"/>
      <scheme val="minor"/>
    </font>
    <font>
      <b/>
      <sz val="11"/>
      <color rgb="FFFA7D00"/>
      <name val="Calibri"/>
      <family val="2"/>
      <charset val="186"/>
      <scheme val="minor"/>
    </font>
    <font>
      <sz val="11"/>
      <color rgb="FFFA7D00"/>
      <name val="Calibri"/>
      <family val="2"/>
      <charset val="186"/>
      <scheme val="minor"/>
    </font>
    <font>
      <b/>
      <sz val="11"/>
      <color theme="0"/>
      <name val="Calibri"/>
      <family val="2"/>
      <charset val="186"/>
      <scheme val="minor"/>
    </font>
    <font>
      <i/>
      <sz val="11"/>
      <color rgb="FF7F7F7F"/>
      <name val="Calibri"/>
      <family val="2"/>
      <charset val="186"/>
      <scheme val="minor"/>
    </font>
    <font>
      <sz val="11"/>
      <color theme="0"/>
      <name val="Calibri"/>
      <family val="2"/>
      <charset val="186"/>
      <scheme val="minor"/>
    </font>
    <font>
      <sz val="10"/>
      <name val="Helv"/>
    </font>
    <font>
      <sz val="11"/>
      <color rgb="FF000000"/>
      <name val="Calibri"/>
      <family val="2"/>
      <charset val="186"/>
    </font>
    <font>
      <u/>
      <sz val="9"/>
      <color theme="10"/>
      <name val="Arial"/>
      <family val="2"/>
      <charset val="186"/>
    </font>
    <font>
      <b/>
      <sz val="11"/>
      <name val="Calibri"/>
      <family val="2"/>
      <scheme val="minor"/>
    </font>
    <font>
      <sz val="11"/>
      <color rgb="FF9C5700"/>
      <name val="Calibri"/>
      <family val="2"/>
      <charset val="186"/>
      <scheme val="minor"/>
    </font>
    <font>
      <u/>
      <sz val="11"/>
      <color theme="10"/>
      <name val="Calibri"/>
      <family val="2"/>
      <charset val="186"/>
    </font>
    <font>
      <b/>
      <sz val="18"/>
      <name val="Calibri"/>
      <family val="2"/>
      <scheme val="minor"/>
    </font>
    <font>
      <sz val="28"/>
      <color theme="0" tint="-0.499984740745262"/>
      <name val="Calibri Light"/>
      <family val="2"/>
      <scheme val="major"/>
    </font>
    <font>
      <b/>
      <i/>
      <sz val="11"/>
      <name val="Calibri"/>
      <family val="2"/>
      <scheme val="minor"/>
    </font>
    <font>
      <i/>
      <sz val="11"/>
      <name val="Calibri"/>
      <family val="2"/>
      <scheme val="minor"/>
    </font>
    <font>
      <b/>
      <sz val="10"/>
      <color theme="1"/>
      <name val="Arial"/>
      <family val="2"/>
      <charset val="186"/>
    </font>
    <font>
      <sz val="11"/>
      <color rgb="FF000000"/>
      <name val="Calibri"/>
      <family val="2"/>
      <charset val="1"/>
    </font>
    <font>
      <i/>
      <sz val="11"/>
      <color indexed="8"/>
      <name val="Times New Roman"/>
      <family val="1"/>
      <charset val="186"/>
    </font>
    <font>
      <u/>
      <sz val="10"/>
      <name val="Arial"/>
      <family val="2"/>
      <charset val="186"/>
    </font>
    <font>
      <b/>
      <sz val="20"/>
      <name val="Times New Roman"/>
      <family val="1"/>
      <charset val="186"/>
    </font>
    <font>
      <i/>
      <sz val="10"/>
      <color theme="1"/>
      <name val="Arial"/>
      <family val="2"/>
      <charset val="186"/>
    </font>
    <font>
      <sz val="11"/>
      <color rgb="FFEE0000"/>
      <name val="Times New Roman"/>
      <family val="1"/>
      <charset val="186"/>
    </font>
    <font>
      <sz val="10"/>
      <color theme="3"/>
      <name val="Times New Roman"/>
      <family val="1"/>
      <charset val="186"/>
    </font>
    <font>
      <i/>
      <sz val="11"/>
      <color theme="3"/>
      <name val="Times New Roman"/>
      <family val="1"/>
      <charset val="186"/>
    </font>
    <font>
      <b/>
      <u/>
      <sz val="11"/>
      <name val="Times New Roman"/>
      <family val="1"/>
      <charset val="186"/>
    </font>
  </fonts>
  <fills count="50">
    <fill>
      <patternFill patternType="none"/>
    </fill>
    <fill>
      <patternFill patternType="gray125"/>
    </fill>
    <fill>
      <patternFill patternType="solid">
        <fgColor rgb="FFC6EFCE"/>
      </patternFill>
    </fill>
    <fill>
      <patternFill patternType="solid">
        <fgColor indexed="22"/>
        <bgColor indexed="64"/>
      </patternFill>
    </fill>
    <fill>
      <patternFill patternType="solid">
        <fgColor indexed="50"/>
        <bgColor indexed="64"/>
      </patternFill>
    </fill>
    <fill>
      <patternFill patternType="solid">
        <fgColor theme="0"/>
        <bgColor indexed="64"/>
      </patternFill>
    </fill>
    <fill>
      <patternFill patternType="solid">
        <fgColor indexed="9"/>
        <bgColor indexed="64"/>
      </patternFill>
    </fill>
    <fill>
      <patternFill patternType="solid">
        <fgColor rgb="FFFFC000"/>
        <bgColor indexed="64"/>
      </patternFill>
    </fill>
    <fill>
      <patternFill patternType="solid">
        <fgColor indexed="47"/>
        <bgColor indexed="64"/>
      </patternFill>
    </fill>
    <fill>
      <patternFill patternType="solid">
        <fgColor rgb="FFFFFF00"/>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2"/>
        <bgColor indexed="64"/>
      </patternFill>
    </fill>
    <fill>
      <patternFill patternType="solid">
        <fgColor rgb="FF00B0F0"/>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39997558519241921"/>
        <bgColor indexed="64"/>
      </patternFill>
    </fill>
    <fill>
      <patternFill patternType="solid">
        <fgColor theme="2" tint="-9.9978637043366805E-2"/>
        <bgColor indexed="64"/>
      </patternFill>
    </fill>
    <fill>
      <patternFill patternType="solid">
        <fgColor theme="7"/>
        <bgColor indexed="64"/>
      </patternFill>
    </fill>
    <fill>
      <patternFill patternType="solid">
        <fgColor theme="6" tint="0.59999389629810485"/>
        <bgColor indexed="64"/>
      </patternFill>
    </fill>
  </fills>
  <borders count="90">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auto="1"/>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bottom style="thin">
        <color auto="1"/>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auto="1"/>
      </left>
      <right style="thin">
        <color auto="1"/>
      </right>
      <top style="thin">
        <color auto="1"/>
      </top>
      <bottom style="thin">
        <color auto="1"/>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right/>
      <top/>
      <bottom style="thin">
        <color auto="1"/>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s>
  <cellStyleXfs count="329">
    <xf numFmtId="0" fontId="0" fillId="0" borderId="0"/>
    <xf numFmtId="43" fontId="62" fillId="0" borderId="0" applyFont="0" applyFill="0" applyBorder="0" applyAlignment="0" applyProtection="0"/>
    <xf numFmtId="9" fontId="62" fillId="0" borderId="0" applyFont="0" applyFill="0" applyBorder="0" applyAlignment="0" applyProtection="0"/>
    <xf numFmtId="0" fontId="54" fillId="0" borderId="0"/>
    <xf numFmtId="9" fontId="60" fillId="0" borderId="0" applyFont="0" applyFill="0" applyBorder="0" applyAlignment="0" applyProtection="0"/>
    <xf numFmtId="43" fontId="60" fillId="0" borderId="0" applyFont="0" applyFill="0" applyBorder="0" applyAlignment="0" applyProtection="0"/>
    <xf numFmtId="9" fontId="60" fillId="0" borderId="0" applyFont="0" applyFill="0" applyBorder="0" applyAlignment="0" applyProtection="0"/>
    <xf numFmtId="0" fontId="63" fillId="0" borderId="0"/>
    <xf numFmtId="43" fontId="60" fillId="0" borderId="0" applyFont="0" applyFill="0" applyBorder="0" applyAlignment="0" applyProtection="0"/>
    <xf numFmtId="9" fontId="60" fillId="0" borderId="0" applyFont="0" applyFill="0" applyBorder="0" applyAlignment="0" applyProtection="0"/>
    <xf numFmtId="0" fontId="63" fillId="0" borderId="0"/>
    <xf numFmtId="43" fontId="63" fillId="0" borderId="0" applyFont="0" applyFill="0" applyBorder="0" applyAlignment="0" applyProtection="0"/>
    <xf numFmtId="43" fontId="60" fillId="0" borderId="0" applyFont="0" applyFill="0" applyBorder="0" applyAlignment="0" applyProtection="0"/>
    <xf numFmtId="0" fontId="53" fillId="0" borderId="0"/>
    <xf numFmtId="9" fontId="63" fillId="0" borderId="0" applyFont="0" applyFill="0" applyBorder="0" applyAlignment="0" applyProtection="0"/>
    <xf numFmtId="43" fontId="60" fillId="0" borderId="0" applyFont="0" applyFill="0" applyBorder="0" applyAlignment="0" applyProtection="0"/>
    <xf numFmtId="0" fontId="60" fillId="0" borderId="0"/>
    <xf numFmtId="43" fontId="60" fillId="0" borderId="0" applyFont="0" applyFill="0" applyBorder="0" applyAlignment="0" applyProtection="0"/>
    <xf numFmtId="0" fontId="67" fillId="0" borderId="0"/>
    <xf numFmtId="43" fontId="62" fillId="0" borderId="0" applyFont="0" applyFill="0" applyBorder="0" applyAlignment="0" applyProtection="0"/>
    <xf numFmtId="43" fontId="60" fillId="0" borderId="0" applyFont="0" applyFill="0" applyBorder="0" applyAlignment="0" applyProtection="0"/>
    <xf numFmtId="166" fontId="62" fillId="0" borderId="0" applyFont="0" applyFill="0" applyBorder="0" applyAlignment="0" applyProtection="0"/>
    <xf numFmtId="43" fontId="60" fillId="0" borderId="0" applyFont="0" applyFill="0" applyBorder="0" applyAlignment="0" applyProtection="0"/>
    <xf numFmtId="43" fontId="71" fillId="0" borderId="0" applyFont="0" applyFill="0" applyBorder="0" applyAlignment="0" applyProtection="0"/>
    <xf numFmtId="43" fontId="53" fillId="0" borderId="0" applyFont="0" applyFill="0" applyBorder="0" applyAlignment="0" applyProtection="0"/>
    <xf numFmtId="43" fontId="60" fillId="0" borderId="0" applyFont="0" applyFill="0" applyBorder="0" applyAlignment="0" applyProtection="0"/>
    <xf numFmtId="0" fontId="53" fillId="0" borderId="0"/>
    <xf numFmtId="0" fontId="72" fillId="2" borderId="0" applyNumberFormat="0" applyBorder="0" applyAlignment="0" applyProtection="0"/>
    <xf numFmtId="0" fontId="63" fillId="0" borderId="0"/>
    <xf numFmtId="43" fontId="63" fillId="0" borderId="0" applyFont="0" applyFill="0" applyBorder="0" applyAlignment="0" applyProtection="0"/>
    <xf numFmtId="43" fontId="63" fillId="0" borderId="0" applyFont="0" applyFill="0" applyBorder="0" applyAlignment="0" applyProtection="0"/>
    <xf numFmtId="9" fontId="63" fillId="0" borderId="0" applyFont="0" applyFill="0" applyBorder="0" applyAlignment="0" applyProtection="0"/>
    <xf numFmtId="0" fontId="52" fillId="0" borderId="0"/>
    <xf numFmtId="0" fontId="51" fillId="0" borderId="0"/>
    <xf numFmtId="9" fontId="51" fillId="0" borderId="0" applyFont="0" applyFill="0" applyBorder="0" applyAlignment="0" applyProtection="0"/>
    <xf numFmtId="0" fontId="51" fillId="0" borderId="0"/>
    <xf numFmtId="43" fontId="60" fillId="0" borderId="0" applyFont="0" applyFill="0" applyBorder="0" applyAlignment="0" applyProtection="0"/>
    <xf numFmtId="0" fontId="60" fillId="0" borderId="0"/>
    <xf numFmtId="0" fontId="60" fillId="0" borderId="0"/>
    <xf numFmtId="43" fontId="51" fillId="0" borderId="0" applyFont="0" applyFill="0" applyBorder="0" applyAlignment="0" applyProtection="0"/>
    <xf numFmtId="0" fontId="73" fillId="0" borderId="0"/>
    <xf numFmtId="0" fontId="75" fillId="0" borderId="0" applyNumberFormat="0" applyFill="0" applyBorder="0" applyAlignment="0" applyProtection="0"/>
    <xf numFmtId="0" fontId="63" fillId="0" borderId="0" applyNumberFormat="0" applyFill="0" applyBorder="0" applyAlignment="0" applyProtection="0"/>
    <xf numFmtId="0" fontId="50" fillId="0" borderId="0"/>
    <xf numFmtId="0" fontId="50" fillId="0" borderId="0"/>
    <xf numFmtId="0" fontId="60" fillId="0" borderId="0"/>
    <xf numFmtId="0" fontId="60" fillId="0" borderId="0"/>
    <xf numFmtId="0" fontId="63" fillId="0" borderId="0"/>
    <xf numFmtId="0" fontId="49" fillId="0" borderId="0"/>
    <xf numFmtId="43" fontId="49" fillId="0" borderId="0" applyFont="0" applyFill="0" applyBorder="0" applyAlignment="0" applyProtection="0"/>
    <xf numFmtId="43" fontId="62" fillId="0" borderId="0" applyFont="0" applyFill="0" applyBorder="0" applyAlignment="0" applyProtection="0"/>
    <xf numFmtId="0" fontId="63" fillId="0" borderId="0"/>
    <xf numFmtId="0" fontId="49" fillId="0" borderId="0"/>
    <xf numFmtId="0" fontId="80" fillId="0" borderId="0"/>
    <xf numFmtId="169" fontId="76" fillId="0" borderId="0"/>
    <xf numFmtId="0" fontId="48" fillId="0" borderId="0"/>
    <xf numFmtId="9" fontId="48" fillId="0" borderId="0" applyFont="0" applyFill="0" applyBorder="0" applyAlignment="0" applyProtection="0"/>
    <xf numFmtId="43" fontId="62" fillId="0" borderId="0" applyFont="0" applyFill="0" applyBorder="0" applyAlignment="0" applyProtection="0"/>
    <xf numFmtId="43" fontId="71" fillId="0" borderId="0" applyFont="0" applyFill="0" applyBorder="0" applyAlignment="0" applyProtection="0"/>
    <xf numFmtId="43" fontId="48" fillId="0" borderId="0" applyFont="0" applyFill="0" applyBorder="0" applyAlignment="0" applyProtection="0"/>
    <xf numFmtId="43" fontId="63" fillId="0" borderId="0" applyFont="0" applyFill="0" applyBorder="0" applyAlignment="0" applyProtection="0"/>
    <xf numFmtId="43" fontId="60" fillId="0" borderId="0" applyFont="0" applyFill="0" applyBorder="0" applyAlignment="0" applyProtection="0"/>
    <xf numFmtId="0" fontId="48" fillId="0" borderId="0"/>
    <xf numFmtId="43" fontId="48" fillId="0" borderId="0" applyFont="0" applyFill="0" applyBorder="0" applyAlignment="0" applyProtection="0"/>
    <xf numFmtId="0" fontId="47" fillId="0" borderId="0"/>
    <xf numFmtId="0" fontId="46" fillId="0" borderId="0"/>
    <xf numFmtId="0" fontId="45" fillId="0" borderId="0"/>
    <xf numFmtId="43" fontId="45" fillId="0" borderId="0" applyFont="0" applyFill="0" applyBorder="0" applyAlignment="0" applyProtection="0"/>
    <xf numFmtId="170" fontId="76" fillId="0" borderId="0" applyBorder="0" applyProtection="0"/>
    <xf numFmtId="171" fontId="76" fillId="0" borderId="0" applyBorder="0" applyProtection="0"/>
    <xf numFmtId="0" fontId="63" fillId="0" borderId="0"/>
    <xf numFmtId="0" fontId="44" fillId="0" borderId="0"/>
    <xf numFmtId="43" fontId="44" fillId="0" borderId="0" applyFont="0" applyFill="0" applyBorder="0" applyAlignment="0" applyProtection="0"/>
    <xf numFmtId="9" fontId="44" fillId="0" borderId="0" applyFont="0" applyFill="0" applyBorder="0" applyAlignment="0" applyProtection="0"/>
    <xf numFmtId="0" fontId="43" fillId="0" borderId="0"/>
    <xf numFmtId="43" fontId="43" fillId="0" borderId="0" applyFont="0" applyFill="0" applyBorder="0" applyAlignment="0" applyProtection="0"/>
    <xf numFmtId="0" fontId="84" fillId="0" borderId="0"/>
    <xf numFmtId="0" fontId="42" fillId="0" borderId="0"/>
    <xf numFmtId="43" fontId="42" fillId="0" borderId="0" applyFont="0" applyFill="0" applyBorder="0" applyAlignment="0" applyProtection="0"/>
    <xf numFmtId="165" fontId="42" fillId="0" borderId="0" applyFont="0" applyFill="0" applyBorder="0" applyAlignment="0" applyProtection="0"/>
    <xf numFmtId="9" fontId="42" fillId="0" borderId="0" applyFont="0" applyFill="0" applyBorder="0" applyAlignment="0" applyProtection="0"/>
    <xf numFmtId="43" fontId="62" fillId="0" borderId="0" applyFont="0" applyFill="0" applyBorder="0" applyAlignment="0" applyProtection="0"/>
    <xf numFmtId="0" fontId="41" fillId="0" borderId="0"/>
    <xf numFmtId="0" fontId="40" fillId="0" borderId="0"/>
    <xf numFmtId="0" fontId="39" fillId="0" borderId="0"/>
    <xf numFmtId="0" fontId="88" fillId="0" borderId="0" applyNumberFormat="0" applyProtection="0">
      <alignment vertical="top"/>
    </xf>
    <xf numFmtId="0" fontId="80" fillId="0" borderId="0"/>
    <xf numFmtId="43" fontId="39" fillId="0" borderId="0" applyFont="0" applyFill="0" applyBorder="0" applyAlignment="0" applyProtection="0"/>
    <xf numFmtId="0" fontId="39" fillId="0" borderId="0"/>
    <xf numFmtId="0" fontId="38" fillId="0" borderId="0"/>
    <xf numFmtId="0" fontId="37" fillId="0" borderId="0"/>
    <xf numFmtId="0" fontId="89" fillId="0" borderId="0" applyNumberFormat="0" applyFill="0" applyBorder="0" applyAlignment="0" applyProtection="0"/>
    <xf numFmtId="0" fontId="90" fillId="0" borderId="0"/>
    <xf numFmtId="0" fontId="35" fillId="0" borderId="0"/>
    <xf numFmtId="0" fontId="35" fillId="0" borderId="0"/>
    <xf numFmtId="9" fontId="63" fillId="0" borderId="0" applyFont="0" applyFill="0" applyBorder="0" applyAlignment="0" applyProtection="0"/>
    <xf numFmtId="0" fontId="34" fillId="0" borderId="0"/>
    <xf numFmtId="0" fontId="63" fillId="0" borderId="0"/>
    <xf numFmtId="43" fontId="63" fillId="0" borderId="0" applyFont="0" applyFill="0" applyBorder="0" applyAlignment="0" applyProtection="0"/>
    <xf numFmtId="43" fontId="34" fillId="0" borderId="0" applyFont="0" applyFill="0" applyBorder="0" applyAlignment="0" applyProtection="0"/>
    <xf numFmtId="0" fontId="62" fillId="0" borderId="0"/>
    <xf numFmtId="0" fontId="92" fillId="0" borderId="0" applyNumberFormat="0" applyFill="0" applyBorder="0" applyAlignment="0" applyProtection="0"/>
    <xf numFmtId="0" fontId="93" fillId="0" borderId="30" applyNumberFormat="0" applyFill="0" applyAlignment="0" applyProtection="0"/>
    <xf numFmtId="0" fontId="94" fillId="0" borderId="31" applyNumberFormat="0" applyFill="0" applyAlignment="0" applyProtection="0"/>
    <xf numFmtId="0" fontId="95" fillId="0" borderId="32" applyNumberFormat="0" applyFill="0" applyAlignment="0" applyProtection="0"/>
    <xf numFmtId="0" fontId="95" fillId="0" borderId="0" applyNumberFormat="0" applyFill="0" applyBorder="0" applyAlignment="0" applyProtection="0"/>
    <xf numFmtId="0" fontId="96" fillId="2" borderId="0" applyNumberFormat="0" applyBorder="0" applyAlignment="0" applyProtection="0"/>
    <xf numFmtId="0" fontId="97" fillId="16" borderId="0" applyNumberFormat="0" applyBorder="0" applyAlignment="0" applyProtection="0"/>
    <xf numFmtId="0" fontId="98" fillId="17" borderId="0" applyNumberFormat="0" applyBorder="0" applyAlignment="0" applyProtection="0"/>
    <xf numFmtId="0" fontId="99" fillId="18" borderId="33" applyNumberFormat="0" applyAlignment="0" applyProtection="0"/>
    <xf numFmtId="0" fontId="100" fillId="19" borderId="34" applyNumberFormat="0" applyAlignment="0" applyProtection="0"/>
    <xf numFmtId="0" fontId="101" fillId="19" borderId="33" applyNumberFormat="0" applyAlignment="0" applyProtection="0"/>
    <xf numFmtId="0" fontId="102" fillId="0" borderId="35" applyNumberFormat="0" applyFill="0" applyAlignment="0" applyProtection="0"/>
    <xf numFmtId="0" fontId="103" fillId="20" borderId="36" applyNumberFormat="0" applyAlignment="0" applyProtection="0"/>
    <xf numFmtId="0" fontId="55" fillId="0" borderId="0" applyNumberFormat="0" applyFill="0" applyBorder="0" applyAlignment="0" applyProtection="0"/>
    <xf numFmtId="0" fontId="104" fillId="0" borderId="0" applyNumberFormat="0" applyFill="0" applyBorder="0" applyAlignment="0" applyProtection="0"/>
    <xf numFmtId="0" fontId="74" fillId="0" borderId="38" applyNumberFormat="0" applyFill="0" applyAlignment="0" applyProtection="0"/>
    <xf numFmtId="0" fontId="105" fillId="22" borderId="0" applyNumberFormat="0" applyBorder="0" applyAlignment="0" applyProtection="0"/>
    <xf numFmtId="0" fontId="32" fillId="23" borderId="0" applyNumberFormat="0" applyBorder="0" applyAlignment="0" applyProtection="0"/>
    <xf numFmtId="0" fontId="32" fillId="24" borderId="0" applyNumberFormat="0" applyBorder="0" applyAlignment="0" applyProtection="0"/>
    <xf numFmtId="0" fontId="105" fillId="25" borderId="0" applyNumberFormat="0" applyBorder="0" applyAlignment="0" applyProtection="0"/>
    <xf numFmtId="0" fontId="105" fillId="26"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105" fillId="29" borderId="0" applyNumberFormat="0" applyBorder="0" applyAlignment="0" applyProtection="0"/>
    <xf numFmtId="0" fontId="105" fillId="30" borderId="0" applyNumberFormat="0" applyBorder="0" applyAlignment="0" applyProtection="0"/>
    <xf numFmtId="0" fontId="32" fillId="31" borderId="0" applyNumberFormat="0" applyBorder="0" applyAlignment="0" applyProtection="0"/>
    <xf numFmtId="0" fontId="32" fillId="32" borderId="0" applyNumberFormat="0" applyBorder="0" applyAlignment="0" applyProtection="0"/>
    <xf numFmtId="0" fontId="105" fillId="33" borderId="0" applyNumberFormat="0" applyBorder="0" applyAlignment="0" applyProtection="0"/>
    <xf numFmtId="0" fontId="105" fillId="34"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105" fillId="37" borderId="0" applyNumberFormat="0" applyBorder="0" applyAlignment="0" applyProtection="0"/>
    <xf numFmtId="0" fontId="105" fillId="38" borderId="0" applyNumberFormat="0" applyBorder="0" applyAlignment="0" applyProtection="0"/>
    <xf numFmtId="0" fontId="32" fillId="39" borderId="0" applyNumberFormat="0" applyBorder="0" applyAlignment="0" applyProtection="0"/>
    <xf numFmtId="0" fontId="32" fillId="40" borderId="0" applyNumberFormat="0" applyBorder="0" applyAlignment="0" applyProtection="0"/>
    <xf numFmtId="0" fontId="105" fillId="41" borderId="0" applyNumberFormat="0" applyBorder="0" applyAlignment="0" applyProtection="0"/>
    <xf numFmtId="0" fontId="105" fillId="42" borderId="0" applyNumberFormat="0" applyBorder="0" applyAlignment="0" applyProtection="0"/>
    <xf numFmtId="0" fontId="32" fillId="43" borderId="0" applyNumberFormat="0" applyBorder="0" applyAlignment="0" applyProtection="0"/>
    <xf numFmtId="0" fontId="32" fillId="44" borderId="0" applyNumberFormat="0" applyBorder="0" applyAlignment="0" applyProtection="0"/>
    <xf numFmtId="0" fontId="105" fillId="45" borderId="0" applyNumberFormat="0" applyBorder="0" applyAlignment="0" applyProtection="0"/>
    <xf numFmtId="0" fontId="32" fillId="0" borderId="0"/>
    <xf numFmtId="0" fontId="32" fillId="21" borderId="37" applyNumberFormat="0" applyFont="0" applyAlignment="0" applyProtection="0"/>
    <xf numFmtId="0" fontId="31" fillId="0" borderId="0"/>
    <xf numFmtId="43" fontId="31" fillId="0" borderId="0" applyFont="0" applyFill="0" applyBorder="0" applyAlignment="0" applyProtection="0"/>
    <xf numFmtId="43" fontId="90" fillId="0" borderId="0" applyFont="0" applyFill="0" applyBorder="0" applyAlignment="0" applyProtection="0"/>
    <xf numFmtId="0" fontId="30" fillId="0" borderId="0"/>
    <xf numFmtId="0" fontId="30" fillId="21" borderId="37" applyNumberFormat="0" applyFont="0" applyAlignment="0" applyProtection="0"/>
    <xf numFmtId="0" fontId="30" fillId="23" borderId="0" applyNumberFormat="0" applyBorder="0" applyAlignment="0" applyProtection="0"/>
    <xf numFmtId="0" fontId="30" fillId="24"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31" borderId="0" applyNumberFormat="0" applyBorder="0" applyAlignment="0" applyProtection="0"/>
    <xf numFmtId="0" fontId="30" fillId="32" borderId="0" applyNumberFormat="0" applyBorder="0" applyAlignment="0" applyProtection="0"/>
    <xf numFmtId="0" fontId="30" fillId="35" borderId="0" applyNumberFormat="0" applyBorder="0" applyAlignment="0" applyProtection="0"/>
    <xf numFmtId="0" fontId="30" fillId="36" borderId="0" applyNumberFormat="0" applyBorder="0" applyAlignment="0" applyProtection="0"/>
    <xf numFmtId="0" fontId="30" fillId="39" borderId="0" applyNumberFormat="0" applyBorder="0" applyAlignment="0" applyProtection="0"/>
    <xf numFmtId="0" fontId="30" fillId="40" borderId="0" applyNumberFormat="0" applyBorder="0" applyAlignment="0" applyProtection="0"/>
    <xf numFmtId="0" fontId="30" fillId="43" borderId="0" applyNumberFormat="0" applyBorder="0" applyAlignment="0" applyProtection="0"/>
    <xf numFmtId="0" fontId="30" fillId="44" borderId="0" applyNumberFormat="0" applyBorder="0" applyAlignment="0" applyProtection="0"/>
    <xf numFmtId="0" fontId="70" fillId="0" borderId="0" pivotButton="1"/>
    <xf numFmtId="43" fontId="70" fillId="0" borderId="0" applyFont="0" applyFill="0" applyBorder="0" applyAlignment="0" applyProtection="0"/>
    <xf numFmtId="0" fontId="90" fillId="0" borderId="0"/>
    <xf numFmtId="0" fontId="85" fillId="0" borderId="0"/>
    <xf numFmtId="0" fontId="63" fillId="0" borderId="0"/>
    <xf numFmtId="43" fontId="63" fillId="0" borderId="0" applyFont="0" applyFill="0" applyBorder="0" applyAlignment="0" applyProtection="0"/>
    <xf numFmtId="0" fontId="29" fillId="0" borderId="0"/>
    <xf numFmtId="0" fontId="63" fillId="0" borderId="0" applyBorder="0"/>
    <xf numFmtId="0" fontId="29" fillId="0" borderId="0"/>
    <xf numFmtId="0" fontId="106" fillId="0" borderId="0"/>
    <xf numFmtId="0" fontId="62" fillId="0" borderId="0"/>
    <xf numFmtId="9" fontId="62" fillId="0" borderId="0" applyFont="0" applyFill="0" applyBorder="0" applyAlignment="0" applyProtection="0"/>
    <xf numFmtId="0" fontId="28" fillId="0" borderId="0"/>
    <xf numFmtId="0" fontId="108" fillId="0" borderId="0" applyNumberFormat="0" applyFill="0" applyBorder="0" applyAlignment="0" applyProtection="0"/>
    <xf numFmtId="0" fontId="27" fillId="0" borderId="0"/>
    <xf numFmtId="0" fontId="26" fillId="0" borderId="0"/>
    <xf numFmtId="0" fontId="110" fillId="17" borderId="0" applyNumberFormat="0" applyBorder="0" applyAlignment="0" applyProtection="0"/>
    <xf numFmtId="0" fontId="26" fillId="21" borderId="37" applyNumberFormat="0" applyFont="0" applyAlignment="0" applyProtection="0"/>
    <xf numFmtId="0" fontId="26" fillId="23"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6" fillId="31" borderId="0" applyNumberFormat="0" applyBorder="0" applyAlignment="0" applyProtection="0"/>
    <xf numFmtId="0" fontId="26" fillId="32" borderId="0" applyNumberFormat="0" applyBorder="0" applyAlignment="0" applyProtection="0"/>
    <xf numFmtId="0" fontId="26" fillId="33" borderId="0" applyNumberFormat="0" applyBorder="0" applyAlignment="0" applyProtection="0"/>
    <xf numFmtId="0" fontId="26" fillId="35" borderId="0" applyNumberFormat="0" applyBorder="0" applyAlignment="0" applyProtection="0"/>
    <xf numFmtId="0" fontId="26" fillId="36" borderId="0" applyNumberFormat="0" applyBorder="0" applyAlignment="0" applyProtection="0"/>
    <xf numFmtId="0" fontId="26" fillId="37"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26" fillId="43" borderId="0" applyNumberFormat="0" applyBorder="0" applyAlignment="0" applyProtection="0"/>
    <xf numFmtId="0" fontId="26" fillId="44" borderId="0" applyNumberFormat="0" applyBorder="0" applyAlignment="0" applyProtection="0"/>
    <xf numFmtId="0" fontId="26" fillId="45" borderId="0" applyNumberFormat="0" applyBorder="0" applyAlignment="0" applyProtection="0"/>
    <xf numFmtId="0" fontId="25" fillId="0" borderId="0"/>
    <xf numFmtId="0" fontId="111" fillId="0" borderId="0" applyNumberFormat="0" applyFill="0" applyBorder="0" applyAlignment="0" applyProtection="0">
      <alignment vertical="top"/>
      <protection locked="0"/>
    </xf>
    <xf numFmtId="0" fontId="24" fillId="0" borderId="0"/>
    <xf numFmtId="0" fontId="24" fillId="0" borderId="0"/>
    <xf numFmtId="0" fontId="23" fillId="0" borderId="0"/>
    <xf numFmtId="43" fontId="23" fillId="0" borderId="0" applyFont="0" applyFill="0" applyBorder="0" applyAlignment="0" applyProtection="0"/>
    <xf numFmtId="0" fontId="22" fillId="0" borderId="0"/>
    <xf numFmtId="0" fontId="22" fillId="0" borderId="0"/>
    <xf numFmtId="0" fontId="112" fillId="0" borderId="0">
      <alignment horizontal="left" wrapText="1"/>
    </xf>
    <xf numFmtId="0" fontId="113" fillId="0" borderId="0">
      <alignment horizontal="right"/>
    </xf>
    <xf numFmtId="0" fontId="91" fillId="0" borderId="0">
      <alignment horizontal="left" wrapText="1"/>
    </xf>
    <xf numFmtId="0" fontId="114" fillId="0" borderId="0">
      <alignment vertical="top" wrapText="1"/>
    </xf>
    <xf numFmtId="0" fontId="109" fillId="0" borderId="0">
      <alignment horizontal="right" indent="1"/>
    </xf>
    <xf numFmtId="14" fontId="91" fillId="0" borderId="0" applyFont="0" applyFill="0" applyBorder="0" applyAlignment="0" applyProtection="0">
      <alignment horizontal="left"/>
    </xf>
    <xf numFmtId="172" fontId="91" fillId="0" borderId="0" applyFont="0" applyFill="0" applyBorder="0" applyProtection="0">
      <alignment horizontal="left" vertical="top" wrapText="1"/>
    </xf>
    <xf numFmtId="0" fontId="109" fillId="0" borderId="0">
      <alignment horizontal="left" vertical="top"/>
    </xf>
    <xf numFmtId="0" fontId="115" fillId="0" borderId="0">
      <alignment horizontal="right" indent="1"/>
    </xf>
    <xf numFmtId="0" fontId="91" fillId="0" borderId="0">
      <alignment horizontal="left" vertical="top" wrapText="1"/>
    </xf>
    <xf numFmtId="173" fontId="91" fillId="0" borderId="0" applyFont="0" applyFill="0" applyBorder="0" applyProtection="0">
      <alignment horizontal="right"/>
    </xf>
    <xf numFmtId="0" fontId="109" fillId="0" borderId="0">
      <alignment horizontal="center" wrapText="1"/>
    </xf>
    <xf numFmtId="0" fontId="21" fillId="0" borderId="0"/>
    <xf numFmtId="43" fontId="21" fillId="0" borderId="0" applyFont="0" applyFill="0" applyBorder="0" applyAlignment="0" applyProtection="0"/>
    <xf numFmtId="0" fontId="20" fillId="0" borderId="0"/>
    <xf numFmtId="0" fontId="110" fillId="17" borderId="0" applyNumberFormat="0" applyBorder="0" applyAlignment="0" applyProtection="0"/>
    <xf numFmtId="0" fontId="20" fillId="21" borderId="37" applyNumberFormat="0" applyFont="0" applyAlignment="0" applyProtection="0"/>
    <xf numFmtId="0" fontId="20"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0"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20" fillId="31" borderId="0" applyNumberFormat="0" applyBorder="0" applyAlignment="0" applyProtection="0"/>
    <xf numFmtId="0" fontId="20" fillId="32" borderId="0" applyNumberFormat="0" applyBorder="0" applyAlignment="0" applyProtection="0"/>
    <xf numFmtId="0" fontId="20" fillId="33" borderId="0" applyNumberFormat="0" applyBorder="0" applyAlignment="0" applyProtection="0"/>
    <xf numFmtId="0" fontId="20" fillId="35" borderId="0" applyNumberFormat="0" applyBorder="0" applyAlignment="0" applyProtection="0"/>
    <xf numFmtId="0" fontId="20" fillId="36" borderId="0" applyNumberFormat="0" applyBorder="0" applyAlignment="0" applyProtection="0"/>
    <xf numFmtId="0" fontId="20" fillId="37" borderId="0" applyNumberFormat="0" applyBorder="0" applyAlignment="0" applyProtection="0"/>
    <xf numFmtId="0" fontId="20" fillId="39"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3" borderId="0" applyNumberFormat="0" applyBorder="0" applyAlignment="0" applyProtection="0"/>
    <xf numFmtId="0" fontId="20" fillId="44" borderId="0" applyNumberFormat="0" applyBorder="0" applyAlignment="0" applyProtection="0"/>
    <xf numFmtId="0" fontId="20" fillId="45" borderId="0" applyNumberFormat="0" applyBorder="0" applyAlignment="0" applyProtection="0"/>
    <xf numFmtId="0" fontId="19" fillId="0" borderId="0"/>
    <xf numFmtId="0" fontId="19" fillId="0" borderId="0"/>
    <xf numFmtId="0" fontId="19" fillId="0" borderId="0"/>
    <xf numFmtId="174" fontId="62" fillId="0" borderId="0" applyFont="0" applyFill="0" applyBorder="0" applyAlignment="0" applyProtection="0"/>
    <xf numFmtId="0" fontId="18" fillId="0" borderId="0"/>
    <xf numFmtId="0" fontId="17" fillId="0" borderId="0"/>
    <xf numFmtId="0" fontId="16" fillId="0" borderId="0"/>
    <xf numFmtId="0" fontId="15" fillId="0" borderId="0"/>
    <xf numFmtId="0" fontId="14" fillId="0" borderId="0"/>
    <xf numFmtId="0" fontId="13" fillId="0" borderId="0"/>
    <xf numFmtId="43" fontId="13" fillId="0" borderId="0" applyFont="0" applyFill="0" applyBorder="0" applyAlignment="0" applyProtection="0"/>
    <xf numFmtId="0" fontId="12" fillId="0" borderId="0"/>
    <xf numFmtId="43" fontId="12" fillId="0" borderId="0" applyFont="0" applyFill="0" applyBorder="0" applyAlignment="0" applyProtection="0"/>
    <xf numFmtId="0" fontId="11" fillId="0" borderId="0"/>
    <xf numFmtId="0" fontId="11" fillId="21" borderId="37" applyNumberFormat="0" applyFont="0" applyAlignment="0" applyProtection="0"/>
    <xf numFmtId="0" fontId="11"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11" fillId="31" borderId="0" applyNumberFormat="0" applyBorder="0" applyAlignment="0" applyProtection="0"/>
    <xf numFmtId="0" fontId="11" fillId="32" borderId="0" applyNumberFormat="0" applyBorder="0" applyAlignment="0" applyProtection="0"/>
    <xf numFmtId="0" fontId="11" fillId="33" borderId="0" applyNumberFormat="0" applyBorder="0" applyAlignment="0" applyProtection="0"/>
    <xf numFmtId="0" fontId="11" fillId="35" borderId="0" applyNumberFormat="0" applyBorder="0" applyAlignment="0" applyProtection="0"/>
    <xf numFmtId="0" fontId="11" fillId="36" borderId="0" applyNumberFormat="0" applyBorder="0" applyAlignment="0" applyProtection="0"/>
    <xf numFmtId="0" fontId="11" fillId="37" borderId="0" applyNumberFormat="0" applyBorder="0" applyAlignment="0" applyProtection="0"/>
    <xf numFmtId="0" fontId="11" fillId="39" borderId="0" applyNumberFormat="0" applyBorder="0" applyAlignment="0" applyProtection="0"/>
    <xf numFmtId="0" fontId="11" fillId="40" borderId="0" applyNumberFormat="0" applyBorder="0" applyAlignment="0" applyProtection="0"/>
    <xf numFmtId="0" fontId="11" fillId="41" borderId="0" applyNumberFormat="0" applyBorder="0" applyAlignment="0" applyProtection="0"/>
    <xf numFmtId="0" fontId="11" fillId="43" borderId="0" applyNumberFormat="0" applyBorder="0" applyAlignment="0" applyProtection="0"/>
    <xf numFmtId="0" fontId="11" fillId="44" borderId="0" applyNumberFormat="0" applyBorder="0" applyAlignment="0" applyProtection="0"/>
    <xf numFmtId="0" fontId="11" fillId="45" borderId="0" applyNumberFormat="0" applyBorder="0" applyAlignment="0" applyProtection="0"/>
    <xf numFmtId="0" fontId="117" fillId="0" borderId="0"/>
    <xf numFmtId="43" fontId="90" fillId="0" borderId="0" applyFont="0" applyFill="0" applyBorder="0" applyAlignment="0" applyProtection="0"/>
    <xf numFmtId="0" fontId="62" fillId="0" borderId="0"/>
    <xf numFmtId="43" fontId="62" fillId="0" borderId="0" applyFont="0" applyFill="0" applyBorder="0" applyAlignment="0" applyProtection="0"/>
    <xf numFmtId="0" fontId="10" fillId="0" borderId="0"/>
    <xf numFmtId="0" fontId="9" fillId="0" borderId="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3" fontId="62" fillId="0" borderId="0" applyFont="0" applyFill="0" applyBorder="0" applyAlignment="0" applyProtection="0"/>
    <xf numFmtId="175" fontId="107" fillId="0" borderId="0" applyFont="0" applyFill="0" applyBorder="0" applyAlignment="0" applyProtection="0"/>
    <xf numFmtId="0" fontId="7" fillId="0" borderId="0"/>
    <xf numFmtId="0" fontId="117" fillId="0" borderId="0"/>
    <xf numFmtId="0" fontId="85" fillId="0" borderId="0"/>
    <xf numFmtId="43" fontId="85" fillId="0" borderId="0" applyFont="0" applyFill="0" applyBorder="0" applyAlignment="0" applyProtection="0"/>
    <xf numFmtId="0" fontId="3" fillId="0" borderId="0"/>
    <xf numFmtId="0" fontId="2" fillId="0" borderId="0"/>
    <xf numFmtId="0" fontId="2" fillId="21" borderId="37" applyNumberFormat="0" applyFont="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1" fillId="0" borderId="0"/>
    <xf numFmtId="0" fontId="1" fillId="21" borderId="37" applyNumberFormat="0" applyFont="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cellStyleXfs>
  <cellXfs count="592">
    <xf numFmtId="0" fontId="0" fillId="0" borderId="0" xfId="0"/>
    <xf numFmtId="9" fontId="56" fillId="0" borderId="0" xfId="4" applyFont="1"/>
    <xf numFmtId="0" fontId="65" fillId="0" borderId="3" xfId="7" applyFont="1" applyBorder="1" applyAlignment="1">
      <alignment horizontal="center" vertical="center" wrapText="1"/>
    </xf>
    <xf numFmtId="0" fontId="56" fillId="0" borderId="0" xfId="43" applyFont="1"/>
    <xf numFmtId="0" fontId="56" fillId="0" borderId="0" xfId="43" applyFont="1" applyAlignment="1">
      <alignment wrapText="1"/>
    </xf>
    <xf numFmtId="0" fontId="61" fillId="0" borderId="0" xfId="43" applyFont="1"/>
    <xf numFmtId="0" fontId="59" fillId="0" borderId="0" xfId="43" applyFont="1"/>
    <xf numFmtId="0" fontId="61" fillId="0" borderId="1" xfId="43" applyFont="1" applyBorder="1" applyAlignment="1">
      <alignment horizontal="center" vertical="center"/>
    </xf>
    <xf numFmtId="0" fontId="61" fillId="0" borderId="2" xfId="43" applyFont="1" applyBorder="1" applyAlignment="1">
      <alignment horizontal="center" vertical="center" wrapText="1"/>
    </xf>
    <xf numFmtId="3" fontId="61" fillId="3" borderId="4" xfId="43" applyNumberFormat="1" applyFont="1" applyFill="1" applyBorder="1"/>
    <xf numFmtId="3" fontId="61" fillId="4" borderId="4" xfId="43" applyNumberFormat="1" applyFont="1" applyFill="1" applyBorder="1"/>
    <xf numFmtId="0" fontId="66" fillId="0" borderId="0" xfId="43" applyFont="1"/>
    <xf numFmtId="3" fontId="56" fillId="0" borderId="7" xfId="43" applyNumberFormat="1" applyFont="1" applyBorder="1"/>
    <xf numFmtId="3" fontId="61" fillId="4" borderId="7" xfId="43" applyNumberFormat="1" applyFont="1" applyFill="1" applyBorder="1"/>
    <xf numFmtId="3" fontId="65" fillId="4" borderId="7" xfId="43" applyNumberFormat="1" applyFont="1" applyFill="1" applyBorder="1"/>
    <xf numFmtId="3" fontId="56" fillId="6" borderId="7" xfId="43" applyNumberFormat="1" applyFont="1" applyFill="1" applyBorder="1"/>
    <xf numFmtId="3" fontId="67" fillId="8" borderId="7" xfId="43" applyNumberFormat="1" applyFont="1" applyFill="1" applyBorder="1"/>
    <xf numFmtId="0" fontId="67" fillId="0" borderId="0" xfId="43" applyFont="1"/>
    <xf numFmtId="0" fontId="58" fillId="0" borderId="0" xfId="43" applyFont="1"/>
    <xf numFmtId="3" fontId="56" fillId="3" borderId="7" xfId="43" applyNumberFormat="1" applyFont="1" applyFill="1" applyBorder="1"/>
    <xf numFmtId="0" fontId="57" fillId="0" borderId="0" xfId="43" applyFont="1"/>
    <xf numFmtId="0" fontId="61" fillId="0" borderId="9" xfId="43" applyFont="1" applyBorder="1"/>
    <xf numFmtId="0" fontId="61" fillId="0" borderId="10" xfId="43" applyFont="1" applyBorder="1" applyAlignment="1">
      <alignment horizontal="right" wrapText="1"/>
    </xf>
    <xf numFmtId="49" fontId="56" fillId="0" borderId="6" xfId="43" applyNumberFormat="1" applyFont="1" applyBorder="1" applyAlignment="1">
      <alignment horizontal="left" wrapText="1" indent="4"/>
    </xf>
    <xf numFmtId="3" fontId="61" fillId="4" borderId="12" xfId="43" applyNumberFormat="1" applyFont="1" applyFill="1" applyBorder="1"/>
    <xf numFmtId="3" fontId="61" fillId="3" borderId="7" xfId="43" applyNumberFormat="1" applyFont="1" applyFill="1" applyBorder="1"/>
    <xf numFmtId="49" fontId="56" fillId="0" borderId="5" xfId="43" applyNumberFormat="1" applyFont="1" applyBorder="1" applyAlignment="1">
      <alignment horizontal="left" indent="2"/>
    </xf>
    <xf numFmtId="0" fontId="56" fillId="0" borderId="0" xfId="43" applyFont="1" applyAlignment="1">
      <alignment horizontal="right"/>
    </xf>
    <xf numFmtId="0" fontId="56" fillId="6" borderId="0" xfId="43" applyFont="1" applyFill="1"/>
    <xf numFmtId="49" fontId="61" fillId="0" borderId="9" xfId="43" applyNumberFormat="1" applyFont="1" applyBorder="1"/>
    <xf numFmtId="3" fontId="61" fillId="0" borderId="13" xfId="43" applyNumberFormat="1" applyFont="1" applyBorder="1"/>
    <xf numFmtId="3" fontId="61" fillId="0" borderId="14" xfId="43" applyNumberFormat="1" applyFont="1" applyBorder="1"/>
    <xf numFmtId="49" fontId="61" fillId="4" borderId="15" xfId="43" applyNumberFormat="1" applyFont="1" applyFill="1" applyBorder="1" applyAlignment="1">
      <alignment horizontal="center"/>
    </xf>
    <xf numFmtId="3" fontId="61" fillId="4" borderId="17" xfId="43" applyNumberFormat="1" applyFont="1" applyFill="1" applyBorder="1"/>
    <xf numFmtId="0" fontId="66" fillId="5" borderId="0" xfId="43" applyFont="1" applyFill="1"/>
    <xf numFmtId="3" fontId="56" fillId="5" borderId="7" xfId="43" applyNumberFormat="1" applyFont="1" applyFill="1" applyBorder="1"/>
    <xf numFmtId="3" fontId="59" fillId="5" borderId="7" xfId="43" applyNumberFormat="1" applyFont="1" applyFill="1" applyBorder="1"/>
    <xf numFmtId="167" fontId="56" fillId="3" borderId="7" xfId="1" applyNumberFormat="1" applyFont="1" applyFill="1" applyBorder="1"/>
    <xf numFmtId="167" fontId="56" fillId="5" borderId="7" xfId="1" applyNumberFormat="1" applyFont="1" applyFill="1" applyBorder="1"/>
    <xf numFmtId="3" fontId="56" fillId="0" borderId="0" xfId="43" applyNumberFormat="1" applyFont="1"/>
    <xf numFmtId="3" fontId="61" fillId="0" borderId="3" xfId="43" applyNumberFormat="1" applyFont="1" applyBorder="1"/>
    <xf numFmtId="3" fontId="61" fillId="0" borderId="11" xfId="43" applyNumberFormat="1" applyFont="1" applyBorder="1"/>
    <xf numFmtId="3" fontId="56" fillId="0" borderId="27" xfId="43" applyNumberFormat="1" applyFont="1" applyBorder="1"/>
    <xf numFmtId="167" fontId="61" fillId="0" borderId="0" xfId="5" applyNumberFormat="1" applyFont="1"/>
    <xf numFmtId="0" fontId="61" fillId="0" borderId="3" xfId="7" applyFont="1" applyBorder="1" applyAlignment="1">
      <alignment horizontal="center" vertical="center" wrapText="1"/>
    </xf>
    <xf numFmtId="3" fontId="56" fillId="7" borderId="7" xfId="43" applyNumberFormat="1" applyFont="1" applyFill="1" applyBorder="1"/>
    <xf numFmtId="10" fontId="56" fillId="0" borderId="0" xfId="9" applyNumberFormat="1" applyFont="1"/>
    <xf numFmtId="0" fontId="36" fillId="0" borderId="0" xfId="43" applyFont="1"/>
    <xf numFmtId="0" fontId="33" fillId="0" borderId="0" xfId="43" applyFont="1"/>
    <xf numFmtId="3" fontId="56" fillId="10" borderId="7" xfId="43" applyNumberFormat="1" applyFont="1" applyFill="1" applyBorder="1"/>
    <xf numFmtId="3" fontId="56" fillId="5" borderId="43" xfId="43" applyNumberFormat="1" applyFont="1" applyFill="1" applyBorder="1"/>
    <xf numFmtId="3" fontId="56" fillId="0" borderId="43" xfId="43" applyNumberFormat="1" applyFont="1" applyBorder="1"/>
    <xf numFmtId="167" fontId="61" fillId="3" borderId="4" xfId="1" applyNumberFormat="1" applyFont="1" applyFill="1" applyBorder="1"/>
    <xf numFmtId="0" fontId="50" fillId="0" borderId="0" xfId="43"/>
    <xf numFmtId="0" fontId="61" fillId="0" borderId="18" xfId="43" applyFont="1" applyBorder="1"/>
    <xf numFmtId="0" fontId="86" fillId="0" borderId="0" xfId="83" applyFont="1"/>
    <xf numFmtId="0" fontId="56" fillId="0" borderId="0" xfId="43" quotePrefix="1" applyFont="1"/>
    <xf numFmtId="0" fontId="59" fillId="0" borderId="0" xfId="43" quotePrefix="1" applyFont="1"/>
    <xf numFmtId="0" fontId="66" fillId="0" borderId="0" xfId="43" quotePrefix="1" applyFont="1"/>
    <xf numFmtId="3" fontId="56" fillId="3" borderId="27" xfId="43" applyNumberFormat="1" applyFont="1" applyFill="1" applyBorder="1"/>
    <xf numFmtId="0" fontId="56" fillId="6" borderId="0" xfId="43" quotePrefix="1" applyFont="1" applyFill="1"/>
    <xf numFmtId="0" fontId="61" fillId="3" borderId="45" xfId="43" applyFont="1" applyFill="1" applyBorder="1"/>
    <xf numFmtId="0" fontId="61" fillId="3" borderId="49" xfId="43" applyFont="1" applyFill="1" applyBorder="1" applyAlignment="1">
      <alignment wrapText="1"/>
    </xf>
    <xf numFmtId="0" fontId="61" fillId="4" borderId="45" xfId="43" quotePrefix="1" applyFont="1" applyFill="1" applyBorder="1"/>
    <xf numFmtId="0" fontId="61" fillId="4" borderId="49" xfId="43" applyFont="1" applyFill="1" applyBorder="1" applyAlignment="1">
      <alignment wrapText="1"/>
    </xf>
    <xf numFmtId="0" fontId="56" fillId="0" borderId="53" xfId="43" applyFont="1" applyBorder="1" applyAlignment="1">
      <alignment horizontal="left" indent="1"/>
    </xf>
    <xf numFmtId="0" fontId="56" fillId="0" borderId="47" xfId="43" applyFont="1" applyBorder="1" applyAlignment="1">
      <alignment horizontal="left" wrapText="1" indent="2"/>
    </xf>
    <xf numFmtId="0" fontId="61" fillId="4" borderId="53" xfId="43" applyFont="1" applyFill="1" applyBorder="1"/>
    <xf numFmtId="0" fontId="61" fillId="4" borderId="47" xfId="43" applyFont="1" applyFill="1" applyBorder="1" applyAlignment="1">
      <alignment wrapText="1"/>
    </xf>
    <xf numFmtId="0" fontId="67" fillId="0" borderId="53" xfId="43" applyFont="1" applyBorder="1" applyAlignment="1">
      <alignment horizontal="left" indent="2"/>
    </xf>
    <xf numFmtId="0" fontId="67" fillId="0" borderId="47" xfId="43" applyFont="1" applyBorder="1" applyAlignment="1">
      <alignment horizontal="left" wrapText="1" indent="3"/>
    </xf>
    <xf numFmtId="0" fontId="61" fillId="4" borderId="53" xfId="43" quotePrefix="1" applyFont="1" applyFill="1" applyBorder="1"/>
    <xf numFmtId="0" fontId="56" fillId="3" borderId="53" xfId="43" applyFont="1" applyFill="1" applyBorder="1" applyAlignment="1">
      <alignment horizontal="left" indent="1"/>
    </xf>
    <xf numFmtId="0" fontId="56" fillId="6" borderId="53" xfId="43" applyFont="1" applyFill="1" applyBorder="1" applyAlignment="1">
      <alignment horizontal="left" indent="2"/>
    </xf>
    <xf numFmtId="0" fontId="56" fillId="6" borderId="47" xfId="43" applyFont="1" applyFill="1" applyBorder="1" applyAlignment="1">
      <alignment horizontal="left" wrapText="1" indent="3"/>
    </xf>
    <xf numFmtId="0" fontId="61" fillId="0" borderId="44" xfId="43" quotePrefix="1" applyFont="1" applyBorder="1"/>
    <xf numFmtId="49" fontId="61" fillId="4" borderId="39" xfId="43" applyNumberFormat="1" applyFont="1" applyFill="1" applyBorder="1" applyAlignment="1">
      <alignment horizontal="left" indent="2"/>
    </xf>
    <xf numFmtId="49" fontId="56" fillId="3" borderId="53" xfId="43" applyNumberFormat="1" applyFont="1" applyFill="1" applyBorder="1" applyAlignment="1">
      <alignment horizontal="left" indent="1"/>
    </xf>
    <xf numFmtId="49" fontId="61" fillId="4" borderId="53" xfId="43" applyNumberFormat="1" applyFont="1" applyFill="1" applyBorder="1"/>
    <xf numFmtId="49" fontId="56" fillId="0" borderId="53" xfId="43" applyNumberFormat="1" applyFont="1" applyBorder="1" applyAlignment="1">
      <alignment horizontal="left" indent="2"/>
    </xf>
    <xf numFmtId="0" fontId="66" fillId="5" borderId="47" xfId="43" applyFont="1" applyFill="1" applyBorder="1" applyAlignment="1">
      <alignment horizontal="left" indent="2"/>
    </xf>
    <xf numFmtId="0" fontId="66" fillId="0" borderId="47" xfId="43" applyFont="1" applyBorder="1" applyAlignment="1">
      <alignment horizontal="left" indent="2"/>
    </xf>
    <xf numFmtId="49" fontId="61" fillId="3" borderId="53" xfId="43" applyNumberFormat="1" applyFont="1" applyFill="1" applyBorder="1" applyAlignment="1">
      <alignment horizontal="left" indent="1"/>
    </xf>
    <xf numFmtId="49" fontId="56" fillId="6" borderId="53" xfId="43" applyNumberFormat="1" applyFont="1" applyFill="1" applyBorder="1" applyAlignment="1">
      <alignment horizontal="left" indent="2"/>
    </xf>
    <xf numFmtId="49" fontId="56" fillId="0" borderId="53" xfId="43" applyNumberFormat="1" applyFont="1" applyBorder="1" applyAlignment="1">
      <alignment horizontal="left" indent="3"/>
    </xf>
    <xf numFmtId="49" fontId="81" fillId="3" borderId="53" xfId="43" applyNumberFormat="1" applyFont="1" applyFill="1" applyBorder="1" applyAlignment="1">
      <alignment horizontal="left" indent="1"/>
    </xf>
    <xf numFmtId="0" fontId="65" fillId="0" borderId="0" xfId="43" applyFont="1"/>
    <xf numFmtId="49" fontId="61" fillId="0" borderId="53" xfId="43" applyNumberFormat="1" applyFont="1" applyBorder="1" applyAlignment="1">
      <alignment horizontal="left" indent="2"/>
    </xf>
    <xf numFmtId="3" fontId="59" fillId="3" borderId="7" xfId="43" applyNumberFormat="1" applyFont="1" applyFill="1" applyBorder="1"/>
    <xf numFmtId="3" fontId="56" fillId="5" borderId="57" xfId="43" applyNumberFormat="1" applyFont="1" applyFill="1" applyBorder="1"/>
    <xf numFmtId="3" fontId="56" fillId="0" borderId="57" xfId="43" applyNumberFormat="1" applyFont="1" applyBorder="1"/>
    <xf numFmtId="3" fontId="56" fillId="3" borderId="57" xfId="43" applyNumberFormat="1" applyFont="1" applyFill="1" applyBorder="1"/>
    <xf numFmtId="167" fontId="58" fillId="0" borderId="0" xfId="1" applyNumberFormat="1" applyFont="1"/>
    <xf numFmtId="0" fontId="108" fillId="0" borderId="0" xfId="173"/>
    <xf numFmtId="167" fontId="56" fillId="0" borderId="0" xfId="1" applyNumberFormat="1" applyFont="1"/>
    <xf numFmtId="0" fontId="67" fillId="0" borderId="58" xfId="43" applyFont="1" applyBorder="1" applyAlignment="1">
      <alignment horizontal="left" indent="2"/>
    </xf>
    <xf numFmtId="0" fontId="56" fillId="0" borderId="65" xfId="43" applyFont="1" applyBorder="1" applyAlignment="1">
      <alignment horizontal="left" wrapText="1" indent="2"/>
    </xf>
    <xf numFmtId="49" fontId="56" fillId="3" borderId="58" xfId="43" applyNumberFormat="1" applyFont="1" applyFill="1" applyBorder="1" applyAlignment="1">
      <alignment horizontal="left" indent="1"/>
    </xf>
    <xf numFmtId="3" fontId="61" fillId="3" borderId="54" xfId="43" applyNumberFormat="1" applyFont="1" applyFill="1" applyBorder="1"/>
    <xf numFmtId="3" fontId="61" fillId="0" borderId="7" xfId="43" applyNumberFormat="1" applyFont="1" applyBorder="1"/>
    <xf numFmtId="49" fontId="56" fillId="13" borderId="53" xfId="43" applyNumberFormat="1" applyFont="1" applyFill="1" applyBorder="1" applyAlignment="1">
      <alignment horizontal="left" indent="2"/>
    </xf>
    <xf numFmtId="49" fontId="56" fillId="13" borderId="58" xfId="43" applyNumberFormat="1" applyFont="1" applyFill="1" applyBorder="1" applyAlignment="1">
      <alignment horizontal="left" indent="2"/>
    </xf>
    <xf numFmtId="49" fontId="56" fillId="13" borderId="53" xfId="43" applyNumberFormat="1" applyFont="1" applyFill="1" applyBorder="1" applyAlignment="1">
      <alignment horizontal="left" indent="1"/>
    </xf>
    <xf numFmtId="0" fontId="66" fillId="13" borderId="47" xfId="43" applyFont="1" applyFill="1" applyBorder="1" applyAlignment="1">
      <alignment horizontal="left" indent="2"/>
    </xf>
    <xf numFmtId="0" fontId="56" fillId="6" borderId="58" xfId="43" applyFont="1" applyFill="1" applyBorder="1" applyAlignment="1">
      <alignment horizontal="left" indent="2"/>
    </xf>
    <xf numFmtId="3" fontId="56" fillId="0" borderId="54" xfId="43" applyNumberFormat="1" applyFont="1" applyBorder="1"/>
    <xf numFmtId="0" fontId="56" fillId="6" borderId="65" xfId="43" applyFont="1" applyFill="1" applyBorder="1" applyAlignment="1">
      <alignment horizontal="left" wrapText="1" indent="3"/>
    </xf>
    <xf numFmtId="49" fontId="56" fillId="0" borderId="58" xfId="43" applyNumberFormat="1" applyFont="1" applyBorder="1" applyAlignment="1">
      <alignment horizontal="left" indent="2"/>
    </xf>
    <xf numFmtId="167" fontId="61" fillId="0" borderId="0" xfId="1" applyNumberFormat="1" applyFont="1"/>
    <xf numFmtId="0" fontId="56" fillId="6" borderId="68" xfId="43" applyFont="1" applyFill="1" applyBorder="1" applyAlignment="1">
      <alignment horizontal="left" indent="2"/>
    </xf>
    <xf numFmtId="49" fontId="68" fillId="0" borderId="58" xfId="43" applyNumberFormat="1" applyFont="1" applyBorder="1" applyAlignment="1">
      <alignment horizontal="left" indent="3"/>
    </xf>
    <xf numFmtId="0" fontId="67" fillId="0" borderId="69" xfId="43" applyFont="1" applyBorder="1" applyAlignment="1">
      <alignment horizontal="left" indent="2"/>
    </xf>
    <xf numFmtId="3" fontId="56" fillId="0" borderId="70" xfId="43" applyNumberFormat="1" applyFont="1" applyBorder="1"/>
    <xf numFmtId="0" fontId="56" fillId="6" borderId="69" xfId="43" applyFont="1" applyFill="1" applyBorder="1" applyAlignment="1">
      <alignment horizontal="left" indent="2"/>
    </xf>
    <xf numFmtId="3" fontId="56" fillId="0" borderId="67" xfId="43" applyNumberFormat="1" applyFont="1" applyBorder="1"/>
    <xf numFmtId="167" fontId="56" fillId="0" borderId="0" xfId="1" applyNumberFormat="1" applyFont="1" applyAlignment="1">
      <alignment wrapText="1"/>
    </xf>
    <xf numFmtId="0" fontId="116" fillId="5" borderId="0" xfId="0" applyFont="1" applyFill="1"/>
    <xf numFmtId="0" fontId="79" fillId="5" borderId="0" xfId="0" applyFont="1" applyFill="1"/>
    <xf numFmtId="0" fontId="79" fillId="47" borderId="0" xfId="0" applyFont="1" applyFill="1"/>
    <xf numFmtId="0" fontId="116" fillId="47" borderId="19" xfId="0" applyFont="1" applyFill="1" applyBorder="1"/>
    <xf numFmtId="0" fontId="116" fillId="48" borderId="19" xfId="0" applyFont="1" applyFill="1" applyBorder="1"/>
    <xf numFmtId="0" fontId="116" fillId="5" borderId="66" xfId="0" applyFont="1" applyFill="1" applyBorder="1"/>
    <xf numFmtId="0" fontId="116" fillId="5" borderId="66" xfId="0" applyFont="1" applyFill="1" applyBorder="1" applyAlignment="1">
      <alignment horizontal="center" wrapText="1"/>
    </xf>
    <xf numFmtId="3" fontId="116" fillId="5" borderId="0" xfId="0" applyNumberFormat="1" applyFont="1" applyFill="1"/>
    <xf numFmtId="9" fontId="116" fillId="5" borderId="0" xfId="2" applyFont="1" applyFill="1"/>
    <xf numFmtId="3" fontId="79" fillId="5" borderId="0" xfId="0" applyNumberFormat="1" applyFont="1" applyFill="1"/>
    <xf numFmtId="9" fontId="79" fillId="5" borderId="0" xfId="2" applyFont="1" applyFill="1"/>
    <xf numFmtId="0" fontId="79" fillId="14" borderId="0" xfId="0" applyFont="1" applyFill="1" applyAlignment="1">
      <alignment horizontal="left" indent="2"/>
    </xf>
    <xf numFmtId="3" fontId="79" fillId="14" borderId="0" xfId="0" applyNumberFormat="1" applyFont="1" applyFill="1"/>
    <xf numFmtId="9" fontId="79" fillId="14" borderId="0" xfId="2" applyFont="1" applyFill="1"/>
    <xf numFmtId="0" fontId="63" fillId="5" borderId="0" xfId="0" applyFont="1" applyFill="1"/>
    <xf numFmtId="0" fontId="63" fillId="14" borderId="0" xfId="0" applyFont="1" applyFill="1" applyAlignment="1">
      <alignment horizontal="left" indent="2"/>
    </xf>
    <xf numFmtId="0" fontId="79" fillId="5" borderId="0" xfId="0" applyFont="1" applyFill="1" applyAlignment="1">
      <alignment horizontal="left" indent="1"/>
    </xf>
    <xf numFmtId="0" fontId="78" fillId="5" borderId="0" xfId="0" applyFont="1" applyFill="1"/>
    <xf numFmtId="3" fontId="116" fillId="5" borderId="0" xfId="0" applyNumberFormat="1" applyFont="1" applyFill="1" applyAlignment="1">
      <alignment wrapText="1"/>
    </xf>
    <xf numFmtId="168" fontId="79" fillId="5" borderId="0" xfId="2" applyNumberFormat="1" applyFont="1" applyFill="1"/>
    <xf numFmtId="9" fontId="79" fillId="5" borderId="0" xfId="2" applyFont="1" applyFill="1" applyBorder="1"/>
    <xf numFmtId="0" fontId="79" fillId="14" borderId="0" xfId="0" applyFont="1" applyFill="1"/>
    <xf numFmtId="3" fontId="79" fillId="14" borderId="0" xfId="0" applyNumberFormat="1" applyFont="1" applyFill="1" applyAlignment="1">
      <alignment horizontal="left" indent="2"/>
    </xf>
    <xf numFmtId="9" fontId="79" fillId="14" borderId="0" xfId="2" applyFont="1" applyFill="1" applyAlignment="1">
      <alignment horizontal="left" indent="2"/>
    </xf>
    <xf numFmtId="167" fontId="79" fillId="5" borderId="0" xfId="1" applyNumberFormat="1" applyFont="1" applyFill="1"/>
    <xf numFmtId="0" fontId="56" fillId="6" borderId="47" xfId="43" applyFont="1" applyFill="1" applyBorder="1" applyAlignment="1">
      <alignment horizontal="left" wrapText="1" indent="2"/>
    </xf>
    <xf numFmtId="49" fontId="56" fillId="0" borderId="47" xfId="43" applyNumberFormat="1" applyFont="1" applyBorder="1" applyAlignment="1">
      <alignment horizontal="left" wrapText="1" indent="4"/>
    </xf>
    <xf numFmtId="0" fontId="56" fillId="3" borderId="47" xfId="43" applyFont="1" applyFill="1" applyBorder="1" applyAlignment="1">
      <alignment horizontal="left" wrapText="1" indent="2"/>
    </xf>
    <xf numFmtId="49" fontId="56" fillId="0" borderId="47" xfId="43" applyNumberFormat="1" applyFont="1" applyBorder="1" applyAlignment="1">
      <alignment horizontal="left" wrapText="1" indent="2"/>
    </xf>
    <xf numFmtId="0" fontId="56" fillId="5" borderId="48" xfId="43" applyFont="1" applyFill="1" applyBorder="1" applyAlignment="1">
      <alignment horizontal="left" indent="3"/>
    </xf>
    <xf numFmtId="49" fontId="56" fillId="3" borderId="47" xfId="43" applyNumberFormat="1" applyFont="1" applyFill="1" applyBorder="1" applyAlignment="1">
      <alignment horizontal="left" wrapText="1" indent="2"/>
    </xf>
    <xf numFmtId="0" fontId="56" fillId="46" borderId="47" xfId="43" applyFont="1" applyFill="1" applyBorder="1" applyAlignment="1">
      <alignment horizontal="left" wrapText="1" indent="2"/>
    </xf>
    <xf numFmtId="49" fontId="56" fillId="3" borderId="56" xfId="43" applyNumberFormat="1" applyFont="1" applyFill="1" applyBorder="1" applyAlignment="1">
      <alignment horizontal="left" wrapText="1" indent="2"/>
    </xf>
    <xf numFmtId="0" fontId="56" fillId="0" borderId="62" xfId="43" applyFont="1" applyBorder="1" applyAlignment="1">
      <alignment horizontal="left" wrapText="1" indent="2"/>
    </xf>
    <xf numFmtId="49" fontId="56" fillId="3" borderId="65" xfId="43" applyNumberFormat="1" applyFont="1" applyFill="1" applyBorder="1" applyAlignment="1">
      <alignment horizontal="left" wrapText="1" indent="2"/>
    </xf>
    <xf numFmtId="49" fontId="56" fillId="3" borderId="62" xfId="43" applyNumberFormat="1" applyFont="1" applyFill="1" applyBorder="1" applyAlignment="1">
      <alignment horizontal="left" wrapText="1" indent="2"/>
    </xf>
    <xf numFmtId="3" fontId="68" fillId="0" borderId="43" xfId="43" applyNumberFormat="1" applyFont="1" applyBorder="1"/>
    <xf numFmtId="0" fontId="56" fillId="5" borderId="50" xfId="43" applyFont="1" applyFill="1" applyBorder="1" applyAlignment="1">
      <alignment horizontal="left" indent="3"/>
    </xf>
    <xf numFmtId="0" fontId="56" fillId="0" borderId="48" xfId="43" applyFont="1" applyBorder="1" applyAlignment="1">
      <alignment horizontal="left" indent="3"/>
    </xf>
    <xf numFmtId="49" fontId="61" fillId="4" borderId="47" xfId="43" applyNumberFormat="1" applyFont="1" applyFill="1" applyBorder="1" applyAlignment="1">
      <alignment wrapText="1"/>
    </xf>
    <xf numFmtId="0" fontId="56" fillId="5" borderId="47" xfId="43" applyFont="1" applyFill="1" applyBorder="1" applyAlignment="1">
      <alignment horizontal="left" wrapText="1" indent="3"/>
    </xf>
    <xf numFmtId="0" fontId="56" fillId="0" borderId="47" xfId="43" applyFont="1" applyBorder="1" applyAlignment="1">
      <alignment horizontal="left" wrapText="1" indent="3"/>
    </xf>
    <xf numFmtId="0" fontId="56" fillId="5" borderId="76" xfId="43" applyFont="1" applyFill="1" applyBorder="1" applyAlignment="1">
      <alignment horizontal="left" wrapText="1" indent="3"/>
    </xf>
    <xf numFmtId="0" fontId="56" fillId="0" borderId="76" xfId="43" applyFont="1" applyBorder="1" applyAlignment="1">
      <alignment horizontal="left" wrapText="1" indent="3"/>
    </xf>
    <xf numFmtId="49" fontId="61" fillId="3" borderId="47" xfId="43" applyNumberFormat="1" applyFont="1" applyFill="1" applyBorder="1" applyAlignment="1">
      <alignment horizontal="left" wrapText="1" indent="2"/>
    </xf>
    <xf numFmtId="49" fontId="56" fillId="0" borderId="64" xfId="43" applyNumberFormat="1" applyFont="1" applyBorder="1" applyAlignment="1">
      <alignment horizontal="left" wrapText="1" indent="4"/>
    </xf>
    <xf numFmtId="49" fontId="56" fillId="0" borderId="65" xfId="43" applyNumberFormat="1" applyFont="1" applyBorder="1" applyAlignment="1">
      <alignment horizontal="left" wrapText="1" indent="4"/>
    </xf>
    <xf numFmtId="0" fontId="56" fillId="5" borderId="65" xfId="43" applyFont="1" applyFill="1" applyBorder="1" applyAlignment="1">
      <alignment horizontal="left" wrapText="1" indent="3"/>
    </xf>
    <xf numFmtId="49" fontId="56" fillId="0" borderId="76" xfId="43" applyNumberFormat="1" applyFont="1" applyBorder="1" applyAlignment="1">
      <alignment horizontal="left" wrapText="1" indent="4"/>
    </xf>
    <xf numFmtId="0" fontId="56" fillId="0" borderId="56" xfId="43" applyFont="1" applyBorder="1" applyAlignment="1">
      <alignment horizontal="left" wrapText="1" indent="2"/>
    </xf>
    <xf numFmtId="49" fontId="56" fillId="0" borderId="62" xfId="43" applyNumberFormat="1" applyFont="1" applyBorder="1" applyAlignment="1">
      <alignment horizontal="left" wrapText="1" indent="4"/>
    </xf>
    <xf numFmtId="0" fontId="56" fillId="5" borderId="47" xfId="43" applyFont="1" applyFill="1" applyBorder="1" applyAlignment="1">
      <alignment horizontal="left" indent="2"/>
    </xf>
    <xf numFmtId="0" fontId="68" fillId="5" borderId="65" xfId="43" applyFont="1" applyFill="1" applyBorder="1" applyAlignment="1">
      <alignment horizontal="left" wrapText="1" indent="6"/>
    </xf>
    <xf numFmtId="0" fontId="68" fillId="0" borderId="0" xfId="43" applyFont="1"/>
    <xf numFmtId="49" fontId="61" fillId="4" borderId="40" xfId="43" applyNumberFormat="1" applyFont="1" applyFill="1" applyBorder="1" applyAlignment="1">
      <alignment wrapText="1"/>
    </xf>
    <xf numFmtId="49" fontId="56" fillId="0" borderId="62" xfId="43" applyNumberFormat="1" applyFont="1" applyBorder="1" applyAlignment="1">
      <alignment horizontal="left" wrapText="1" indent="2"/>
    </xf>
    <xf numFmtId="0" fontId="61" fillId="4" borderId="51" xfId="43" applyFont="1" applyFill="1" applyBorder="1" applyAlignment="1">
      <alignment wrapText="1"/>
    </xf>
    <xf numFmtId="49" fontId="56" fillId="6" borderId="47" xfId="43" applyNumberFormat="1" applyFont="1" applyFill="1" applyBorder="1" applyAlignment="1">
      <alignment horizontal="left" wrapText="1" indent="4"/>
    </xf>
    <xf numFmtId="49" fontId="61" fillId="0" borderId="47" xfId="43" applyNumberFormat="1" applyFont="1" applyBorder="1" applyAlignment="1">
      <alignment horizontal="left" wrapText="1" indent="4"/>
    </xf>
    <xf numFmtId="49" fontId="56" fillId="0" borderId="56" xfId="43" applyNumberFormat="1" applyFont="1" applyBorder="1" applyAlignment="1">
      <alignment horizontal="left" wrapText="1" indent="4"/>
    </xf>
    <xf numFmtId="49" fontId="61" fillId="0" borderId="10" xfId="43" applyNumberFormat="1" applyFont="1" applyBorder="1" applyAlignment="1">
      <alignment horizontal="right" wrapText="1"/>
    </xf>
    <xf numFmtId="49" fontId="61" fillId="4" borderId="16" xfId="43" applyNumberFormat="1" applyFont="1" applyFill="1" applyBorder="1" applyAlignment="1">
      <alignment wrapText="1"/>
    </xf>
    <xf numFmtId="0" fontId="61" fillId="0" borderId="20" xfId="43" applyFont="1" applyBorder="1" applyAlignment="1">
      <alignment horizontal="right" wrapText="1"/>
    </xf>
    <xf numFmtId="167" fontId="56" fillId="0" borderId="7" xfId="1" applyNumberFormat="1" applyFont="1" applyBorder="1"/>
    <xf numFmtId="0" fontId="61" fillId="0" borderId="52" xfId="43" applyFont="1" applyBorder="1" applyAlignment="1">
      <alignment wrapText="1"/>
    </xf>
    <xf numFmtId="0" fontId="68" fillId="0" borderId="0" xfId="43" quotePrefix="1" applyFont="1"/>
    <xf numFmtId="49" fontId="56" fillId="0" borderId="76" xfId="43" applyNumberFormat="1" applyFont="1" applyBorder="1" applyAlignment="1">
      <alignment horizontal="left" wrapText="1" indent="2"/>
    </xf>
    <xf numFmtId="0" fontId="118" fillId="0" borderId="0" xfId="43" applyFont="1"/>
    <xf numFmtId="0" fontId="118" fillId="0" borderId="0" xfId="43" quotePrefix="1" applyFont="1"/>
    <xf numFmtId="3" fontId="68" fillId="0" borderId="79" xfId="43" applyNumberFormat="1" applyFont="1" applyBorder="1"/>
    <xf numFmtId="0" fontId="56" fillId="5" borderId="77" xfId="43" applyFont="1" applyFill="1" applyBorder="1" applyAlignment="1">
      <alignment horizontal="left" wrapText="1" indent="3"/>
    </xf>
    <xf numFmtId="3" fontId="56" fillId="5" borderId="79" xfId="43" applyNumberFormat="1" applyFont="1" applyFill="1" applyBorder="1"/>
    <xf numFmtId="3" fontId="56" fillId="0" borderId="79" xfId="43" applyNumberFormat="1" applyFont="1" applyBorder="1"/>
    <xf numFmtId="0" fontId="78" fillId="14" borderId="0" xfId="0" applyFont="1" applyFill="1"/>
    <xf numFmtId="0" fontId="119" fillId="14" borderId="0" xfId="0" applyFont="1" applyFill="1"/>
    <xf numFmtId="0" fontId="56" fillId="5" borderId="75" xfId="43" applyFont="1" applyFill="1" applyBorder="1" applyAlignment="1">
      <alignment horizontal="left" indent="3"/>
    </xf>
    <xf numFmtId="3" fontId="56" fillId="3" borderId="79" xfId="43" applyNumberFormat="1" applyFont="1" applyFill="1" applyBorder="1"/>
    <xf numFmtId="3" fontId="61" fillId="4" borderId="79" xfId="43" applyNumberFormat="1" applyFont="1" applyFill="1" applyBorder="1"/>
    <xf numFmtId="3" fontId="56" fillId="12" borderId="79" xfId="43" applyNumberFormat="1" applyFont="1" applyFill="1" applyBorder="1"/>
    <xf numFmtId="0" fontId="120" fillId="0" borderId="0" xfId="83" applyFont="1"/>
    <xf numFmtId="49" fontId="56" fillId="0" borderId="72" xfId="43" applyNumberFormat="1" applyFont="1" applyBorder="1" applyAlignment="1">
      <alignment horizontal="left" wrapText="1" indent="4"/>
    </xf>
    <xf numFmtId="3" fontId="56" fillId="10" borderId="79" xfId="43" applyNumberFormat="1" applyFont="1" applyFill="1" applyBorder="1"/>
    <xf numFmtId="164" fontId="58" fillId="0" borderId="0" xfId="43" applyNumberFormat="1" applyFont="1"/>
    <xf numFmtId="0" fontId="6" fillId="0" borderId="0" xfId="43" quotePrefix="1" applyFont="1"/>
    <xf numFmtId="49" fontId="61" fillId="3" borderId="83" xfId="43" applyNumberFormat="1" applyFont="1" applyFill="1" applyBorder="1" applyAlignment="1">
      <alignment horizontal="left" wrapText="1" indent="2"/>
    </xf>
    <xf numFmtId="0" fontId="58" fillId="0" borderId="0" xfId="43" quotePrefix="1" applyFont="1"/>
    <xf numFmtId="49" fontId="58" fillId="3" borderId="47" xfId="43" applyNumberFormat="1" applyFont="1" applyFill="1" applyBorder="1" applyAlignment="1">
      <alignment horizontal="left" wrapText="1" indent="2"/>
    </xf>
    <xf numFmtId="49" fontId="58" fillId="3" borderId="62" xfId="43" applyNumberFormat="1" applyFont="1" applyFill="1" applyBorder="1" applyAlignment="1">
      <alignment horizontal="left" wrapText="1" indent="2"/>
    </xf>
    <xf numFmtId="49" fontId="64" fillId="3" borderId="47" xfId="43" applyNumberFormat="1" applyFont="1" applyFill="1" applyBorder="1" applyAlignment="1">
      <alignment horizontal="left" wrapText="1" indent="2"/>
    </xf>
    <xf numFmtId="49" fontId="64" fillId="3" borderId="56" xfId="43" applyNumberFormat="1" applyFont="1" applyFill="1" applyBorder="1" applyAlignment="1">
      <alignment horizontal="left" wrapText="1" indent="2"/>
    </xf>
    <xf numFmtId="49" fontId="56" fillId="0" borderId="51" xfId="43" applyNumberFormat="1" applyFont="1" applyBorder="1" applyAlignment="1">
      <alignment horizontal="left" wrapText="1" indent="4"/>
    </xf>
    <xf numFmtId="167" fontId="56" fillId="0" borderId="73" xfId="1" applyNumberFormat="1" applyFont="1" applyBorder="1"/>
    <xf numFmtId="0" fontId="5" fillId="0" borderId="0" xfId="43" applyFont="1"/>
    <xf numFmtId="0" fontId="61" fillId="0" borderId="0" xfId="43" quotePrefix="1" applyFont="1"/>
    <xf numFmtId="167" fontId="61" fillId="0" borderId="3" xfId="1" applyNumberFormat="1" applyFont="1" applyBorder="1" applyAlignment="1">
      <alignment horizontal="center" vertical="center" wrapText="1"/>
    </xf>
    <xf numFmtId="167" fontId="61" fillId="4" borderId="4" xfId="1" applyNumberFormat="1" applyFont="1" applyFill="1" applyBorder="1"/>
    <xf numFmtId="167" fontId="61" fillId="4" borderId="7" xfId="1" applyNumberFormat="1" applyFont="1" applyFill="1" applyBorder="1"/>
    <xf numFmtId="167" fontId="56" fillId="0" borderId="57" xfId="1" applyNumberFormat="1" applyFont="1" applyBorder="1"/>
    <xf numFmtId="167" fontId="56" fillId="7" borderId="7" xfId="1" applyNumberFormat="1" applyFont="1" applyFill="1" applyBorder="1"/>
    <xf numFmtId="167" fontId="67" fillId="8" borderId="7" xfId="1" applyNumberFormat="1" applyFont="1" applyFill="1" applyBorder="1"/>
    <xf numFmtId="167" fontId="56" fillId="0" borderId="27" xfId="1" applyNumberFormat="1" applyFont="1" applyBorder="1"/>
    <xf numFmtId="167" fontId="56" fillId="0" borderId="43" xfId="1" applyNumberFormat="1" applyFont="1" applyBorder="1"/>
    <xf numFmtId="167" fontId="61" fillId="0" borderId="3" xfId="1" applyNumberFormat="1" applyFont="1" applyBorder="1"/>
    <xf numFmtId="167" fontId="61" fillId="0" borderId="11" xfId="1" applyNumberFormat="1" applyFont="1" applyBorder="1"/>
    <xf numFmtId="167" fontId="61" fillId="4" borderId="42" xfId="1" applyNumberFormat="1" applyFont="1" applyFill="1" applyBorder="1"/>
    <xf numFmtId="167" fontId="61" fillId="4" borderId="12" xfId="1" applyNumberFormat="1" applyFont="1" applyFill="1" applyBorder="1"/>
    <xf numFmtId="167" fontId="61" fillId="3" borderId="7" xfId="1" applyNumberFormat="1" applyFont="1" applyFill="1" applyBorder="1"/>
    <xf numFmtId="167" fontId="56" fillId="3" borderId="27" xfId="1" applyNumberFormat="1" applyFont="1" applyFill="1" applyBorder="1"/>
    <xf numFmtId="167" fontId="56" fillId="0" borderId="70" xfId="1" applyNumberFormat="1" applyFont="1" applyBorder="1"/>
    <xf numFmtId="167" fontId="56" fillId="10" borderId="7" xfId="1" applyNumberFormat="1" applyFont="1" applyFill="1" applyBorder="1"/>
    <xf numFmtId="167" fontId="56" fillId="3" borderId="57" xfId="1" applyNumberFormat="1" applyFont="1" applyFill="1" applyBorder="1"/>
    <xf numFmtId="167" fontId="56" fillId="6" borderId="7" xfId="1" applyNumberFormat="1" applyFont="1" applyFill="1" applyBorder="1"/>
    <xf numFmtId="167" fontId="68" fillId="0" borderId="79" xfId="1" applyNumberFormat="1" applyFont="1" applyBorder="1"/>
    <xf numFmtId="167" fontId="61" fillId="0" borderId="7" xfId="1" applyNumberFormat="1" applyFont="1" applyBorder="1"/>
    <xf numFmtId="167" fontId="61" fillId="0" borderId="13" xfId="1" applyNumberFormat="1" applyFont="1" applyBorder="1"/>
    <xf numFmtId="167" fontId="61" fillId="0" borderId="14" xfId="1" applyNumberFormat="1" applyFont="1" applyBorder="1"/>
    <xf numFmtId="167" fontId="61" fillId="4" borderId="17" xfId="1" applyNumberFormat="1" applyFont="1" applyFill="1" applyBorder="1"/>
    <xf numFmtId="167" fontId="56" fillId="0" borderId="79" xfId="1" applyNumberFormat="1" applyFont="1" applyBorder="1"/>
    <xf numFmtId="167" fontId="61" fillId="3" borderId="79" xfId="1" applyNumberFormat="1" applyFont="1" applyFill="1" applyBorder="1"/>
    <xf numFmtId="167" fontId="56" fillId="0" borderId="84" xfId="1" applyNumberFormat="1" applyFont="1" applyBorder="1"/>
    <xf numFmtId="167" fontId="56" fillId="3" borderId="79" xfId="1" applyNumberFormat="1" applyFont="1" applyFill="1" applyBorder="1"/>
    <xf numFmtId="167" fontId="56" fillId="5" borderId="79" xfId="1" applyNumberFormat="1" applyFont="1" applyFill="1" applyBorder="1"/>
    <xf numFmtId="0" fontId="66" fillId="5" borderId="0" xfId="43" applyFont="1" applyFill="1" applyAlignment="1">
      <alignment wrapText="1"/>
    </xf>
    <xf numFmtId="167" fontId="56" fillId="0" borderId="81" xfId="1" applyNumberFormat="1" applyFont="1" applyBorder="1"/>
    <xf numFmtId="3" fontId="56" fillId="0" borderId="80" xfId="43" applyNumberFormat="1" applyFont="1" applyBorder="1"/>
    <xf numFmtId="167" fontId="58" fillId="0" borderId="0" xfId="1" applyNumberFormat="1" applyFont="1" applyAlignment="1">
      <alignment wrapText="1"/>
    </xf>
    <xf numFmtId="167" fontId="56" fillId="15" borderId="43" xfId="1" applyNumberFormat="1" applyFont="1" applyFill="1" applyBorder="1"/>
    <xf numFmtId="167" fontId="68" fillId="15" borderId="57" xfId="1" applyNumberFormat="1" applyFont="1" applyFill="1" applyBorder="1"/>
    <xf numFmtId="167" fontId="56" fillId="0" borderId="7" xfId="1" applyNumberFormat="1" applyFont="1" applyFill="1" applyBorder="1"/>
    <xf numFmtId="167" fontId="56" fillId="0" borderId="70" xfId="1" applyNumberFormat="1" applyFont="1" applyFill="1" applyBorder="1"/>
    <xf numFmtId="167" fontId="56" fillId="6" borderId="70" xfId="1" applyNumberFormat="1" applyFont="1" applyFill="1" applyBorder="1"/>
    <xf numFmtId="167" fontId="56" fillId="3" borderId="70" xfId="1" applyNumberFormat="1" applyFont="1" applyFill="1" applyBorder="1"/>
    <xf numFmtId="9" fontId="56" fillId="0" borderId="7" xfId="4" applyFont="1" applyBorder="1" applyAlignment="1">
      <alignment wrapText="1"/>
    </xf>
    <xf numFmtId="9" fontId="56" fillId="0" borderId="70" xfId="4" applyFont="1" applyFill="1" applyBorder="1" applyAlignment="1">
      <alignment wrapText="1"/>
    </xf>
    <xf numFmtId="9" fontId="56" fillId="3" borderId="7" xfId="4" applyFont="1" applyFill="1" applyBorder="1"/>
    <xf numFmtId="9" fontId="56" fillId="0" borderId="7" xfId="4" applyFont="1" applyFill="1" applyBorder="1" applyAlignment="1">
      <alignment wrapText="1"/>
    </xf>
    <xf numFmtId="9" fontId="56" fillId="0" borderId="23" xfId="4" applyFont="1" applyFill="1" applyBorder="1"/>
    <xf numFmtId="9" fontId="56" fillId="0" borderId="7" xfId="4" applyFont="1" applyFill="1" applyBorder="1"/>
    <xf numFmtId="9" fontId="61" fillId="3" borderId="7" xfId="4" applyFont="1" applyFill="1" applyBorder="1"/>
    <xf numFmtId="9" fontId="68" fillId="0" borderId="79" xfId="4" applyFont="1" applyFill="1" applyBorder="1" applyAlignment="1">
      <alignment wrapText="1"/>
    </xf>
    <xf numFmtId="9" fontId="56" fillId="0" borderId="57" xfId="4" applyFont="1" applyFill="1" applyBorder="1" applyAlignment="1">
      <alignment wrapText="1"/>
    </xf>
    <xf numFmtId="9" fontId="56" fillId="0" borderId="54" xfId="4" applyFont="1" applyFill="1" applyBorder="1"/>
    <xf numFmtId="9" fontId="56" fillId="0" borderId="57" xfId="4" applyFont="1" applyFill="1" applyBorder="1"/>
    <xf numFmtId="9" fontId="56" fillId="0" borderId="0" xfId="4" applyFont="1" applyAlignment="1">
      <alignment wrapText="1"/>
    </xf>
    <xf numFmtId="1" fontId="56" fillId="0" borderId="0" xfId="4" applyNumberFormat="1" applyFont="1" applyFill="1"/>
    <xf numFmtId="9" fontId="61" fillId="0" borderId="3" xfId="4" applyFont="1" applyBorder="1" applyAlignment="1">
      <alignment horizontal="center" vertical="center" wrapText="1"/>
    </xf>
    <xf numFmtId="9" fontId="56" fillId="3" borderId="4" xfId="4" applyFont="1" applyFill="1" applyBorder="1" applyAlignment="1">
      <alignment wrapText="1"/>
    </xf>
    <xf numFmtId="9" fontId="61" fillId="4" borderId="4" xfId="4" applyFont="1" applyFill="1" applyBorder="1"/>
    <xf numFmtId="9" fontId="61" fillId="4" borderId="7" xfId="4" applyFont="1" applyFill="1" applyBorder="1"/>
    <xf numFmtId="9" fontId="56" fillId="0" borderId="7" xfId="4" applyFont="1" applyBorder="1"/>
    <xf numFmtId="9" fontId="56" fillId="0" borderId="8" xfId="4" applyFont="1" applyFill="1" applyBorder="1"/>
    <xf numFmtId="9" fontId="56" fillId="0" borderId="8" xfId="4" applyFont="1" applyFill="1" applyBorder="1" applyAlignment="1">
      <alignment wrapText="1"/>
    </xf>
    <xf numFmtId="9" fontId="56" fillId="0" borderId="43" xfId="4" applyFont="1" applyBorder="1"/>
    <xf numFmtId="9" fontId="56" fillId="4" borderId="7" xfId="4" applyFont="1" applyFill="1" applyBorder="1" applyAlignment="1">
      <alignment wrapText="1"/>
    </xf>
    <xf numFmtId="9" fontId="56" fillId="0" borderId="43" xfId="4" applyFont="1" applyFill="1" applyBorder="1"/>
    <xf numFmtId="3" fontId="56" fillId="7" borderId="7" xfId="43" applyNumberFormat="1" applyFont="1" applyFill="1" applyBorder="1" applyAlignment="1">
      <alignment wrapText="1"/>
    </xf>
    <xf numFmtId="9" fontId="67" fillId="8" borderId="7" xfId="4" applyFont="1" applyFill="1" applyBorder="1" applyAlignment="1">
      <alignment wrapText="1"/>
    </xf>
    <xf numFmtId="9" fontId="56" fillId="0" borderId="27" xfId="4" applyFont="1" applyFill="1" applyBorder="1"/>
    <xf numFmtId="9" fontId="56" fillId="0" borderId="70" xfId="4" applyFont="1" applyFill="1" applyBorder="1"/>
    <xf numFmtId="9" fontId="56" fillId="0" borderId="27" xfId="4" applyFont="1" applyFill="1" applyBorder="1" applyAlignment="1">
      <alignment wrapText="1"/>
    </xf>
    <xf numFmtId="9" fontId="56" fillId="5" borderId="7" xfId="4" applyFont="1" applyFill="1" applyBorder="1" applyAlignment="1">
      <alignment wrapText="1"/>
    </xf>
    <xf numFmtId="9" fontId="56" fillId="3" borderId="7" xfId="4" applyFont="1" applyFill="1" applyBorder="1" applyAlignment="1">
      <alignment wrapText="1"/>
    </xf>
    <xf numFmtId="9" fontId="56" fillId="0" borderId="29" xfId="4" applyFont="1" applyFill="1" applyBorder="1"/>
    <xf numFmtId="9" fontId="56" fillId="0" borderId="73" xfId="4" applyFont="1" applyFill="1" applyBorder="1"/>
    <xf numFmtId="9" fontId="56" fillId="0" borderId="24" xfId="4" applyFont="1" applyFill="1" applyBorder="1" applyAlignment="1">
      <alignment wrapText="1"/>
    </xf>
    <xf numFmtId="9" fontId="56" fillId="0" borderId="26" xfId="4" applyFont="1" applyFill="1" applyBorder="1"/>
    <xf numFmtId="9" fontId="56" fillId="0" borderId="28" xfId="4" applyFont="1" applyFill="1" applyBorder="1"/>
    <xf numFmtId="9" fontId="56" fillId="0" borderId="42" xfId="4" applyFont="1" applyFill="1" applyBorder="1"/>
    <xf numFmtId="9" fontId="56" fillId="0" borderId="59" xfId="4" applyFont="1" applyFill="1" applyBorder="1"/>
    <xf numFmtId="9" fontId="56" fillId="0" borderId="67" xfId="4" applyFont="1" applyFill="1" applyBorder="1"/>
    <xf numFmtId="1" fontId="56" fillId="0" borderId="7" xfId="4" applyNumberFormat="1" applyFont="1" applyFill="1" applyBorder="1"/>
    <xf numFmtId="9" fontId="56" fillId="0" borderId="43" xfId="4" applyFont="1" applyFill="1" applyBorder="1" applyAlignment="1">
      <alignment wrapText="1"/>
    </xf>
    <xf numFmtId="9" fontId="61" fillId="0" borderId="3" xfId="4" applyFont="1" applyBorder="1"/>
    <xf numFmtId="9" fontId="61" fillId="0" borderId="11" xfId="4" applyFont="1" applyFill="1" applyBorder="1"/>
    <xf numFmtId="3" fontId="56" fillId="0" borderId="64" xfId="43" applyNumberFormat="1" applyFont="1" applyBorder="1"/>
    <xf numFmtId="9" fontId="56" fillId="0" borderId="60" xfId="4" applyFont="1" applyFill="1" applyBorder="1" applyAlignment="1">
      <alignment wrapText="1"/>
    </xf>
    <xf numFmtId="3" fontId="56" fillId="0" borderId="41" xfId="43" applyNumberFormat="1" applyFont="1" applyBorder="1"/>
    <xf numFmtId="9" fontId="56" fillId="0" borderId="46" xfId="4" applyFont="1" applyFill="1" applyBorder="1" applyAlignment="1">
      <alignment wrapText="1"/>
    </xf>
    <xf numFmtId="9" fontId="56" fillId="0" borderId="60" xfId="4" applyFont="1" applyFill="1" applyBorder="1"/>
    <xf numFmtId="3" fontId="56" fillId="0" borderId="74" xfId="43" applyNumberFormat="1" applyFont="1" applyBorder="1"/>
    <xf numFmtId="3" fontId="56" fillId="0" borderId="55" xfId="43" applyNumberFormat="1" applyFont="1" applyBorder="1"/>
    <xf numFmtId="9" fontId="56" fillId="0" borderId="63" xfId="4" applyFont="1" applyFill="1" applyBorder="1"/>
    <xf numFmtId="3" fontId="56" fillId="0" borderId="21" xfId="43" applyNumberFormat="1" applyFont="1" applyBorder="1"/>
    <xf numFmtId="9" fontId="61" fillId="0" borderId="11" xfId="4" applyFont="1" applyBorder="1"/>
    <xf numFmtId="9" fontId="61" fillId="4" borderId="12" xfId="4" applyFont="1" applyFill="1" applyBorder="1"/>
    <xf numFmtId="9" fontId="56" fillId="3" borderId="27" xfId="4" applyFont="1" applyFill="1" applyBorder="1" applyAlignment="1">
      <alignment wrapText="1"/>
    </xf>
    <xf numFmtId="3" fontId="56" fillId="3" borderId="43" xfId="43" applyNumberFormat="1" applyFont="1" applyFill="1" applyBorder="1"/>
    <xf numFmtId="9" fontId="56" fillId="3" borderId="43" xfId="4" applyFont="1" applyFill="1" applyBorder="1" applyAlignment="1">
      <alignment wrapText="1"/>
    </xf>
    <xf numFmtId="9" fontId="56" fillId="3" borderId="57" xfId="4" applyFont="1" applyFill="1" applyBorder="1" applyAlignment="1">
      <alignment wrapText="1"/>
    </xf>
    <xf numFmtId="9" fontId="56" fillId="3" borderId="79" xfId="4" applyFont="1" applyFill="1" applyBorder="1"/>
    <xf numFmtId="9" fontId="56" fillId="3" borderId="54" xfId="4" applyFont="1" applyFill="1" applyBorder="1" applyAlignment="1">
      <alignment wrapText="1"/>
    </xf>
    <xf numFmtId="9" fontId="56" fillId="0" borderId="43" xfId="4" applyFont="1" applyBorder="1" applyAlignment="1">
      <alignment wrapText="1"/>
    </xf>
    <xf numFmtId="9" fontId="56" fillId="0" borderId="57" xfId="4" applyFont="1" applyBorder="1" applyAlignment="1">
      <alignment wrapText="1"/>
    </xf>
    <xf numFmtId="9" fontId="56" fillId="0" borderId="22" xfId="4" applyFont="1" applyBorder="1" applyAlignment="1">
      <alignment wrapText="1"/>
    </xf>
    <xf numFmtId="9" fontId="56" fillId="0" borderId="25" xfId="4" applyFont="1" applyBorder="1" applyAlignment="1">
      <alignment wrapText="1"/>
    </xf>
    <xf numFmtId="9" fontId="56" fillId="0" borderId="79" xfId="4" applyFont="1" applyBorder="1" applyAlignment="1">
      <alignment wrapText="1"/>
    </xf>
    <xf numFmtId="9" fontId="68" fillId="0" borderId="57" xfId="4" applyFont="1" applyBorder="1" applyAlignment="1">
      <alignment wrapText="1"/>
    </xf>
    <xf numFmtId="9" fontId="68" fillId="0" borderId="7" xfId="4" applyFont="1" applyFill="1" applyBorder="1" applyAlignment="1">
      <alignment wrapText="1"/>
    </xf>
    <xf numFmtId="9" fontId="68" fillId="9" borderId="7" xfId="4" applyFont="1" applyFill="1" applyBorder="1" applyAlignment="1">
      <alignment wrapText="1"/>
    </xf>
    <xf numFmtId="9" fontId="68" fillId="3" borderId="7" xfId="4" applyFont="1" applyFill="1" applyBorder="1" applyAlignment="1">
      <alignment wrapText="1"/>
    </xf>
    <xf numFmtId="9" fontId="68" fillId="3" borderId="27" xfId="4" applyFont="1" applyFill="1" applyBorder="1" applyAlignment="1">
      <alignment wrapText="1"/>
    </xf>
    <xf numFmtId="9" fontId="56" fillId="5" borderId="7" xfId="4" applyFont="1" applyFill="1" applyBorder="1"/>
    <xf numFmtId="9" fontId="56" fillId="5" borderId="57" xfId="4" applyFont="1" applyFill="1" applyBorder="1" applyAlignment="1">
      <alignment wrapText="1"/>
    </xf>
    <xf numFmtId="9" fontId="56" fillId="5" borderId="79" xfId="4" applyFont="1" applyFill="1" applyBorder="1"/>
    <xf numFmtId="9" fontId="56" fillId="0" borderId="79" xfId="4" applyFont="1" applyFill="1" applyBorder="1"/>
    <xf numFmtId="9" fontId="56" fillId="3" borderId="57" xfId="4" applyFont="1" applyFill="1" applyBorder="1"/>
    <xf numFmtId="9" fontId="56" fillId="0" borderId="71" xfId="4" applyFont="1" applyFill="1" applyBorder="1" applyAlignment="1">
      <alignment wrapText="1"/>
    </xf>
    <xf numFmtId="9" fontId="56" fillId="0" borderId="22" xfId="4" applyFont="1" applyFill="1" applyBorder="1" applyAlignment="1">
      <alignment wrapText="1"/>
    </xf>
    <xf numFmtId="3" fontId="56" fillId="6" borderId="43" xfId="43" applyNumberFormat="1" applyFont="1" applyFill="1" applyBorder="1"/>
    <xf numFmtId="9" fontId="67" fillId="0" borderId="7" xfId="4" applyFont="1" applyFill="1" applyBorder="1" applyAlignment="1">
      <alignment wrapText="1"/>
    </xf>
    <xf numFmtId="9" fontId="56" fillId="3" borderId="70" xfId="4" applyFont="1" applyFill="1" applyBorder="1" applyAlignment="1">
      <alignment wrapText="1"/>
    </xf>
    <xf numFmtId="9" fontId="56" fillId="3" borderId="79" xfId="4" applyFont="1" applyFill="1" applyBorder="1" applyAlignment="1">
      <alignment wrapText="1"/>
    </xf>
    <xf numFmtId="9" fontId="56" fillId="3" borderId="23" xfId="4" applyFont="1" applyFill="1" applyBorder="1" applyAlignment="1">
      <alignment wrapText="1"/>
    </xf>
    <xf numFmtId="9" fontId="56" fillId="0" borderId="14" xfId="4" applyFont="1" applyBorder="1"/>
    <xf numFmtId="9" fontId="61" fillId="4" borderId="17" xfId="4" applyFont="1" applyFill="1" applyBorder="1"/>
    <xf numFmtId="9" fontId="56" fillId="0" borderId="42" xfId="4" applyFont="1" applyFill="1" applyBorder="1" applyAlignment="1">
      <alignment wrapText="1"/>
    </xf>
    <xf numFmtId="0" fontId="4" fillId="0" borderId="0" xfId="43" quotePrefix="1" applyFont="1"/>
    <xf numFmtId="3" fontId="56" fillId="9" borderId="43" xfId="43" applyNumberFormat="1" applyFont="1" applyFill="1" applyBorder="1"/>
    <xf numFmtId="3" fontId="68" fillId="9" borderId="43" xfId="43" applyNumberFormat="1" applyFont="1" applyFill="1" applyBorder="1"/>
    <xf numFmtId="9" fontId="61" fillId="0" borderId="3" xfId="2" applyFont="1" applyBorder="1" applyAlignment="1">
      <alignment horizontal="center" vertical="center" wrapText="1"/>
    </xf>
    <xf numFmtId="167" fontId="61" fillId="3" borderId="63" xfId="1" applyNumberFormat="1" applyFont="1" applyFill="1" applyBorder="1"/>
    <xf numFmtId="3" fontId="67" fillId="8" borderId="79" xfId="43" applyNumberFormat="1" applyFont="1" applyFill="1" applyBorder="1"/>
    <xf numFmtId="3" fontId="56" fillId="0" borderId="79" xfId="43" applyNumberFormat="1" applyFont="1" applyBorder="1" applyAlignment="1">
      <alignment wrapText="1"/>
    </xf>
    <xf numFmtId="3" fontId="56" fillId="7" borderId="79" xfId="43" applyNumberFormat="1" applyFont="1" applyFill="1" applyBorder="1"/>
    <xf numFmtId="9" fontId="56" fillId="0" borderId="7" xfId="2" applyFont="1" applyFill="1" applyBorder="1"/>
    <xf numFmtId="167" fontId="61" fillId="4" borderId="7" xfId="4" applyNumberFormat="1" applyFont="1" applyFill="1" applyBorder="1"/>
    <xf numFmtId="9" fontId="56" fillId="0" borderId="43" xfId="2" applyFont="1" applyFill="1" applyBorder="1"/>
    <xf numFmtId="3" fontId="61" fillId="4" borderId="63" xfId="43" applyNumberFormat="1" applyFont="1" applyFill="1" applyBorder="1"/>
    <xf numFmtId="9" fontId="61" fillId="0" borderId="11" xfId="2" applyFont="1" applyFill="1" applyBorder="1"/>
    <xf numFmtId="3" fontId="61" fillId="4" borderId="67" xfId="43" applyNumberFormat="1" applyFont="1" applyFill="1" applyBorder="1"/>
    <xf numFmtId="9" fontId="61" fillId="4" borderId="42" xfId="2" applyFont="1" applyFill="1" applyBorder="1"/>
    <xf numFmtId="9" fontId="56" fillId="0" borderId="59" xfId="2" applyFont="1" applyFill="1" applyBorder="1"/>
    <xf numFmtId="9" fontId="56" fillId="0" borderId="42" xfId="2" applyFont="1" applyFill="1" applyBorder="1"/>
    <xf numFmtId="9" fontId="61" fillId="0" borderId="11" xfId="2" applyFont="1" applyBorder="1"/>
    <xf numFmtId="3" fontId="61" fillId="3" borderId="79" xfId="43" applyNumberFormat="1" applyFont="1" applyFill="1" applyBorder="1"/>
    <xf numFmtId="9" fontId="56" fillId="15" borderId="43" xfId="2" applyFont="1" applyFill="1" applyBorder="1"/>
    <xf numFmtId="3" fontId="68" fillId="15" borderId="57" xfId="43" applyNumberFormat="1" applyFont="1" applyFill="1" applyBorder="1"/>
    <xf numFmtId="9" fontId="56" fillId="3" borderId="7" xfId="2" applyFont="1" applyFill="1" applyBorder="1"/>
    <xf numFmtId="9" fontId="68" fillId="15" borderId="57" xfId="2" applyFont="1" applyFill="1" applyBorder="1"/>
    <xf numFmtId="9" fontId="56" fillId="0" borderId="57" xfId="2" applyFont="1" applyFill="1" applyBorder="1"/>
    <xf numFmtId="9" fontId="56" fillId="0" borderId="79" xfId="2" applyFont="1" applyFill="1" applyBorder="1"/>
    <xf numFmtId="3" fontId="56" fillId="6" borderId="79" xfId="43" applyNumberFormat="1" applyFont="1" applyFill="1" applyBorder="1"/>
    <xf numFmtId="9" fontId="58" fillId="9" borderId="43" xfId="4" applyFont="1" applyFill="1" applyBorder="1" applyAlignment="1">
      <alignment wrapText="1"/>
    </xf>
    <xf numFmtId="3" fontId="61" fillId="0" borderId="79" xfId="43" applyNumberFormat="1" applyFont="1" applyBorder="1"/>
    <xf numFmtId="9" fontId="56" fillId="0" borderId="0" xfId="4" applyFont="1" applyAlignment="1">
      <alignment horizontal="right"/>
    </xf>
    <xf numFmtId="0" fontId="79" fillId="14" borderId="0" xfId="0" applyFont="1" applyFill="1" applyAlignment="1">
      <alignment horizontal="left" wrapText="1" indent="2"/>
    </xf>
    <xf numFmtId="0" fontId="63" fillId="14" borderId="0" xfId="0" applyFont="1" applyFill="1"/>
    <xf numFmtId="9" fontId="61" fillId="3" borderId="4" xfId="2" applyFont="1" applyFill="1" applyBorder="1"/>
    <xf numFmtId="167" fontId="56" fillId="3" borderId="63" xfId="1" applyNumberFormat="1" applyFont="1" applyFill="1" applyBorder="1" applyAlignment="1">
      <alignment wrapText="1"/>
    </xf>
    <xf numFmtId="9" fontId="61" fillId="4" borderId="4" xfId="2" applyFont="1" applyFill="1" applyBorder="1"/>
    <xf numFmtId="9" fontId="61" fillId="4" borderId="7" xfId="2" applyFont="1" applyFill="1" applyBorder="1"/>
    <xf numFmtId="3" fontId="56" fillId="4" borderId="79" xfId="43" applyNumberFormat="1" applyFont="1" applyFill="1" applyBorder="1"/>
    <xf numFmtId="9" fontId="56" fillId="0" borderId="7" xfId="2" applyFont="1" applyBorder="1"/>
    <xf numFmtId="9" fontId="56" fillId="0" borderId="27" xfId="2" applyFont="1" applyFill="1" applyBorder="1"/>
    <xf numFmtId="9" fontId="56" fillId="12" borderId="57" xfId="2" applyFont="1" applyFill="1" applyBorder="1"/>
    <xf numFmtId="3" fontId="63" fillId="14" borderId="0" xfId="0" applyNumberFormat="1" applyFont="1" applyFill="1"/>
    <xf numFmtId="9" fontId="63" fillId="14" borderId="0" xfId="2" applyFont="1" applyFill="1"/>
    <xf numFmtId="9" fontId="56" fillId="10" borderId="7" xfId="2" applyFont="1" applyFill="1" applyBorder="1"/>
    <xf numFmtId="9" fontId="56" fillId="7" borderId="7" xfId="2" applyFont="1" applyFill="1" applyBorder="1"/>
    <xf numFmtId="9" fontId="67" fillId="8" borderId="7" xfId="2" applyFont="1" applyFill="1" applyBorder="1"/>
    <xf numFmtId="9" fontId="56" fillId="0" borderId="70" xfId="2" applyFont="1" applyFill="1" applyBorder="1"/>
    <xf numFmtId="9" fontId="61" fillId="0" borderId="3" xfId="2" applyFont="1" applyBorder="1"/>
    <xf numFmtId="9" fontId="61" fillId="4" borderId="12" xfId="2" applyFont="1" applyFill="1" applyBorder="1"/>
    <xf numFmtId="3" fontId="56" fillId="4" borderId="7" xfId="43" applyNumberFormat="1" applyFont="1" applyFill="1" applyBorder="1"/>
    <xf numFmtId="3" fontId="56" fillId="3" borderId="7" xfId="43" applyNumberFormat="1" applyFont="1" applyFill="1" applyBorder="1" applyAlignment="1">
      <alignment wrapText="1"/>
    </xf>
    <xf numFmtId="9" fontId="56" fillId="3" borderId="79" xfId="2" applyFont="1" applyFill="1" applyBorder="1"/>
    <xf numFmtId="3" fontId="56" fillId="3" borderId="79" xfId="43" applyNumberFormat="1" applyFont="1" applyFill="1" applyBorder="1" applyAlignment="1">
      <alignment wrapText="1"/>
    </xf>
    <xf numFmtId="9" fontId="61" fillId="3" borderId="7" xfId="2" applyFont="1" applyFill="1" applyBorder="1"/>
    <xf numFmtId="3" fontId="56" fillId="0" borderId="7" xfId="43" applyNumberFormat="1" applyFont="1" applyBorder="1" applyAlignment="1">
      <alignment wrapText="1"/>
    </xf>
    <xf numFmtId="3" fontId="56" fillId="0" borderId="43" xfId="43" applyNumberFormat="1" applyFont="1" applyBorder="1" applyAlignment="1">
      <alignment wrapText="1"/>
    </xf>
    <xf numFmtId="3" fontId="56" fillId="15" borderId="43" xfId="43" applyNumberFormat="1" applyFont="1" applyFill="1" applyBorder="1"/>
    <xf numFmtId="3" fontId="56" fillId="0" borderId="57" xfId="43" applyNumberFormat="1" applyFont="1" applyBorder="1" applyAlignment="1">
      <alignment wrapText="1"/>
    </xf>
    <xf numFmtId="9" fontId="56" fillId="3" borderId="27" xfId="2" applyFont="1" applyFill="1" applyBorder="1"/>
    <xf numFmtId="9" fontId="56" fillId="5" borderId="7" xfId="2" applyFont="1" applyFill="1" applyBorder="1"/>
    <xf numFmtId="9" fontId="56" fillId="3" borderId="57" xfId="2" applyFont="1" applyFill="1" applyBorder="1"/>
    <xf numFmtId="9" fontId="56" fillId="6" borderId="7" xfId="2" applyFont="1" applyFill="1" applyBorder="1"/>
    <xf numFmtId="9" fontId="56" fillId="0" borderId="22" xfId="2" applyFont="1" applyFill="1" applyBorder="1" applyAlignment="1"/>
    <xf numFmtId="9" fontId="56" fillId="0" borderId="0" xfId="2" applyFont="1" applyAlignment="1">
      <alignment wrapText="1"/>
    </xf>
    <xf numFmtId="167" fontId="56" fillId="0" borderId="0" xfId="2" applyNumberFormat="1" applyFont="1" applyFill="1"/>
    <xf numFmtId="9" fontId="61" fillId="0" borderId="0" xfId="2" applyFont="1"/>
    <xf numFmtId="3" fontId="56" fillId="4" borderId="79" xfId="43" applyNumberFormat="1" applyFont="1" applyFill="1" applyBorder="1" applyAlignment="1">
      <alignment wrapText="1"/>
    </xf>
    <xf numFmtId="3" fontId="56" fillId="0" borderId="3" xfId="43" applyNumberFormat="1" applyFont="1" applyBorder="1" applyAlignment="1">
      <alignment wrapText="1"/>
    </xf>
    <xf numFmtId="3" fontId="56" fillId="0" borderId="59" xfId="43" applyNumberFormat="1" applyFont="1" applyBorder="1" applyAlignment="1">
      <alignment wrapText="1"/>
    </xf>
    <xf numFmtId="3" fontId="56" fillId="0" borderId="42" xfId="43" applyNumberFormat="1" applyFont="1" applyBorder="1"/>
    <xf numFmtId="9" fontId="56" fillId="0" borderId="0" xfId="2" applyFont="1"/>
    <xf numFmtId="9" fontId="61" fillId="0" borderId="7" xfId="2" applyFont="1" applyFill="1" applyBorder="1"/>
    <xf numFmtId="9" fontId="56" fillId="3" borderId="70" xfId="2" applyFont="1" applyFill="1" applyBorder="1"/>
    <xf numFmtId="9" fontId="61" fillId="0" borderId="13" xfId="2" applyFont="1" applyBorder="1"/>
    <xf numFmtId="9" fontId="61" fillId="0" borderId="14" xfId="2" applyFont="1" applyBorder="1"/>
    <xf numFmtId="9" fontId="61" fillId="4" borderId="17" xfId="2" applyFont="1" applyFill="1" applyBorder="1"/>
    <xf numFmtId="167" fontId="56" fillId="49" borderId="57" xfId="1" applyNumberFormat="1" applyFont="1" applyFill="1" applyBorder="1"/>
    <xf numFmtId="167" fontId="56" fillId="49" borderId="73" xfId="1" applyNumberFormat="1" applyFont="1" applyFill="1" applyBorder="1"/>
    <xf numFmtId="167" fontId="56" fillId="49" borderId="59" xfId="1" applyNumberFormat="1" applyFont="1" applyFill="1" applyBorder="1"/>
    <xf numFmtId="167" fontId="56" fillId="49" borderId="46" xfId="1" applyNumberFormat="1" applyFont="1" applyFill="1" applyBorder="1"/>
    <xf numFmtId="167" fontId="56" fillId="49" borderId="7" xfId="1" applyNumberFormat="1" applyFont="1" applyFill="1" applyBorder="1"/>
    <xf numFmtId="9" fontId="56" fillId="0" borderId="25" xfId="4" applyFont="1" applyFill="1" applyBorder="1" applyAlignment="1">
      <alignment wrapText="1"/>
    </xf>
    <xf numFmtId="49" fontId="56" fillId="4" borderId="47" xfId="43" applyNumberFormat="1" applyFont="1" applyFill="1" applyBorder="1" applyAlignment="1">
      <alignment wrapText="1"/>
    </xf>
    <xf numFmtId="9" fontId="56" fillId="0" borderId="73" xfId="4" applyFont="1" applyFill="1" applyBorder="1" applyAlignment="1">
      <alignment wrapText="1"/>
    </xf>
    <xf numFmtId="0" fontId="56" fillId="11" borderId="47" xfId="43" applyFont="1" applyFill="1" applyBorder="1" applyAlignment="1">
      <alignment horizontal="left" wrapText="1" indent="3"/>
    </xf>
    <xf numFmtId="167" fontId="56" fillId="11" borderId="7" xfId="1" applyNumberFormat="1" applyFont="1" applyFill="1" applyBorder="1"/>
    <xf numFmtId="0" fontId="56" fillId="11" borderId="56" xfId="43" applyFont="1" applyFill="1" applyBorder="1" applyAlignment="1">
      <alignment horizontal="left" wrapText="1" indent="3"/>
    </xf>
    <xf numFmtId="167" fontId="56" fillId="0" borderId="57" xfId="4" applyNumberFormat="1" applyFont="1" applyBorder="1" applyAlignment="1">
      <alignment wrapText="1"/>
    </xf>
    <xf numFmtId="167" fontId="56" fillId="0" borderId="73" xfId="4" applyNumberFormat="1" applyFont="1" applyFill="1" applyBorder="1"/>
    <xf numFmtId="167" fontId="56" fillId="0" borderId="59" xfId="4" applyNumberFormat="1" applyFont="1" applyFill="1" applyBorder="1"/>
    <xf numFmtId="0" fontId="56" fillId="11" borderId="76" xfId="43" applyFont="1" applyFill="1" applyBorder="1" applyAlignment="1">
      <alignment horizontal="left" wrapText="1" indent="3"/>
    </xf>
    <xf numFmtId="49" fontId="56" fillId="11" borderId="47" xfId="43" applyNumberFormat="1" applyFont="1" applyFill="1" applyBorder="1" applyAlignment="1">
      <alignment horizontal="left" wrapText="1" indent="2"/>
    </xf>
    <xf numFmtId="9" fontId="56" fillId="0" borderId="82" xfId="4" applyFont="1" applyBorder="1" applyAlignment="1">
      <alignment wrapText="1"/>
    </xf>
    <xf numFmtId="9" fontId="56" fillId="0" borderId="83" xfId="4" applyFont="1" applyBorder="1" applyAlignment="1">
      <alignment wrapText="1"/>
    </xf>
    <xf numFmtId="167" fontId="56" fillId="0" borderId="79" xfId="1" applyNumberFormat="1" applyFont="1" applyFill="1" applyBorder="1"/>
    <xf numFmtId="0" fontId="122" fillId="0" borderId="0" xfId="43" applyFont="1"/>
    <xf numFmtId="3" fontId="122" fillId="0" borderId="0" xfId="43" applyNumberFormat="1" applyFont="1"/>
    <xf numFmtId="10" fontId="122" fillId="0" borderId="0" xfId="9" applyNumberFormat="1" applyFont="1"/>
    <xf numFmtId="3" fontId="122" fillId="0" borderId="79" xfId="43" applyNumberFormat="1" applyFont="1" applyBorder="1" applyAlignment="1">
      <alignment wrapText="1"/>
    </xf>
    <xf numFmtId="167" fontId="56" fillId="0" borderId="0" xfId="4" applyNumberFormat="1" applyFont="1"/>
    <xf numFmtId="9" fontId="56" fillId="0" borderId="43" xfId="2" applyFont="1" applyBorder="1"/>
    <xf numFmtId="3" fontId="68" fillId="15" borderId="79" xfId="43" applyNumberFormat="1" applyFont="1" applyFill="1" applyBorder="1"/>
    <xf numFmtId="167" fontId="56" fillId="0" borderId="43" xfId="4" applyNumberFormat="1" applyFont="1" applyFill="1" applyBorder="1" applyAlignment="1">
      <alignment wrapText="1"/>
    </xf>
    <xf numFmtId="167" fontId="121" fillId="14" borderId="0" xfId="1" applyNumberFormat="1" applyFont="1" applyFill="1"/>
    <xf numFmtId="0" fontId="56" fillId="0" borderId="77" xfId="43" applyFont="1" applyBorder="1" applyAlignment="1">
      <alignment horizontal="left" wrapText="1" indent="3"/>
    </xf>
    <xf numFmtId="3" fontId="56" fillId="0" borderId="85" xfId="43" applyNumberFormat="1" applyFont="1" applyBorder="1"/>
    <xf numFmtId="167" fontId="56" fillId="0" borderId="85" xfId="1" applyNumberFormat="1" applyFont="1" applyBorder="1"/>
    <xf numFmtId="9" fontId="56" fillId="0" borderId="85" xfId="2" applyFont="1" applyFill="1" applyBorder="1"/>
    <xf numFmtId="3" fontId="56" fillId="0" borderId="85" xfId="43" applyNumberFormat="1" applyFont="1" applyBorder="1" applyAlignment="1">
      <alignment wrapText="1"/>
    </xf>
    <xf numFmtId="9" fontId="56" fillId="0" borderId="67" xfId="4" applyFont="1" applyFill="1" applyBorder="1" applyAlignment="1">
      <alignment wrapText="1"/>
    </xf>
    <xf numFmtId="9" fontId="56" fillId="5" borderId="85" xfId="4" applyFont="1" applyFill="1" applyBorder="1" applyAlignment="1">
      <alignment wrapText="1"/>
    </xf>
    <xf numFmtId="167" fontId="59" fillId="0" borderId="0" xfId="1" applyNumberFormat="1" applyFont="1" applyAlignment="1">
      <alignment wrapText="1"/>
    </xf>
    <xf numFmtId="0" fontId="59" fillId="0" borderId="0" xfId="43" applyFont="1" applyAlignment="1">
      <alignment wrapText="1"/>
    </xf>
    <xf numFmtId="167" fontId="59" fillId="0" borderId="0" xfId="1" applyNumberFormat="1" applyFont="1"/>
    <xf numFmtId="3" fontId="59" fillId="0" borderId="0" xfId="43" applyNumberFormat="1" applyFont="1"/>
    <xf numFmtId="167" fontId="65" fillId="0" borderId="0" xfId="1" applyNumberFormat="1" applyFont="1"/>
    <xf numFmtId="167" fontId="65" fillId="0" borderId="0" xfId="5" applyNumberFormat="1" applyFont="1"/>
    <xf numFmtId="9" fontId="59" fillId="0" borderId="0" xfId="4" applyFont="1"/>
    <xf numFmtId="167" fontId="65" fillId="0" borderId="3" xfId="1" applyNumberFormat="1" applyFont="1" applyBorder="1" applyAlignment="1">
      <alignment horizontal="center" vertical="center" wrapText="1"/>
    </xf>
    <xf numFmtId="167" fontId="65" fillId="3" borderId="4" xfId="1" applyNumberFormat="1" applyFont="1" applyFill="1" applyBorder="1"/>
    <xf numFmtId="3" fontId="65" fillId="3" borderId="4" xfId="43" applyNumberFormat="1" applyFont="1" applyFill="1" applyBorder="1"/>
    <xf numFmtId="167" fontId="65" fillId="4" borderId="4" xfId="1" applyNumberFormat="1" applyFont="1" applyFill="1" applyBorder="1"/>
    <xf numFmtId="3" fontId="65" fillId="4" borderId="4" xfId="43" applyNumberFormat="1" applyFont="1" applyFill="1" applyBorder="1"/>
    <xf numFmtId="167" fontId="59" fillId="0" borderId="7" xfId="1" applyNumberFormat="1" applyFont="1" applyBorder="1"/>
    <xf numFmtId="3" fontId="59" fillId="0" borderId="7" xfId="43" applyNumberFormat="1" applyFont="1" applyBorder="1"/>
    <xf numFmtId="167" fontId="65" fillId="4" borderId="7" xfId="1" applyNumberFormat="1" applyFont="1" applyFill="1" applyBorder="1"/>
    <xf numFmtId="3" fontId="59" fillId="0" borderId="43" xfId="43" applyNumberFormat="1" applyFont="1" applyBorder="1"/>
    <xf numFmtId="167" fontId="59" fillId="10" borderId="7" xfId="1" applyNumberFormat="1" applyFont="1" applyFill="1" applyBorder="1"/>
    <xf numFmtId="3" fontId="59" fillId="10" borderId="7" xfId="43" applyNumberFormat="1" applyFont="1" applyFill="1" applyBorder="1"/>
    <xf numFmtId="167" fontId="59" fillId="0" borderId="57" xfId="1" applyNumberFormat="1" applyFont="1" applyBorder="1"/>
    <xf numFmtId="3" fontId="59" fillId="0" borderId="57" xfId="43" applyNumberFormat="1" applyFont="1" applyBorder="1"/>
    <xf numFmtId="167" fontId="59" fillId="7" borderId="7" xfId="1" applyNumberFormat="1" applyFont="1" applyFill="1" applyBorder="1"/>
    <xf numFmtId="3" fontId="59" fillId="7" borderId="7" xfId="43" applyNumberFormat="1" applyFont="1" applyFill="1" applyBorder="1"/>
    <xf numFmtId="167" fontId="123" fillId="8" borderId="7" xfId="1" applyNumberFormat="1" applyFont="1" applyFill="1" applyBorder="1"/>
    <xf numFmtId="3" fontId="123" fillId="8" borderId="7" xfId="43" applyNumberFormat="1" applyFont="1" applyFill="1" applyBorder="1"/>
    <xf numFmtId="167" fontId="59" fillId="0" borderId="70" xfId="1" applyNumberFormat="1" applyFont="1" applyBorder="1"/>
    <xf numFmtId="167" fontId="59" fillId="0" borderId="27" xfId="1" applyNumberFormat="1" applyFont="1" applyBorder="1"/>
    <xf numFmtId="167" fontId="59" fillId="3" borderId="7" xfId="1" applyNumberFormat="1" applyFont="1" applyFill="1" applyBorder="1"/>
    <xf numFmtId="3" fontId="59" fillId="0" borderId="27" xfId="43" applyNumberFormat="1" applyFont="1" applyBorder="1"/>
    <xf numFmtId="167" fontId="59" fillId="0" borderId="43" xfId="1" applyNumberFormat="1" applyFont="1" applyBorder="1"/>
    <xf numFmtId="167" fontId="65" fillId="0" borderId="3" xfId="1" applyNumberFormat="1" applyFont="1" applyBorder="1"/>
    <xf numFmtId="3" fontId="65" fillId="0" borderId="3" xfId="43" applyNumberFormat="1" applyFont="1" applyBorder="1"/>
    <xf numFmtId="167" fontId="65" fillId="0" borderId="11" xfId="1" applyNumberFormat="1" applyFont="1" applyBorder="1"/>
    <xf numFmtId="3" fontId="65" fillId="0" borderId="11" xfId="43" applyNumberFormat="1" applyFont="1" applyBorder="1"/>
    <xf numFmtId="167" fontId="65" fillId="4" borderId="42" xfId="1" applyNumberFormat="1" applyFont="1" applyFill="1" applyBorder="1"/>
    <xf numFmtId="167" fontId="59" fillId="49" borderId="57" xfId="1" applyNumberFormat="1" applyFont="1" applyFill="1" applyBorder="1"/>
    <xf numFmtId="3" fontId="59" fillId="0" borderId="64" xfId="43" applyNumberFormat="1" applyFont="1" applyBorder="1"/>
    <xf numFmtId="167" fontId="59" fillId="49" borderId="7" xfId="1" applyNumberFormat="1" applyFont="1" applyFill="1" applyBorder="1"/>
    <xf numFmtId="3" fontId="59" fillId="0" borderId="41" xfId="43" applyNumberFormat="1" applyFont="1" applyBorder="1"/>
    <xf numFmtId="167" fontId="59" fillId="49" borderId="46" xfId="1" applyNumberFormat="1" applyFont="1" applyFill="1" applyBorder="1"/>
    <xf numFmtId="3" fontId="59" fillId="0" borderId="74" xfId="43" applyNumberFormat="1" applyFont="1" applyBorder="1"/>
    <xf numFmtId="167" fontId="59" fillId="49" borderId="59" xfId="1" applyNumberFormat="1" applyFont="1" applyFill="1" applyBorder="1"/>
    <xf numFmtId="3" fontId="59" fillId="0" borderId="55" xfId="43" applyNumberFormat="1" applyFont="1" applyBorder="1"/>
    <xf numFmtId="3" fontId="59" fillId="0" borderId="70" xfId="43" applyNumberFormat="1" applyFont="1" applyBorder="1"/>
    <xf numFmtId="167" fontId="59" fillId="0" borderId="73" xfId="1" applyNumberFormat="1" applyFont="1" applyBorder="1"/>
    <xf numFmtId="3" fontId="59" fillId="0" borderId="21" xfId="43" applyNumberFormat="1" applyFont="1" applyBorder="1"/>
    <xf numFmtId="167" fontId="59" fillId="49" borderId="73" xfId="1" applyNumberFormat="1" applyFont="1" applyFill="1" applyBorder="1"/>
    <xf numFmtId="3" fontId="59" fillId="0" borderId="79" xfId="43" applyNumberFormat="1" applyFont="1" applyBorder="1"/>
    <xf numFmtId="10" fontId="59" fillId="0" borderId="0" xfId="9" applyNumberFormat="1" applyFont="1"/>
    <xf numFmtId="167" fontId="65" fillId="4" borderId="12" xfId="1" applyNumberFormat="1" applyFont="1" applyFill="1" applyBorder="1"/>
    <xf numFmtId="3" fontId="65" fillId="4" borderId="12" xfId="43" applyNumberFormat="1" applyFont="1" applyFill="1" applyBorder="1"/>
    <xf numFmtId="3" fontId="59" fillId="3" borderId="43" xfId="43" applyNumberFormat="1" applyFont="1" applyFill="1" applyBorder="1"/>
    <xf numFmtId="3" fontId="59" fillId="3" borderId="57" xfId="43" applyNumberFormat="1" applyFont="1" applyFill="1" applyBorder="1"/>
    <xf numFmtId="167" fontId="59" fillId="3" borderId="79" xfId="1" applyNumberFormat="1" applyFont="1" applyFill="1" applyBorder="1"/>
    <xf numFmtId="3" fontId="59" fillId="3" borderId="79" xfId="43" applyNumberFormat="1" applyFont="1" applyFill="1" applyBorder="1"/>
    <xf numFmtId="167" fontId="65" fillId="3" borderId="7" xfId="1" applyNumberFormat="1" applyFont="1" applyFill="1" applyBorder="1"/>
    <xf numFmtId="3" fontId="65" fillId="3" borderId="7" xfId="43" applyNumberFormat="1" applyFont="1" applyFill="1" applyBorder="1"/>
    <xf numFmtId="3" fontId="65" fillId="3" borderId="54" xfId="43" applyNumberFormat="1" applyFont="1" applyFill="1" applyBorder="1"/>
    <xf numFmtId="167" fontId="59" fillId="11" borderId="7" xfId="1" applyNumberFormat="1" applyFont="1" applyFill="1" applyBorder="1"/>
    <xf numFmtId="3" fontId="59" fillId="0" borderId="54" xfId="43" applyNumberFormat="1" applyFont="1" applyBorder="1"/>
    <xf numFmtId="167" fontId="59" fillId="0" borderId="79" xfId="1" applyNumberFormat="1" applyFont="1" applyBorder="1"/>
    <xf numFmtId="167" fontId="59" fillId="15" borderId="43" xfId="1" applyNumberFormat="1" applyFont="1" applyFill="1" applyBorder="1"/>
    <xf numFmtId="167" fontId="124" fillId="15" borderId="57" xfId="1" applyNumberFormat="1" applyFont="1" applyFill="1" applyBorder="1"/>
    <xf numFmtId="3" fontId="124" fillId="0" borderId="43" xfId="43" applyNumberFormat="1" applyFont="1" applyBorder="1"/>
    <xf numFmtId="167" fontId="59" fillId="0" borderId="79" xfId="1" applyNumberFormat="1" applyFont="1" applyFill="1" applyBorder="1"/>
    <xf numFmtId="167" fontId="59" fillId="0" borderId="7" xfId="1" applyNumberFormat="1" applyFont="1" applyFill="1" applyBorder="1"/>
    <xf numFmtId="167" fontId="59" fillId="3" borderId="27" xfId="1" applyNumberFormat="1" applyFont="1" applyFill="1" applyBorder="1"/>
    <xf numFmtId="3" fontId="59" fillId="3" borderId="27" xfId="43" applyNumberFormat="1" applyFont="1" applyFill="1" applyBorder="1"/>
    <xf numFmtId="167" fontId="59" fillId="0" borderId="70" xfId="1" applyNumberFormat="1" applyFont="1" applyFill="1" applyBorder="1"/>
    <xf numFmtId="3" fontId="59" fillId="5" borderId="43" xfId="43" applyNumberFormat="1" applyFont="1" applyFill="1" applyBorder="1"/>
    <xf numFmtId="167" fontId="59" fillId="5" borderId="7" xfId="1" applyNumberFormat="1" applyFont="1" applyFill="1" applyBorder="1"/>
    <xf numFmtId="3" fontId="59" fillId="5" borderId="57" xfId="43" applyNumberFormat="1" applyFont="1" applyFill="1" applyBorder="1"/>
    <xf numFmtId="167" fontId="59" fillId="5" borderId="79" xfId="1" applyNumberFormat="1" applyFont="1" applyFill="1" applyBorder="1"/>
    <xf numFmtId="167" fontId="59" fillId="3" borderId="57" xfId="1" applyNumberFormat="1" applyFont="1" applyFill="1" applyBorder="1"/>
    <xf numFmtId="167" fontId="59" fillId="6" borderId="7" xfId="1" applyNumberFormat="1" applyFont="1" applyFill="1" applyBorder="1"/>
    <xf numFmtId="3" fontId="59" fillId="6" borderId="7" xfId="43" applyNumberFormat="1" applyFont="1" applyFill="1" applyBorder="1"/>
    <xf numFmtId="167" fontId="59" fillId="6" borderId="70" xfId="1" applyNumberFormat="1" applyFont="1" applyFill="1" applyBorder="1"/>
    <xf numFmtId="3" fontId="59" fillId="6" borderId="43" xfId="43" applyNumberFormat="1" applyFont="1" applyFill="1" applyBorder="1"/>
    <xf numFmtId="167" fontId="124" fillId="0" borderId="79" xfId="1" applyNumberFormat="1" applyFont="1" applyBorder="1"/>
    <xf numFmtId="3" fontId="124" fillId="0" borderId="79" xfId="43" applyNumberFormat="1" applyFont="1" applyBorder="1"/>
    <xf numFmtId="167" fontId="65" fillId="0" borderId="7" xfId="1" applyNumberFormat="1" applyFont="1" applyBorder="1"/>
    <xf numFmtId="3" fontId="65" fillId="0" borderId="7" xfId="43" applyNumberFormat="1" applyFont="1" applyBorder="1"/>
    <xf numFmtId="3" fontId="65" fillId="0" borderId="13" xfId="43" applyNumberFormat="1" applyFont="1" applyBorder="1"/>
    <xf numFmtId="167" fontId="65" fillId="0" borderId="13" xfId="1" applyNumberFormat="1" applyFont="1" applyBorder="1"/>
    <xf numFmtId="167" fontId="65" fillId="0" borderId="14" xfId="1" applyNumberFormat="1" applyFont="1" applyBorder="1"/>
    <xf numFmtId="3" fontId="65" fillId="0" borderId="14" xfId="43" applyNumberFormat="1" applyFont="1" applyBorder="1"/>
    <xf numFmtId="167" fontId="65" fillId="4" borderId="17" xfId="1" applyNumberFormat="1" applyFont="1" applyFill="1" applyBorder="1"/>
    <xf numFmtId="3" fontId="65" fillId="4" borderId="17" xfId="43" applyNumberFormat="1" applyFont="1" applyFill="1" applyBorder="1"/>
    <xf numFmtId="9" fontId="56" fillId="4" borderId="22" xfId="4" applyFont="1" applyFill="1" applyBorder="1" applyAlignment="1">
      <alignment wrapText="1"/>
    </xf>
    <xf numFmtId="3" fontId="58" fillId="0" borderId="79" xfId="43" applyNumberFormat="1" applyFont="1" applyBorder="1"/>
    <xf numFmtId="3" fontId="64" fillId="4" borderId="79" xfId="43" applyNumberFormat="1" applyFont="1" applyFill="1" applyBorder="1"/>
    <xf numFmtId="3" fontId="58" fillId="10" borderId="79" xfId="43" applyNumberFormat="1" applyFont="1" applyFill="1" applyBorder="1"/>
    <xf numFmtId="3" fontId="58" fillId="3" borderId="79" xfId="43" applyNumberFormat="1" applyFont="1" applyFill="1" applyBorder="1"/>
    <xf numFmtId="3" fontId="58" fillId="11" borderId="79" xfId="43" applyNumberFormat="1" applyFont="1" applyFill="1" applyBorder="1"/>
    <xf numFmtId="3" fontId="59" fillId="0" borderId="78" xfId="43" applyNumberFormat="1" applyFont="1" applyBorder="1"/>
    <xf numFmtId="9" fontId="56" fillId="0" borderId="77" xfId="4" applyFont="1" applyFill="1" applyBorder="1" applyAlignment="1">
      <alignment vertical="center" wrapText="1"/>
    </xf>
    <xf numFmtId="0" fontId="78" fillId="14" borderId="0" xfId="0" applyFont="1" applyFill="1" applyAlignment="1">
      <alignment horizontal="left" indent="2"/>
    </xf>
    <xf numFmtId="0" fontId="78" fillId="14" borderId="0" xfId="0" applyFont="1" applyFill="1" applyAlignment="1">
      <alignment horizontal="left" vertical="top" wrapText="1"/>
    </xf>
    <xf numFmtId="3" fontId="78" fillId="14" borderId="0" xfId="0" applyNumberFormat="1" applyFont="1" applyFill="1" applyAlignment="1">
      <alignment horizontal="left" indent="2"/>
    </xf>
    <xf numFmtId="3" fontId="78" fillId="14" borderId="0" xfId="0" applyNumberFormat="1" applyFont="1" applyFill="1"/>
    <xf numFmtId="0" fontId="78" fillId="14" borderId="0" xfId="0" applyFont="1" applyFill="1" applyAlignment="1">
      <alignment horizontal="left" vertical="top" wrapText="1" indent="2"/>
    </xf>
    <xf numFmtId="0" fontId="78" fillId="14" borderId="0" xfId="0" applyFont="1" applyFill="1" applyAlignment="1">
      <alignment horizontal="left" wrapText="1"/>
    </xf>
    <xf numFmtId="0" fontId="78" fillId="14" borderId="0" xfId="0" applyFont="1" applyFill="1" applyAlignment="1">
      <alignment horizontal="left"/>
    </xf>
    <xf numFmtId="49" fontId="56" fillId="0" borderId="86" xfId="43" applyNumberFormat="1" applyFont="1" applyBorder="1" applyAlignment="1">
      <alignment horizontal="left" indent="2"/>
    </xf>
    <xf numFmtId="49" fontId="56" fillId="0" borderId="77" xfId="43" applyNumberFormat="1" applyFont="1" applyBorder="1" applyAlignment="1">
      <alignment horizontal="left" wrapText="1" indent="4"/>
    </xf>
    <xf numFmtId="9" fontId="56" fillId="0" borderId="85" xfId="4" applyFont="1" applyFill="1" applyBorder="1"/>
    <xf numFmtId="167" fontId="59" fillId="0" borderId="85" xfId="1" applyNumberFormat="1" applyFont="1" applyBorder="1"/>
    <xf numFmtId="49" fontId="56" fillId="0" borderId="87" xfId="43" applyNumberFormat="1" applyFont="1" applyBorder="1" applyAlignment="1">
      <alignment horizontal="left" wrapText="1" indent="4"/>
    </xf>
    <xf numFmtId="9" fontId="56" fillId="0" borderId="88" xfId="4" applyFont="1" applyFill="1" applyBorder="1" applyAlignment="1">
      <alignment wrapText="1"/>
    </xf>
    <xf numFmtId="9" fontId="56" fillId="0" borderId="89" xfId="4" applyFont="1" applyFill="1" applyBorder="1" applyAlignment="1">
      <alignment wrapText="1"/>
    </xf>
    <xf numFmtId="3" fontId="56" fillId="6" borderId="85" xfId="43" applyNumberFormat="1" applyFont="1" applyFill="1" applyBorder="1"/>
    <xf numFmtId="167" fontId="56" fillId="6" borderId="85" xfId="1" applyNumberFormat="1" applyFont="1" applyFill="1" applyBorder="1"/>
    <xf numFmtId="9" fontId="56" fillId="0" borderId="85" xfId="4" applyFont="1" applyFill="1" applyBorder="1" applyAlignment="1">
      <alignment wrapText="1"/>
    </xf>
    <xf numFmtId="9" fontId="56" fillId="0" borderId="54" xfId="4" applyFont="1" applyFill="1" applyBorder="1" applyAlignment="1">
      <alignment wrapText="1"/>
    </xf>
    <xf numFmtId="0" fontId="63" fillId="14" borderId="0" xfId="0" applyFont="1" applyFill="1" applyAlignment="1">
      <alignment horizontal="left"/>
    </xf>
    <xf numFmtId="0" fontId="63" fillId="14" borderId="0" xfId="0" applyFont="1" applyFill="1" applyAlignment="1">
      <alignment horizontal="left" vertical="top"/>
    </xf>
    <xf numFmtId="9" fontId="58" fillId="3" borderId="79" xfId="4" applyFont="1" applyFill="1" applyBorder="1" applyAlignment="1">
      <alignment wrapText="1"/>
    </xf>
    <xf numFmtId="3" fontId="59" fillId="9" borderId="80" xfId="43" applyNumberFormat="1" applyFont="1" applyFill="1" applyBorder="1"/>
    <xf numFmtId="9" fontId="56" fillId="46" borderId="22" xfId="4" applyFont="1" applyFill="1" applyBorder="1" applyAlignment="1">
      <alignment wrapText="1"/>
    </xf>
    <xf numFmtId="3" fontId="59" fillId="0" borderId="80" xfId="43" applyNumberFormat="1" applyFont="1" applyBorder="1"/>
    <xf numFmtId="167" fontId="64" fillId="4" borderId="79" xfId="1" applyNumberFormat="1" applyFont="1" applyFill="1" applyBorder="1"/>
    <xf numFmtId="3" fontId="58" fillId="7" borderId="79" xfId="43" applyNumberFormat="1" applyFont="1" applyFill="1" applyBorder="1"/>
    <xf numFmtId="167" fontId="56" fillId="0" borderId="23" xfId="4" applyNumberFormat="1" applyFont="1" applyFill="1" applyBorder="1"/>
    <xf numFmtId="3" fontId="56" fillId="15" borderId="79" xfId="43" applyNumberFormat="1" applyFont="1" applyFill="1" applyBorder="1"/>
    <xf numFmtId="3" fontId="56" fillId="0" borderId="84" xfId="43" applyNumberFormat="1" applyFont="1" applyBorder="1"/>
    <xf numFmtId="3" fontId="56" fillId="11" borderId="79" xfId="43" applyNumberFormat="1" applyFont="1" applyFill="1" applyBorder="1"/>
    <xf numFmtId="9" fontId="56" fillId="0" borderId="82" xfId="4" applyFont="1" applyBorder="1" applyAlignment="1">
      <alignment horizontal="left" wrapText="1"/>
    </xf>
    <xf numFmtId="9" fontId="56" fillId="0" borderId="22" xfId="4" applyFont="1" applyBorder="1" applyAlignment="1">
      <alignment horizontal="left" wrapText="1"/>
    </xf>
    <xf numFmtId="9" fontId="56" fillId="0" borderId="82" xfId="4" applyFont="1" applyFill="1" applyBorder="1" applyAlignment="1">
      <alignment horizontal="left" wrapText="1"/>
    </xf>
    <xf numFmtId="9" fontId="56" fillId="0" borderId="22" xfId="4" applyFont="1" applyFill="1" applyBorder="1" applyAlignment="1">
      <alignment horizontal="left" wrapText="1"/>
    </xf>
    <xf numFmtId="9" fontId="56" fillId="0" borderId="89" xfId="4" applyFont="1" applyFill="1" applyBorder="1" applyAlignment="1">
      <alignment horizontal="left" wrapText="1"/>
    </xf>
    <xf numFmtId="9" fontId="56" fillId="0" borderId="71" xfId="4" applyFont="1" applyFill="1" applyBorder="1" applyAlignment="1">
      <alignment horizontal="left" vertical="center" wrapText="1"/>
    </xf>
    <xf numFmtId="9" fontId="56" fillId="0" borderId="22" xfId="4" applyFont="1" applyFill="1" applyBorder="1" applyAlignment="1">
      <alignment horizontal="left" vertical="center" wrapText="1"/>
    </xf>
    <xf numFmtId="0" fontId="87" fillId="0" borderId="0" xfId="83" applyFont="1"/>
    <xf numFmtId="0" fontId="50" fillId="0" borderId="0" xfId="43"/>
    <xf numFmtId="0" fontId="86" fillId="0" borderId="0" xfId="83" applyFont="1"/>
    <xf numFmtId="9" fontId="56" fillId="12" borderId="61" xfId="2" applyFont="1" applyFill="1" applyBorder="1" applyAlignment="1">
      <alignment horizontal="right" vertical="center"/>
    </xf>
    <xf numFmtId="9" fontId="56" fillId="12" borderId="22" xfId="2" applyFont="1" applyFill="1" applyBorder="1" applyAlignment="1">
      <alignment horizontal="right" vertical="center"/>
    </xf>
    <xf numFmtId="9" fontId="56" fillId="0" borderId="61" xfId="2" applyFont="1" applyBorder="1" applyAlignment="1">
      <alignment horizontal="right" wrapText="1"/>
    </xf>
    <xf numFmtId="9" fontId="56" fillId="0" borderId="22" xfId="2" applyFont="1" applyBorder="1" applyAlignment="1">
      <alignment horizontal="right" wrapText="1"/>
    </xf>
    <xf numFmtId="3" fontId="67" fillId="8" borderId="71" xfId="43" applyNumberFormat="1" applyFont="1" applyFill="1" applyBorder="1" applyAlignment="1">
      <alignment horizontal="right" vertical="center"/>
    </xf>
    <xf numFmtId="3" fontId="67" fillId="8" borderId="22" xfId="43" applyNumberFormat="1" applyFont="1" applyFill="1" applyBorder="1" applyAlignment="1">
      <alignment horizontal="right" vertical="center"/>
    </xf>
    <xf numFmtId="9" fontId="67" fillId="8" borderId="71" xfId="2" applyFont="1" applyFill="1" applyBorder="1" applyAlignment="1">
      <alignment horizontal="right" vertical="center"/>
    </xf>
    <xf numFmtId="9" fontId="67" fillId="8" borderId="22" xfId="2" applyFont="1" applyFill="1" applyBorder="1" applyAlignment="1">
      <alignment horizontal="right" vertical="center"/>
    </xf>
    <xf numFmtId="3" fontId="56" fillId="0" borderId="71" xfId="43" applyNumberFormat="1" applyFont="1" applyBorder="1" applyAlignment="1">
      <alignment horizontal="right" vertical="center"/>
    </xf>
    <xf numFmtId="3" fontId="56" fillId="0" borderId="22" xfId="43" applyNumberFormat="1" applyFont="1" applyBorder="1" applyAlignment="1">
      <alignment horizontal="right" vertical="center"/>
    </xf>
    <xf numFmtId="3" fontId="56" fillId="0" borderId="71" xfId="43" applyNumberFormat="1" applyFont="1" applyBorder="1" applyAlignment="1">
      <alignment horizontal="right"/>
    </xf>
    <xf numFmtId="3" fontId="56" fillId="0" borderId="22" xfId="43" applyNumberFormat="1" applyFont="1" applyBorder="1" applyAlignment="1">
      <alignment horizontal="right"/>
    </xf>
    <xf numFmtId="9" fontId="56" fillId="4" borderId="71" xfId="4" applyFont="1" applyFill="1" applyBorder="1" applyAlignment="1">
      <alignment horizontal="left" wrapText="1"/>
    </xf>
    <xf numFmtId="9" fontId="56" fillId="4" borderId="22" xfId="4" applyFont="1" applyFill="1" applyBorder="1" applyAlignment="1">
      <alignment horizontal="left" wrapText="1"/>
    </xf>
    <xf numFmtId="0" fontId="63" fillId="14" borderId="0" xfId="0" applyFont="1" applyFill="1" applyAlignment="1">
      <alignment horizontal="left" vertical="top" wrapText="1"/>
    </xf>
    <xf numFmtId="0" fontId="63" fillId="14" borderId="0" xfId="0" applyFont="1" applyFill="1" applyAlignment="1">
      <alignment horizontal="left" wrapText="1"/>
    </xf>
  </cellXfs>
  <cellStyles count="329">
    <cellStyle name="20% - Accent1 2" xfId="178" xr:uid="{363495CB-4EFD-4075-8AF2-8C15E33F265E}"/>
    <cellStyle name="20% - Accent1 3" xfId="254" xr:uid="{E5B18DE7-613F-46E6-83F3-B8D166189AAE}"/>
    <cellStyle name="20% - Accent2 2" xfId="181" xr:uid="{A18B77CC-0EE2-4068-8D7D-EF36B82D4569}"/>
    <cellStyle name="20% - Accent2 3" xfId="257" xr:uid="{0B5741FD-8B26-42B3-AD92-C666C48C2E56}"/>
    <cellStyle name="20% - Accent3 2" xfId="184" xr:uid="{828B7FC4-D874-45AB-90C4-80E102CDA5BC}"/>
    <cellStyle name="20% - Accent3 3" xfId="260" xr:uid="{1E6C9157-3BCC-462D-A9DA-092044DD508A}"/>
    <cellStyle name="20% - Accent4 2" xfId="187" xr:uid="{D6C29F7D-F1D1-4B50-B51D-8C757C4F426E}"/>
    <cellStyle name="20% - Accent4 3" xfId="263" xr:uid="{C8AB55DE-1FCC-4428-9A86-267BA79876C2}"/>
    <cellStyle name="20% - Accent5 2" xfId="190" xr:uid="{FCD4D055-3930-49A6-8889-90B080C6E772}"/>
    <cellStyle name="20% - Accent5 3" xfId="266" xr:uid="{F587695F-375B-4967-B352-43DE04DA1E20}"/>
    <cellStyle name="20% - Accent6 2" xfId="193" xr:uid="{27DC87F4-78AB-4578-80CF-0B1BFA91BF76}"/>
    <cellStyle name="20% - Accent6 3" xfId="269" xr:uid="{6401CBB4-6642-461B-ACAA-8610AEB4F886}"/>
    <cellStyle name="20% no 1. izcēluma" xfId="118" builtinId="30" customBuiltin="1"/>
    <cellStyle name="20% no 1. izcēluma 2" xfId="148" xr:uid="{00000000-0005-0000-0000-000001000000}"/>
    <cellStyle name="20% no 1. izcēluma 3" xfId="221" xr:uid="{784540F9-359C-423E-BC1B-C1AEB3C33C54}"/>
    <cellStyle name="20% no 1. izcēluma 4" xfId="291" xr:uid="{9A5F063E-E35A-492C-BB8F-D1193F715CA3}"/>
    <cellStyle name="20% no 1. izcēluma 5" xfId="311" xr:uid="{597C57DC-09AE-4B25-85F8-E5A2FE1610F3}"/>
    <cellStyle name="20% no 2. izcēluma" xfId="122" builtinId="34" customBuiltin="1"/>
    <cellStyle name="20% no 2. izcēluma 2" xfId="150" xr:uid="{00000000-0005-0000-0000-000003000000}"/>
    <cellStyle name="20% no 2. izcēluma 3" xfId="224" xr:uid="{825A49D2-CB0F-4EA0-883E-62C47A8A74EE}"/>
    <cellStyle name="20% no 2. izcēluma 4" xfId="294" xr:uid="{570A7799-FCA2-470F-8DEB-14D159827883}"/>
    <cellStyle name="20% no 2. izcēluma 5" xfId="314" xr:uid="{2291D85C-FC7D-46A5-8603-D5B8B5572186}"/>
    <cellStyle name="20% no 3. izcēluma" xfId="126" builtinId="38" customBuiltin="1"/>
    <cellStyle name="20% no 3. izcēluma 2" xfId="152" xr:uid="{00000000-0005-0000-0000-000005000000}"/>
    <cellStyle name="20% no 3. izcēluma 3" xfId="227" xr:uid="{BDB0685F-E89F-4E5B-8878-13EC8CEB3F6B}"/>
    <cellStyle name="20% no 3. izcēluma 4" xfId="297" xr:uid="{FADBEC5B-90F9-4043-9A0B-9C4C32C01783}"/>
    <cellStyle name="20% no 3. izcēluma 5" xfId="317" xr:uid="{0DF69524-4A0F-42D0-B664-2E5954611DF2}"/>
    <cellStyle name="20% no 4. izcēluma" xfId="130" builtinId="42" customBuiltin="1"/>
    <cellStyle name="20% no 4. izcēluma 2" xfId="154" xr:uid="{00000000-0005-0000-0000-000007000000}"/>
    <cellStyle name="20% no 4. izcēluma 3" xfId="230" xr:uid="{A8DB4D5F-6BB0-4C95-BF37-19DF26094270}"/>
    <cellStyle name="20% no 4. izcēluma 4" xfId="300" xr:uid="{CB2C0813-EF94-4DE4-A397-B37898DC7994}"/>
    <cellStyle name="20% no 4. izcēluma 5" xfId="320" xr:uid="{50411459-29A0-41BE-9B03-9A8E7E6F336B}"/>
    <cellStyle name="20% no 5. izcēluma" xfId="134" builtinId="46" customBuiltin="1"/>
    <cellStyle name="20% no 5. izcēluma 2" xfId="156" xr:uid="{00000000-0005-0000-0000-000009000000}"/>
    <cellStyle name="20% no 5. izcēluma 3" xfId="233" xr:uid="{A32F06B0-3F09-44A7-8CC2-04FCC134D7A2}"/>
    <cellStyle name="20% no 5. izcēluma 4" xfId="303" xr:uid="{5125DE62-4F25-4E20-AE79-BCD92B6132EF}"/>
    <cellStyle name="20% no 5. izcēluma 5" xfId="323" xr:uid="{96D944B2-3D88-49BA-8244-3F36ECEC7F22}"/>
    <cellStyle name="20% no 6. izcēluma" xfId="138" builtinId="50" customBuiltin="1"/>
    <cellStyle name="20% no 6. izcēluma 2" xfId="158" xr:uid="{00000000-0005-0000-0000-00000B000000}"/>
    <cellStyle name="20% no 6. izcēluma 3" xfId="236" xr:uid="{D91FA401-D48B-4953-A089-E6168A38A39B}"/>
    <cellStyle name="20% no 6. izcēluma 4" xfId="306" xr:uid="{E42FA86C-3F1C-4E26-AE77-9FEF4111EA57}"/>
    <cellStyle name="20% no 6. izcēluma 5" xfId="326" xr:uid="{EA428D3A-00FC-4B88-A38B-A09D6986F58D}"/>
    <cellStyle name="40% - Accent1 2" xfId="179" xr:uid="{52F15773-EEB9-4FAB-B1D0-72EF0155F97D}"/>
    <cellStyle name="40% - Accent1 3" xfId="255" xr:uid="{3E5A396A-0448-4C32-9011-01F9C66BC61D}"/>
    <cellStyle name="40% - Accent2 2" xfId="182" xr:uid="{3B8FAB79-3B2B-45F3-A5EB-B230A3278B50}"/>
    <cellStyle name="40% - Accent2 3" xfId="258" xr:uid="{1181E458-A323-45CD-9455-A05C791EED05}"/>
    <cellStyle name="40% - Accent3 2" xfId="185" xr:uid="{2B662775-B899-4B35-8D7E-FCE4CD58456D}"/>
    <cellStyle name="40% - Accent3 3" xfId="261" xr:uid="{9AF3EAC6-520A-4CDF-9CAA-4E7F85768EEB}"/>
    <cellStyle name="40% - Accent4 2" xfId="188" xr:uid="{64C688F0-7CEF-4FE8-9E4F-59C5F7B42BEF}"/>
    <cellStyle name="40% - Accent4 3" xfId="264" xr:uid="{4CD6D80D-3FF9-4D61-B545-31BC888C668F}"/>
    <cellStyle name="40% - Accent5 2" xfId="191" xr:uid="{AF63A63F-2393-4DDD-B11E-1E8547F0F85D}"/>
    <cellStyle name="40% - Accent5 3" xfId="267" xr:uid="{549B5969-3EB4-4DD1-BDD8-95D7A6E0C93E}"/>
    <cellStyle name="40% - Accent6 2" xfId="194" xr:uid="{3A5C1458-F927-4ED5-9DF6-2B52D0C9B7BA}"/>
    <cellStyle name="40% - Accent6 3" xfId="270" xr:uid="{0D42A310-8352-4F0C-A4E1-061959AAB9CB}"/>
    <cellStyle name="40% no 1. izcēluma" xfId="119" builtinId="31" customBuiltin="1"/>
    <cellStyle name="40% no 1. izcēluma 2" xfId="149" xr:uid="{00000000-0005-0000-0000-00000D000000}"/>
    <cellStyle name="40% no 1. izcēluma 3" xfId="222" xr:uid="{79A19D2E-A8A2-4715-83EE-F09F8D21670E}"/>
    <cellStyle name="40% no 1. izcēluma 4" xfId="292" xr:uid="{AA301BD9-2E8A-4E8F-96CA-536C68EC720E}"/>
    <cellStyle name="40% no 1. izcēluma 5" xfId="312" xr:uid="{1626B5D4-66DE-44A1-ACD3-D5E8FCB7087C}"/>
    <cellStyle name="40% no 2. izcēluma" xfId="123" builtinId="35" customBuiltin="1"/>
    <cellStyle name="40% no 2. izcēluma 2" xfId="151" xr:uid="{00000000-0005-0000-0000-00000F000000}"/>
    <cellStyle name="40% no 2. izcēluma 3" xfId="225" xr:uid="{6D9775AC-6734-46A7-8000-8D06F849011F}"/>
    <cellStyle name="40% no 2. izcēluma 4" xfId="295" xr:uid="{5C52B775-BC1C-4B3E-B437-C84A210FF11C}"/>
    <cellStyle name="40% no 2. izcēluma 5" xfId="315" xr:uid="{45D44B65-7989-43A5-93A3-DF617C616786}"/>
    <cellStyle name="40% no 3. izcēluma" xfId="127" builtinId="39" customBuiltin="1"/>
    <cellStyle name="40% no 3. izcēluma 2" xfId="153" xr:uid="{00000000-0005-0000-0000-000011000000}"/>
    <cellStyle name="40% no 3. izcēluma 3" xfId="228" xr:uid="{1DBDB1B2-71C4-4862-AD1C-CDF14924E251}"/>
    <cellStyle name="40% no 3. izcēluma 4" xfId="298" xr:uid="{71DB1057-1042-4D89-BA7B-EC2DEF3B4B3D}"/>
    <cellStyle name="40% no 3. izcēluma 5" xfId="318" xr:uid="{7511ED00-E917-4F59-AE42-43D154D728E7}"/>
    <cellStyle name="40% no 4. izcēluma" xfId="131" builtinId="43" customBuiltin="1"/>
    <cellStyle name="40% no 4. izcēluma 2" xfId="155" xr:uid="{00000000-0005-0000-0000-000013000000}"/>
    <cellStyle name="40% no 4. izcēluma 3" xfId="231" xr:uid="{4A868E76-6305-44D7-A20B-7EEE03FAFAB6}"/>
    <cellStyle name="40% no 4. izcēluma 4" xfId="301" xr:uid="{9CC6FB48-9F66-4708-85B8-85397A9B79BC}"/>
    <cellStyle name="40% no 4. izcēluma 5" xfId="321" xr:uid="{F63DC069-D7F1-4251-9284-2D3EB7C8775D}"/>
    <cellStyle name="40% no 5. izcēluma" xfId="135" builtinId="47" customBuiltin="1"/>
    <cellStyle name="40% no 5. izcēluma 2" xfId="157" xr:uid="{00000000-0005-0000-0000-000015000000}"/>
    <cellStyle name="40% no 5. izcēluma 3" xfId="234" xr:uid="{4F8CC661-C589-4E31-9949-FDD729F9FFE2}"/>
    <cellStyle name="40% no 5. izcēluma 4" xfId="304" xr:uid="{EF6D5159-2B4E-47F1-83AE-6E140D63093C}"/>
    <cellStyle name="40% no 5. izcēluma 5" xfId="324" xr:uid="{FB2F11D1-AF3F-4808-83FD-2205B0C0CCA7}"/>
    <cellStyle name="40% no 6. izcēluma" xfId="139" builtinId="51" customBuiltin="1"/>
    <cellStyle name="40% no 6. izcēluma 2" xfId="159" xr:uid="{00000000-0005-0000-0000-000017000000}"/>
    <cellStyle name="40% no 6. izcēluma 3" xfId="237" xr:uid="{21B6D52D-3270-4A1B-841E-69E38C4EE0ED}"/>
    <cellStyle name="40% no 6. izcēluma 4" xfId="307" xr:uid="{0DB94084-4E67-4794-937F-E3E1599C29CB}"/>
    <cellStyle name="40% no 6. izcēluma 5" xfId="327" xr:uid="{C17B50F9-B7EE-4B14-BF28-3E6F9F3048D3}"/>
    <cellStyle name="60% - Accent1 2" xfId="180" xr:uid="{2FF805B4-7736-476D-9441-E38DA002F17C}"/>
    <cellStyle name="60% - Accent1 3" xfId="256" xr:uid="{1D71ECB8-1786-4327-A481-1DBC41CD12F6}"/>
    <cellStyle name="60% - Accent2 2" xfId="183" xr:uid="{C36BDC48-DDDB-44C7-9E4B-3FEFC6C7EE83}"/>
    <cellStyle name="60% - Accent2 3" xfId="259" xr:uid="{1FE7452F-6B7B-4BB2-8685-1812FF4DC364}"/>
    <cellStyle name="60% - Accent3 2" xfId="186" xr:uid="{129DABD0-E58B-4402-90C0-1CDA297E49E8}"/>
    <cellStyle name="60% - Accent3 3" xfId="262" xr:uid="{08802A62-7D09-45F3-ADFC-7526242635C2}"/>
    <cellStyle name="60% - Accent4 2" xfId="189" xr:uid="{4DF1C865-0303-4E8E-8163-9614765FC054}"/>
    <cellStyle name="60% - Accent4 3" xfId="265" xr:uid="{68A38B11-F7FC-4586-93CC-9F039F4577DA}"/>
    <cellStyle name="60% - Accent5 2" xfId="192" xr:uid="{49CE04F7-7C67-4035-B478-D5A0BC67A4F9}"/>
    <cellStyle name="60% - Accent5 3" xfId="268" xr:uid="{B7B32AEA-8954-41E2-ACA2-AF1C9415F3A5}"/>
    <cellStyle name="60% - Accent6 2" xfId="195" xr:uid="{E49FFC8E-C988-475A-9C83-E9CFCB701DBF}"/>
    <cellStyle name="60% - Accent6 3" xfId="271" xr:uid="{CE0272C9-98EC-4F79-8EFD-9FFA00968D36}"/>
    <cellStyle name="60% no 1. izcēluma" xfId="120" builtinId="32" customBuiltin="1"/>
    <cellStyle name="60% no 1. izcēluma 2" xfId="223" xr:uid="{BACF85F9-4A7D-4C85-89B8-81505C9E67CC}"/>
    <cellStyle name="60% no 1. izcēluma 3" xfId="293" xr:uid="{6E6DDF74-1124-452E-8DEA-BE136C66FD35}"/>
    <cellStyle name="60% no 1. izcēluma 4" xfId="313" xr:uid="{FD9E8D96-C712-462C-8C77-1F9F40495FB6}"/>
    <cellStyle name="60% no 2. izcēluma" xfId="124" builtinId="36" customBuiltin="1"/>
    <cellStyle name="60% no 2. izcēluma 2" xfId="226" xr:uid="{E8127104-1405-4FB8-A7A8-A9AC3EFE9E68}"/>
    <cellStyle name="60% no 2. izcēluma 3" xfId="296" xr:uid="{8E8CF635-DE1E-48BD-9894-6B0ED7F30586}"/>
    <cellStyle name="60% no 2. izcēluma 4" xfId="316" xr:uid="{8C110840-DBE8-42A4-B129-6FA4AE31D5A2}"/>
    <cellStyle name="60% no 3. izcēluma" xfId="128" builtinId="40" customBuiltin="1"/>
    <cellStyle name="60% no 3. izcēluma 2" xfId="229" xr:uid="{DF56DC40-6B6E-4ECB-9EB0-25F22FE902E7}"/>
    <cellStyle name="60% no 3. izcēluma 3" xfId="299" xr:uid="{AB6F73AB-E870-4C67-BCB8-91DE26B16151}"/>
    <cellStyle name="60% no 3. izcēluma 4" xfId="319" xr:uid="{05C04937-C729-444E-A89F-DD3EBC717066}"/>
    <cellStyle name="60% no 4. izcēluma" xfId="132" builtinId="44" customBuiltin="1"/>
    <cellStyle name="60% no 4. izcēluma 2" xfId="232" xr:uid="{B21BC850-C4D2-4CC5-A843-4B748E0B26A3}"/>
    <cellStyle name="60% no 4. izcēluma 3" xfId="302" xr:uid="{BB661609-EFCF-49F1-9834-CB5B796206BC}"/>
    <cellStyle name="60% no 4. izcēluma 4" xfId="322" xr:uid="{317F5FFD-B391-49E0-B954-B8BF4F0E3CEF}"/>
    <cellStyle name="60% no 5. izcēluma" xfId="136" builtinId="48" customBuiltin="1"/>
    <cellStyle name="60% no 5. izcēluma 2" xfId="235" xr:uid="{93DD5956-1773-4ED8-803E-11AD19B3C5C4}"/>
    <cellStyle name="60% no 5. izcēluma 3" xfId="305" xr:uid="{8E15DA69-81B4-4F76-BEB8-D54236B4D5FB}"/>
    <cellStyle name="60% no 5. izcēluma 4" xfId="325" xr:uid="{0895A06E-5B5E-4177-BD65-3E77CEDF170B}"/>
    <cellStyle name="60% no 6. izcēluma" xfId="140" builtinId="52" customBuiltin="1"/>
    <cellStyle name="60% no 6. izcēluma 2" xfId="238" xr:uid="{521FF28F-DC94-43B6-BBAC-663C1ED4DF4C}"/>
    <cellStyle name="60% no 6. izcēluma 3" xfId="308" xr:uid="{74A471CA-D70E-4D05-8BB8-D0BDEEE83208}"/>
    <cellStyle name="60% no 6. izcēluma 4" xfId="328" xr:uid="{8B75D909-116E-4F22-A6F2-2861B219AE89}"/>
    <cellStyle name="Aprēķināšana" xfId="111" builtinId="22" customBuiltin="1"/>
    <cellStyle name="Brīdinājuma teksts" xfId="114" builtinId="11" customBuiltin="1"/>
    <cellStyle name="Comma 2" xfId="217" xr:uid="{A6C95BC1-19F2-4D14-8F05-F1BCAFFD66B6}"/>
    <cellStyle name="Comma 2 2" xfId="25" xr:uid="{00000000-0005-0000-0000-000020000000}"/>
    <cellStyle name="Comma 2 3" xfId="275" xr:uid="{F9D5D71F-661B-4307-A0AF-6B2ED6BF2B9D}"/>
    <cellStyle name="Comma 3" xfId="30" xr:uid="{00000000-0005-0000-0000-000021000000}"/>
    <cellStyle name="Comma 3 2" xfId="98" xr:uid="{00000000-0005-0000-0000-000022000000}"/>
    <cellStyle name="Comma 3 3" xfId="12" xr:uid="{00000000-0005-0000-0000-000023000000}"/>
    <cellStyle name="Comma 4" xfId="249" xr:uid="{AC4A0D79-086A-4C7A-AFC2-E1C60832C341}"/>
    <cellStyle name="Comma 4 2" xfId="11" xr:uid="{00000000-0005-0000-0000-000024000000}"/>
    <cellStyle name="Comma 5" xfId="8" xr:uid="{00000000-0005-0000-0000-000025000000}"/>
    <cellStyle name="Comma 6" xfId="251" xr:uid="{20C29D04-42EB-4FAE-971A-CDD78EB55D47}"/>
    <cellStyle name="Comma 6 2" xfId="15" xr:uid="{00000000-0005-0000-0000-000026000000}"/>
    <cellStyle name="Comma 7" xfId="273" xr:uid="{5DB96E3C-C4BF-462A-82BC-319C1315BCE8}"/>
    <cellStyle name="Comma 8" xfId="287" xr:uid="{9E2421F4-A937-454D-A66C-D9ADB2C1194B}"/>
    <cellStyle name="Currency 2" xfId="214" xr:uid="{A0439C78-5394-45FD-B783-E1E5BD692DBF}"/>
    <cellStyle name="Datums" xfId="209" xr:uid="{177CD88D-07C8-4806-B238-51403151868B}"/>
    <cellStyle name="Excel Built-in Comma" xfId="69" xr:uid="{00000000-0005-0000-0000-000028000000}"/>
    <cellStyle name="Excel Built-in Normal" xfId="54" xr:uid="{00000000-0005-0000-0000-000029000000}"/>
    <cellStyle name="Excel Built-in Percent" xfId="68" xr:uid="{00000000-0005-0000-0000-00002A000000}"/>
    <cellStyle name="Explanatory Text 2" xfId="207" xr:uid="{A0498B9A-D992-4E78-BF25-546CAE2BE786}"/>
    <cellStyle name="Heading 1 2" xfId="204" xr:uid="{E98B7448-A897-4EA1-9906-18A8FE0D192D}"/>
    <cellStyle name="Heading 2 2" xfId="208" xr:uid="{FF1DA6CD-3B3A-4E9F-90B0-39C524CC5C89}"/>
    <cellStyle name="Heading 3 2" xfId="211" xr:uid="{EC5204E5-D883-4752-94D0-7259464FE54C}"/>
    <cellStyle name="Heading 4 2" xfId="212" xr:uid="{5BE628C0-8046-4E7E-9D76-388CC31BADE7}"/>
    <cellStyle name="Hipersaite" xfId="173" builtinId="8"/>
    <cellStyle name="Hipersaite 2" xfId="41" xr:uid="{00000000-0005-0000-0000-00002C000000}"/>
    <cellStyle name="Hipersaite 3" xfId="91" xr:uid="{00000000-0005-0000-0000-00002D000000}"/>
    <cellStyle name="Hipersaite 4" xfId="197" xr:uid="{6744AC71-A348-4DB4-9CF9-D7854F4985EF}"/>
    <cellStyle name="Ievade" xfId="109" builtinId="20" customBuiltin="1"/>
    <cellStyle name="Izcēlums (1. veids)" xfId="117" builtinId="29" customBuiltin="1"/>
    <cellStyle name="Izcēlums (2. veids)" xfId="121" builtinId="33" customBuiltin="1"/>
    <cellStyle name="Izcēlums (3. veids)" xfId="125" builtinId="37" customBuiltin="1"/>
    <cellStyle name="Izcēlums (4. veids)" xfId="129" builtinId="41" customBuiltin="1"/>
    <cellStyle name="Izcēlums (5. veids)" xfId="133" builtinId="45" customBuiltin="1"/>
    <cellStyle name="Izcēlums (6. veids)" xfId="137" builtinId="49" customBuiltin="1"/>
    <cellStyle name="Izvade" xfId="110" builtinId="21" customBuiltin="1"/>
    <cellStyle name="Komats" xfId="1" builtinId="3"/>
    <cellStyle name="Komats 10" xfId="5" xr:uid="{00000000-0005-0000-0000-000037000000}"/>
    <cellStyle name="Komats 10 2" xfId="61" xr:uid="{00000000-0005-0000-0000-000038000000}"/>
    <cellStyle name="Komats 11" xfId="78" xr:uid="{00000000-0005-0000-0000-000039000000}"/>
    <cellStyle name="Komats 12" xfId="99" xr:uid="{00000000-0005-0000-0000-00003A000000}"/>
    <cellStyle name="Komats 13" xfId="23" xr:uid="{00000000-0005-0000-0000-00003B000000}"/>
    <cellStyle name="Komats 13 2" xfId="58" xr:uid="{00000000-0005-0000-0000-00003C000000}"/>
    <cellStyle name="Komats 14" xfId="145" xr:uid="{00000000-0005-0000-0000-00003D000000}"/>
    <cellStyle name="Komats 15" xfId="201" xr:uid="{B05EB464-085D-4EEA-BAF8-CC5AD2B4A2D0}"/>
    <cellStyle name="Komats 16" xfId="280" xr:uid="{AD548885-FD29-4088-8317-79BA9DC61C67}"/>
    <cellStyle name="Komats 18" xfId="20" xr:uid="{00000000-0005-0000-0000-00003E000000}"/>
    <cellStyle name="Komats 18 2" xfId="36" xr:uid="{00000000-0005-0000-0000-00003F000000}"/>
    <cellStyle name="Komats 2" xfId="29" xr:uid="{00000000-0005-0000-0000-000040000000}"/>
    <cellStyle name="Komats 2 2" xfId="60" xr:uid="{00000000-0005-0000-0000-000041000000}"/>
    <cellStyle name="Komats 2 3" xfId="161" xr:uid="{00000000-0005-0000-0000-000042000000}"/>
    <cellStyle name="Komats 20" xfId="19" xr:uid="{00000000-0005-0000-0000-000043000000}"/>
    <cellStyle name="Komats 20 2" xfId="50" xr:uid="{00000000-0005-0000-0000-000044000000}"/>
    <cellStyle name="Komats 20 3" xfId="57" xr:uid="{00000000-0005-0000-0000-000045000000}"/>
    <cellStyle name="Komats 20 4" xfId="81" xr:uid="{00000000-0005-0000-0000-000046000000}"/>
    <cellStyle name="Komats 20 5" xfId="282" xr:uid="{21700D0F-48A2-4293-89BF-0015CF265070}"/>
    <cellStyle name="Komats 3" xfId="49" xr:uid="{00000000-0005-0000-0000-000047000000}"/>
    <cellStyle name="Komats 3 2" xfId="63" xr:uid="{00000000-0005-0000-0000-000048000000}"/>
    <cellStyle name="Komats 3 3" xfId="87" xr:uid="{00000000-0005-0000-0000-000049000000}"/>
    <cellStyle name="Komats 3 4" xfId="165" xr:uid="{00000000-0005-0000-0000-00004A000000}"/>
    <cellStyle name="Komats 4" xfId="24" xr:uid="{00000000-0005-0000-0000-00004B000000}"/>
    <cellStyle name="Komats 4 2" xfId="39" xr:uid="{00000000-0005-0000-0000-00004C000000}"/>
    <cellStyle name="Komats 4 3" xfId="59" xr:uid="{00000000-0005-0000-0000-00004D000000}"/>
    <cellStyle name="Komats 5" xfId="67" xr:uid="{00000000-0005-0000-0000-00004E000000}"/>
    <cellStyle name="Komats 6" xfId="22" xr:uid="{00000000-0005-0000-0000-00004F000000}"/>
    <cellStyle name="Komats 6 8" xfId="283" xr:uid="{F7F561BB-1E2E-47B6-9A20-08EA282A36E1}"/>
    <cellStyle name="Komats 7" xfId="72" xr:uid="{00000000-0005-0000-0000-000050000000}"/>
    <cellStyle name="Komats 7 2" xfId="144" xr:uid="{00000000-0005-0000-0000-000051000000}"/>
    <cellStyle name="Komats 8" xfId="75" xr:uid="{00000000-0005-0000-0000-000052000000}"/>
    <cellStyle name="Komats 9" xfId="17" xr:uid="{00000000-0005-0000-0000-000053000000}"/>
    <cellStyle name="Komentāri" xfId="213" xr:uid="{01923C97-C140-46F8-BB35-E6786FEC1363}"/>
    <cellStyle name="Kopsumma" xfId="116" builtinId="25" customBuiltin="1"/>
    <cellStyle name="Labs" xfId="106" builtinId="26" customBuiltin="1"/>
    <cellStyle name="Labs 2" xfId="27" xr:uid="{00000000-0005-0000-0000-000056000000}"/>
    <cellStyle name="Neitrāls" xfId="108" builtinId="28" customBuiltin="1"/>
    <cellStyle name="Neitrāls 2" xfId="219" xr:uid="{E6A96BF4-61AC-4D2C-811D-29F06C7D1AE5}"/>
    <cellStyle name="Neutral 2" xfId="176" xr:uid="{3B14C34B-77DA-4AF7-A04A-380F8ABDA04A}"/>
    <cellStyle name="Normal 10" xfId="18" xr:uid="{00000000-0005-0000-0000-000058000000}"/>
    <cellStyle name="Normal 11" xfId="245" xr:uid="{5575246C-A952-4A15-BADA-9F19CD9E65C6}"/>
    <cellStyle name="Normal 12" xfId="248" xr:uid="{1D4F9D85-0A78-43F9-9239-E886866C899F}"/>
    <cellStyle name="Normal 13" xfId="250" xr:uid="{70DA57D8-BE06-4782-A262-EFEB9F93E445}"/>
    <cellStyle name="Normal 14" xfId="252" xr:uid="{665D8E63-7A1E-4286-B974-6D3B17E8B04A}"/>
    <cellStyle name="Normal 15" xfId="286" xr:uid="{FBEC95EE-F34F-4BDD-AB8C-AB89C986C816}"/>
    <cellStyle name="Normal 2" xfId="42" xr:uid="{00000000-0005-0000-0000-000059000000}"/>
    <cellStyle name="Normal 2 2" xfId="7" xr:uid="{00000000-0005-0000-0000-00005A000000}"/>
    <cellStyle name="Normal 2 2 2" xfId="52" xr:uid="{00000000-0005-0000-0000-00005B000000}"/>
    <cellStyle name="Normal 2 2 2 2" xfId="16" xr:uid="{00000000-0005-0000-0000-00005C000000}"/>
    <cellStyle name="Normal 2 3" xfId="64" xr:uid="{00000000-0005-0000-0000-00005D000000}"/>
    <cellStyle name="Normal 2 4" xfId="167" xr:uid="{00000000-0005-0000-0000-00005E000000}"/>
    <cellStyle name="Normal 2 5" xfId="274" xr:uid="{700C907F-C361-4212-BDF9-43011535042A}"/>
    <cellStyle name="Normal 21" xfId="284" xr:uid="{E16B377A-0FBF-4AA2-95CB-A54E7CAC446C}"/>
    <cellStyle name="Normal 3" xfId="51" xr:uid="{00000000-0005-0000-0000-00005F000000}"/>
    <cellStyle name="Normal 3 2" xfId="45" xr:uid="{00000000-0005-0000-0000-000060000000}"/>
    <cellStyle name="Normal 3 3" xfId="37" xr:uid="{00000000-0005-0000-0000-000061000000}"/>
    <cellStyle name="Normal 3 4" xfId="162" xr:uid="{00000000-0005-0000-0000-000062000000}"/>
    <cellStyle name="Normal 4" xfId="10" xr:uid="{00000000-0005-0000-0000-000063000000}"/>
    <cellStyle name="Normal 4 2" xfId="47" xr:uid="{00000000-0005-0000-0000-000064000000}"/>
    <cellStyle name="Normal 4 3" xfId="168" xr:uid="{00000000-0005-0000-0000-000065000000}"/>
    <cellStyle name="Normal 4 3 2" xfId="199" xr:uid="{7941E8FE-1001-4537-B72B-74FF7E985732}"/>
    <cellStyle name="Normal 4 3 2 2" xfId="241" xr:uid="{07A6D629-704A-4AD3-960C-E38FF4D2C387}"/>
    <cellStyle name="Normal 4 3 3" xfId="203" xr:uid="{1EEB7F85-9DF1-4FF9-BB7F-7A0A3BDFEC8F}"/>
    <cellStyle name="Normal 4 3 4" xfId="240" xr:uid="{23EF9E90-9BAF-472E-B63C-4831EE5CD3B5}"/>
    <cellStyle name="Normal 5" xfId="38" xr:uid="{00000000-0005-0000-0000-000066000000}"/>
    <cellStyle name="Normal 5 2" xfId="46" xr:uid="{00000000-0005-0000-0000-000067000000}"/>
    <cellStyle name="Normal 6" xfId="70" xr:uid="{00000000-0005-0000-0000-000068000000}"/>
    <cellStyle name="Normal 6 2" xfId="97" xr:uid="{00000000-0005-0000-0000-000069000000}"/>
    <cellStyle name="Normal 7" xfId="175" xr:uid="{91F72C39-2101-4206-AB1D-117A4479389E}"/>
    <cellStyle name="Normal 7 2" xfId="216" xr:uid="{B39A0216-0C63-4619-93B3-621879552DDB}"/>
    <cellStyle name="Normal 8" xfId="206" xr:uid="{06CF81E4-4CEE-4FB3-98A1-BFD93CCD82A7}"/>
    <cellStyle name="Normal 9" xfId="243" xr:uid="{E2B71D29-652D-40F2-B8AC-0C8EC8E6795B}"/>
    <cellStyle name="Normal 9 2" xfId="278" xr:uid="{AF77981C-2D49-4006-BAE6-6578AC2E2B9B}"/>
    <cellStyle name="Nosaukums" xfId="101" builtinId="15" customBuiltin="1"/>
    <cellStyle name="Note 2" xfId="177" xr:uid="{AA97006D-4E69-4CC6-8481-354EBBA19CC9}"/>
    <cellStyle name="Note 3" xfId="215" xr:uid="{C0D84A79-D75B-4349-B990-6E2C649B60A1}"/>
    <cellStyle name="Note 4" xfId="253" xr:uid="{AF2C6C55-2CA7-4924-A4AC-240F6A75F761}"/>
    <cellStyle name="Parastais_Lapa2" xfId="40" xr:uid="{00000000-0005-0000-0000-00006D000000}"/>
    <cellStyle name="Parasts" xfId="0" builtinId="0"/>
    <cellStyle name="Parasts 10" xfId="74" xr:uid="{00000000-0005-0000-0000-00006F000000}"/>
    <cellStyle name="Parasts 11" xfId="76" xr:uid="{00000000-0005-0000-0000-000070000000}"/>
    <cellStyle name="Parasts 12" xfId="77" xr:uid="{00000000-0005-0000-0000-000071000000}"/>
    <cellStyle name="Parasts 13" xfId="82" xr:uid="{00000000-0005-0000-0000-000072000000}"/>
    <cellStyle name="Parasts 14" xfId="84" xr:uid="{00000000-0005-0000-0000-000073000000}"/>
    <cellStyle name="Parasts 15" xfId="90" xr:uid="{00000000-0005-0000-0000-000074000000}"/>
    <cellStyle name="Parasts 15 2" xfId="94" xr:uid="{00000000-0005-0000-0000-000075000000}"/>
    <cellStyle name="Parasts 16" xfId="92" xr:uid="{00000000-0005-0000-0000-000076000000}"/>
    <cellStyle name="Parasts 17" xfId="96" xr:uid="{00000000-0005-0000-0000-000077000000}"/>
    <cellStyle name="Parasts 18" xfId="141" xr:uid="{00000000-0005-0000-0000-000078000000}"/>
    <cellStyle name="Parasts 19" xfId="146" xr:uid="{00000000-0005-0000-0000-000079000000}"/>
    <cellStyle name="Parasts 2" xfId="28" xr:uid="{00000000-0005-0000-0000-00007A000000}"/>
    <cellStyle name="Parasts 2 2" xfId="3" xr:uid="{00000000-0005-0000-0000-00007B000000}"/>
    <cellStyle name="Parasts 2 2 2" xfId="13" xr:uid="{00000000-0005-0000-0000-00007C000000}"/>
    <cellStyle name="Parasts 2 2 2 2" xfId="65" xr:uid="{00000000-0005-0000-0000-00007D000000}"/>
    <cellStyle name="Parasts 2 2 2 2 2 2" xfId="246" xr:uid="{AC96DA57-6BDC-46BB-80C2-D97C9371E98E}"/>
    <cellStyle name="Parasts 2 2 3" xfId="32" xr:uid="{00000000-0005-0000-0000-00007E000000}"/>
    <cellStyle name="Parasts 2 2 4" xfId="35" xr:uid="{00000000-0005-0000-0000-00007F000000}"/>
    <cellStyle name="Parasts 2 2 5" xfId="43" xr:uid="{00000000-0005-0000-0000-000080000000}"/>
    <cellStyle name="Parasts 2 2 5 2" xfId="83" xr:uid="{00000000-0005-0000-0000-000081000000}"/>
    <cellStyle name="Parasts 2 2 5 3" xfId="89" xr:uid="{00000000-0005-0000-0000-000082000000}"/>
    <cellStyle name="Parasts 2 2 5 4" xfId="93" xr:uid="{00000000-0005-0000-0000-000083000000}"/>
    <cellStyle name="Parasts 2 2 5 5" xfId="174" xr:uid="{00000000-0005-0000-0000-000084000000}"/>
    <cellStyle name="Parasts 2 2 5 6" xfId="288" xr:uid="{72083EC4-2096-484B-8A5A-06F2502D7264}"/>
    <cellStyle name="Parasts 2 3" xfId="86" xr:uid="{00000000-0005-0000-0000-000085000000}"/>
    <cellStyle name="Parasts 2 4" xfId="170" xr:uid="{00000000-0005-0000-0000-000086000000}"/>
    <cellStyle name="Parasts 2 5" xfId="272" xr:uid="{864894B5-703B-41B0-A3F8-C8987EA1DFC8}"/>
    <cellStyle name="Parasts 20" xfId="166" xr:uid="{00000000-0005-0000-0000-000087000000}"/>
    <cellStyle name="Parasts 20 2" xfId="198" xr:uid="{75C7A2B3-6BCE-4112-A10A-55E82BAF20CE}"/>
    <cellStyle name="Parasts 20 3" xfId="202" xr:uid="{9577B0DB-EFB8-4226-AE75-FBD61AB104D3}"/>
    <cellStyle name="Parasts 20 4" xfId="239" xr:uid="{96EF8392-9C93-4913-B028-411468475788}"/>
    <cellStyle name="Parasts 21" xfId="172" xr:uid="{00000000-0005-0000-0000-000088000000}"/>
    <cellStyle name="Parasts 22" xfId="196" xr:uid="{838BED57-F8F7-4C64-A2D0-8B3E18F8B431}"/>
    <cellStyle name="Parasts 23" xfId="200" xr:uid="{A9EB4556-2728-4537-8824-E4B437D8C3EC}"/>
    <cellStyle name="Parasts 24" xfId="218" xr:uid="{B555F44A-3B4B-4C67-8753-6B33B9A32A6D}"/>
    <cellStyle name="Parasts 24 2" xfId="244" xr:uid="{C7F7D1DA-786D-40A6-8C6D-C94B002410C9}"/>
    <cellStyle name="Parasts 25" xfId="276" xr:uid="{712D909E-56D4-480F-9F0D-78B5687D6CA8}"/>
    <cellStyle name="Parasts 26" xfId="277" xr:uid="{459ACD10-50EE-4118-A1A5-79E12FA62099}"/>
    <cellStyle name="Parasts 27" xfId="279" xr:uid="{057DAC5B-D145-47A3-9416-66C3E75968A3}"/>
    <cellStyle name="Parasts 28" xfId="289" xr:uid="{EB6D980D-751B-4277-8703-96E68C00C4B4}"/>
    <cellStyle name="Parasts 29" xfId="309" xr:uid="{D1DFF283-1E67-414F-8602-5219B11AF00C}"/>
    <cellStyle name="Parasts 3" xfId="33" xr:uid="{00000000-0005-0000-0000-000089000000}"/>
    <cellStyle name="Parasts 3 2" xfId="44" xr:uid="{00000000-0005-0000-0000-00008A000000}"/>
    <cellStyle name="Parasts 3 3" xfId="88" xr:uid="{00000000-0005-0000-0000-00008B000000}"/>
    <cellStyle name="Parasts 3 4" xfId="160" xr:uid="{00000000-0005-0000-0000-00008C000000}"/>
    <cellStyle name="Parasts 3 4 2" xfId="247" xr:uid="{AF31DD25-E13D-4B36-B8CB-BC7F8C6466B8}"/>
    <cellStyle name="Parasts 3 5" xfId="163" xr:uid="{00000000-0005-0000-0000-00008D000000}"/>
    <cellStyle name="Parasts 4" xfId="48" xr:uid="{00000000-0005-0000-0000-00008E000000}"/>
    <cellStyle name="Parasts 4 2" xfId="62" xr:uid="{00000000-0005-0000-0000-00008F000000}"/>
    <cellStyle name="Parasts 4 3" xfId="100" xr:uid="{00000000-0005-0000-0000-000090000000}"/>
    <cellStyle name="Parasts 4 4" xfId="164" xr:uid="{00000000-0005-0000-0000-000091000000}"/>
    <cellStyle name="Parasts 5" xfId="53" xr:uid="{00000000-0005-0000-0000-000092000000}"/>
    <cellStyle name="Parasts 6" xfId="55" xr:uid="{00000000-0005-0000-0000-000093000000}"/>
    <cellStyle name="Parasts 7" xfId="26" xr:uid="{00000000-0005-0000-0000-000094000000}"/>
    <cellStyle name="Parasts 8" xfId="66" xr:uid="{00000000-0005-0000-0000-000095000000}"/>
    <cellStyle name="Parasts 9" xfId="71" xr:uid="{00000000-0005-0000-0000-000096000000}"/>
    <cellStyle name="Parasts 9 2" xfId="143" xr:uid="{00000000-0005-0000-0000-000097000000}"/>
    <cellStyle name="Paskaidrojošs teksts" xfId="115" builtinId="53" customBuiltin="1"/>
    <cellStyle name="Pārbaudes šūna" xfId="113" builtinId="23" customBuiltin="1"/>
    <cellStyle name="Percent 3 2" xfId="14" xr:uid="{00000000-0005-0000-0000-00009A000000}"/>
    <cellStyle name="Percent 4" xfId="9" xr:uid="{00000000-0005-0000-0000-00009B000000}"/>
    <cellStyle name="Piezīme 2" xfId="142" xr:uid="{00000000-0005-0000-0000-00009C000000}"/>
    <cellStyle name="Piezīme 3" xfId="147" xr:uid="{00000000-0005-0000-0000-00009D000000}"/>
    <cellStyle name="Piezīme 4" xfId="220" xr:uid="{31E00C30-DE24-4229-8B20-70128355722C}"/>
    <cellStyle name="Piezīme 5" xfId="290" xr:uid="{A9357EED-5A9A-43AB-B805-A978E58DCAD5}"/>
    <cellStyle name="Piezīme 6" xfId="310" xr:uid="{DCE696D9-8CA8-49F6-A174-CE21697177D7}"/>
    <cellStyle name="Procenti" xfId="2" builtinId="5"/>
    <cellStyle name="Procenti 2" xfId="31" xr:uid="{00000000-0005-0000-0000-00009F000000}"/>
    <cellStyle name="Procenti 2 2" xfId="95" xr:uid="{00000000-0005-0000-0000-0000A0000000}"/>
    <cellStyle name="Procenti 2 3" xfId="4" xr:uid="{00000000-0005-0000-0000-0000A1000000}"/>
    <cellStyle name="Procenti 2 4" xfId="171" xr:uid="{00000000-0005-0000-0000-0000A2000000}"/>
    <cellStyle name="Procenti 3" xfId="34" xr:uid="{00000000-0005-0000-0000-0000A3000000}"/>
    <cellStyle name="Procenti 4" xfId="56" xr:uid="{00000000-0005-0000-0000-0000A4000000}"/>
    <cellStyle name="Procenti 5" xfId="6" xr:uid="{00000000-0005-0000-0000-0000A5000000}"/>
    <cellStyle name="Procenti 6" xfId="73" xr:uid="{00000000-0005-0000-0000-0000A6000000}"/>
    <cellStyle name="Procenti 7" xfId="80" xr:uid="{00000000-0005-0000-0000-0000A7000000}"/>
    <cellStyle name="Procenti 8" xfId="281" xr:uid="{5D3D1976-3ACA-44D4-ABC5-B370AC9251A5}"/>
    <cellStyle name="Saistīta šūna" xfId="112" builtinId="24" customBuiltin="1"/>
    <cellStyle name="Slikts" xfId="107" builtinId="27" customBuiltin="1"/>
    <cellStyle name="Style 1" xfId="169" xr:uid="{00000000-0005-0000-0000-0000AA000000}"/>
    <cellStyle name="TableStyleLight1" xfId="285" xr:uid="{564DE8A6-361E-4F9C-9BA7-769CB6522B45}"/>
    <cellStyle name="Tālruņa numurs" xfId="210" xr:uid="{B8C2BBA4-491B-4C8E-967C-8909EA0A9A6D}"/>
    <cellStyle name="Title 2" xfId="205" xr:uid="{F7EDA3B8-B2E2-476D-9C0C-F20AEF5341CE}"/>
    <cellStyle name="Valūta 2" xfId="21" xr:uid="{00000000-0005-0000-0000-0000AC000000}"/>
    <cellStyle name="Valūta 3" xfId="79" xr:uid="{00000000-0005-0000-0000-0000AD000000}"/>
    <cellStyle name="Valūta 4" xfId="242" xr:uid="{E97C5B63-0097-415C-A38C-0E0328028B59}"/>
    <cellStyle name="Virsraksts 1" xfId="102" builtinId="16" customBuiltin="1"/>
    <cellStyle name="Virsraksts 2" xfId="103" builtinId="17" customBuiltin="1"/>
    <cellStyle name="Virsraksts 2 2" xfId="85" xr:uid="{00000000-0005-0000-0000-0000B0000000}"/>
    <cellStyle name="Virsraksts 3" xfId="104" builtinId="18" customBuiltin="1"/>
    <cellStyle name="Virsraksts 4" xfId="105" builtinId="19" customBuiltin="1"/>
  </cellStyles>
  <dxfs count="14">
    <dxf>
      <font>
        <color theme="0"/>
      </font>
    </dxf>
    <dxf>
      <font>
        <color theme="0"/>
      </font>
      <fill>
        <patternFill>
          <bgColor theme="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i val="0"/>
      </font>
      <fill>
        <patternFill>
          <bgColor theme="0" tint="-4.9989318521683403E-2"/>
        </patternFill>
      </fill>
      <border>
        <left style="thin">
          <color auto="1"/>
        </left>
        <right style="thin">
          <color auto="1"/>
        </right>
        <top style="thin">
          <color auto="1"/>
        </top>
        <bottom style="thin">
          <color auto="1"/>
        </bottom>
      </border>
    </dxf>
    <dxf>
      <border>
        <left style="thin">
          <color auto="1"/>
        </left>
      </border>
    </dxf>
    <dxf>
      <font>
        <b val="0"/>
        <i val="0"/>
        <color theme="1"/>
      </font>
      <border diagonalUp="0" diagonalDown="0">
        <left/>
        <right/>
        <top style="thin">
          <color auto="1"/>
        </top>
        <bottom/>
        <vertical/>
        <horizontal/>
      </border>
    </dxf>
    <dxf>
      <font>
        <b/>
        <i val="0"/>
        <color auto="1"/>
      </font>
      <fill>
        <patternFill patternType="solid">
          <fgColor theme="1"/>
          <bgColor theme="0" tint="-4.9989318521683403E-2"/>
        </patternFill>
      </fill>
      <border>
        <left style="thin">
          <color auto="1"/>
        </left>
        <right style="thin">
          <color auto="1"/>
        </right>
        <top style="thin">
          <color auto="1"/>
        </top>
        <bottom style="thin">
          <color auto="1"/>
        </bottom>
      </border>
    </dxf>
    <dxf>
      <font>
        <color theme="1"/>
      </font>
      <border>
        <left style="thin">
          <color theme="1"/>
        </left>
        <right style="thin">
          <color theme="1"/>
        </right>
        <top style="thin">
          <color theme="1"/>
        </top>
        <bottom style="thin">
          <color theme="1"/>
        </bottom>
        <horizontal style="thin">
          <color theme="1"/>
        </horizontal>
      </border>
    </dxf>
  </dxfs>
  <tableStyles count="1" defaultTableStyle="TableStyleMedium2" defaultPivotStyle="PivotStyleLight16">
    <tableStyle name="Cenas piedāvājums bez nodokļiem" pivot="0" count="5" xr9:uid="{871887C5-7C14-480F-844A-DDBD2B7AF061}">
      <tableStyleElement type="wholeTable" dxfId="13"/>
      <tableStyleElement type="headerRow" dxfId="12"/>
      <tableStyleElement type="totalRow" dxfId="11"/>
      <tableStyleElement type="lastColumn" dxfId="10"/>
      <tableStyleElement type="lastTotalCell" dxfId="9"/>
    </tableStyle>
  </tableStyles>
  <colors>
    <mruColors>
      <color rgb="FFFFFFCC"/>
      <color rgb="FFFFCC66"/>
      <color rgb="FFFFFF99"/>
      <color rgb="FF8E267F"/>
      <color rgb="FFFF8B8B"/>
      <color rgb="FF6CA644"/>
      <color rgb="FF0FA8C1"/>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24168085369041"/>
          <c:y val="1.6773046374831801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251663631605779"/>
          <c:y val="0.1721415648019772"/>
          <c:w val="0.63943464094030245"/>
          <c:h val="0.79066176459061488"/>
        </c:manualLayout>
      </c:layout>
      <c:barChart>
        <c:barDir val="bar"/>
        <c:grouping val="clustered"/>
        <c:varyColors val="0"/>
        <c:ser>
          <c:idx val="0"/>
          <c:order val="0"/>
          <c:tx>
            <c:strRef>
              <c:f>Grafiki_budžeta_izpilde!$D$5</c:f>
              <c:strCache>
                <c:ptCount val="1"/>
                <c:pt idx="0">
                  <c:v>Ieņēmumu izpilde, %, 2025.gads</c:v>
                </c:pt>
              </c:strCache>
            </c:strRef>
          </c:tx>
          <c:spPr>
            <a:solidFill>
              <a:schemeClr val="accent6"/>
            </a:solidFill>
            <a:ln>
              <a:noFill/>
            </a:ln>
            <a:effectLst>
              <a:outerShdw blurRad="57150" dist="19050" dir="5400000" algn="ctr" rotWithShape="0">
                <a:srgbClr val="000000">
                  <a:alpha val="63000"/>
                </a:srgbClr>
              </a:outerShdw>
            </a:effectLst>
          </c:spPr>
          <c:invertIfNegative val="0"/>
          <c:dPt>
            <c:idx val="0"/>
            <c:invertIfNegative val="0"/>
            <c:bubble3D val="0"/>
            <c:spPr>
              <a:solidFill>
                <a:srgbClr val="4D7731"/>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80BE-44CF-BB37-ECA97D4B58CE}"/>
              </c:ext>
            </c:extLst>
          </c:dPt>
          <c:dPt>
            <c:idx val="2"/>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8-E58B-4CEC-8F82-F1B409F87F58}"/>
              </c:ext>
            </c:extLst>
          </c:dPt>
          <c:dPt>
            <c:idx val="3"/>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E58B-4CEC-8F82-F1B409F87F58}"/>
              </c:ext>
            </c:extLst>
          </c:dPt>
          <c:dPt>
            <c:idx val="4"/>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A-E58B-4CEC-8F82-F1B409F87F58}"/>
              </c:ext>
            </c:extLst>
          </c:dPt>
          <c:dPt>
            <c:idx val="10"/>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E58B-4CEC-8F82-F1B409F87F58}"/>
              </c:ext>
            </c:extLst>
          </c:dPt>
          <c:dPt>
            <c:idx val="11"/>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C-E58B-4CEC-8F82-F1B409F87F58}"/>
              </c:ext>
            </c:extLst>
          </c:dPt>
          <c:dPt>
            <c:idx val="15"/>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5295-4FC9-9B8A-67C7A571446E}"/>
              </c:ext>
            </c:extLst>
          </c:dPt>
          <c:dPt>
            <c:idx val="16"/>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5295-4FC9-9B8A-67C7A571446E}"/>
              </c:ext>
            </c:extLst>
          </c:dPt>
          <c:dPt>
            <c:idx val="17"/>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1-5395-4F8C-9367-38E419AC522F}"/>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Grafiki_budžeta_izpilde!$A$6:$A$23</c:f>
              <c:strCache>
                <c:ptCount val="18"/>
                <c:pt idx="0">
                  <c:v>IEŅĒMUMI kopā</c:v>
                </c:pt>
                <c:pt idx="1">
                  <c:v>1. Nodokļu ieņēmumi</c:v>
                </c:pt>
                <c:pt idx="2">
                  <c:v>1.1. Iedzīvotāju ienākuma nodoklis</c:v>
                </c:pt>
                <c:pt idx="3">
                  <c:v>1.2. Nekustamā īpašuma nodokļu ieņēmumi</c:v>
                </c:pt>
                <c:pt idx="4">
                  <c:v>1.3. Dabas resursu nodoklis un azartspēļu nodoklis</c:v>
                </c:pt>
                <c:pt idx="5">
                  <c:v>2. Valsts (pašvaldību) un kancelejas nodevas</c:v>
                </c:pt>
                <c:pt idx="6">
                  <c:v>3. Naudas sodi un sankcijas</c:v>
                </c:pt>
                <c:pt idx="7">
                  <c:v>4. Pārējie nenodokļu ieņēmumi</c:v>
                </c:pt>
                <c:pt idx="8">
                  <c:v>5. Ieņēmumi no pašvaldības īpašuma pārdošanas</c:v>
                </c:pt>
                <c:pt idx="9">
                  <c:v>6. Valsts budžeta transferti un projektu finansējums</c:v>
                </c:pt>
                <c:pt idx="10">
                  <c:v>6.1. Valsts budžeta transferti</c:v>
                </c:pt>
                <c:pt idx="11">
                  <c:v>6.2. ES struktūrfondu līdzekļi un aktivitāšu līdzfin.</c:v>
                </c:pt>
                <c:pt idx="12">
                  <c:v>6.3. IIN budžeta dotācija</c:v>
                </c:pt>
                <c:pt idx="13">
                  <c:v>7. Pašvaldību budžeta transferti</c:v>
                </c:pt>
                <c:pt idx="14">
                  <c:v>8. Budžeta iestāžu ieņēmumi</c:v>
                </c:pt>
                <c:pt idx="15">
                  <c:v>8.1. Maksa par izglītības pakalpojumiem u.c. ieņēmumi</c:v>
                </c:pt>
                <c:pt idx="16">
                  <c:v>8.2. Ieņēmumi par nomu un īri</c:v>
                </c:pt>
                <c:pt idx="17">
                  <c:v>8.3. Pārrobežu projektu ieņēmumi</c:v>
                </c:pt>
              </c:strCache>
            </c:strRef>
          </c:cat>
          <c:val>
            <c:numRef>
              <c:f>Grafiki_budžeta_izpilde!$D$6:$D$23</c:f>
              <c:numCache>
                <c:formatCode>0%</c:formatCode>
                <c:ptCount val="18"/>
                <c:pt idx="0">
                  <c:v>0.9550650516704694</c:v>
                </c:pt>
                <c:pt idx="1">
                  <c:v>1.0162781547969455</c:v>
                </c:pt>
                <c:pt idx="2">
                  <c:v>1.0118349028781233</c:v>
                </c:pt>
                <c:pt idx="3">
                  <c:v>1.0584716753753884</c:v>
                </c:pt>
                <c:pt idx="4">
                  <c:v>1.3900618947368422</c:v>
                </c:pt>
                <c:pt idx="5">
                  <c:v>1.1375669165625435</c:v>
                </c:pt>
                <c:pt idx="6">
                  <c:v>1.2573304615384617</c:v>
                </c:pt>
                <c:pt idx="7">
                  <c:v>1.3840438871473355</c:v>
                </c:pt>
                <c:pt idx="8">
                  <c:v>2.2549131706827059</c:v>
                </c:pt>
                <c:pt idx="9">
                  <c:v>0.80518740610278516</c:v>
                </c:pt>
                <c:pt idx="10">
                  <c:v>1.0652177976900585</c:v>
                </c:pt>
                <c:pt idx="11">
                  <c:v>0.4412715569732536</c:v>
                </c:pt>
                <c:pt idx="12">
                  <c:v>1</c:v>
                </c:pt>
                <c:pt idx="13">
                  <c:v>1.0164919714285714</c:v>
                </c:pt>
                <c:pt idx="14">
                  <c:v>0.99847661915704333</c:v>
                </c:pt>
                <c:pt idx="15">
                  <c:v>0.86938508452073104</c:v>
                </c:pt>
                <c:pt idx="16">
                  <c:v>1.1197673075187291</c:v>
                </c:pt>
                <c:pt idx="17">
                  <c:v>1.0994169738445949</c:v>
                </c:pt>
              </c:numCache>
            </c:numRef>
          </c:val>
          <c:extLst>
            <c:ext xmlns:c16="http://schemas.microsoft.com/office/drawing/2014/chart" uri="{C3380CC4-5D6E-409C-BE32-E72D297353CC}">
              <c16:uniqueId val="{0000000C-80BE-44CF-BB37-ECA97D4B58CE}"/>
            </c:ext>
          </c:extLst>
        </c:ser>
        <c:dLbls>
          <c:dLblPos val="inEnd"/>
          <c:showLegendKey val="0"/>
          <c:showVal val="1"/>
          <c:showCatName val="0"/>
          <c:showSerName val="0"/>
          <c:showPercent val="0"/>
          <c:showBubbleSize val="0"/>
        </c:dLbls>
        <c:gapWidth val="87"/>
        <c:axId val="164840928"/>
        <c:axId val="164829888"/>
      </c:barChart>
      <c:catAx>
        <c:axId val="164840928"/>
        <c:scaling>
          <c:orientation val="maxMin"/>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b"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829888"/>
        <c:crosses val="autoZero"/>
        <c:auto val="1"/>
        <c:lblAlgn val="ctr"/>
        <c:lblOffset val="100"/>
        <c:noMultiLvlLbl val="0"/>
      </c:catAx>
      <c:valAx>
        <c:axId val="164829888"/>
        <c:scaling>
          <c:orientation val="minMax"/>
          <c:max val="1.6"/>
          <c:min val="0"/>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840928"/>
        <c:crosses val="autoZero"/>
        <c:crossBetween val="between"/>
        <c:majorUnit val="0.1"/>
        <c:min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251663631605779"/>
          <c:y val="0.13883188328223783"/>
          <c:w val="0.63943464094030245"/>
          <c:h val="0.82397161312193878"/>
        </c:manualLayout>
      </c:layout>
      <c:barChart>
        <c:barDir val="bar"/>
        <c:grouping val="clustered"/>
        <c:varyColors val="0"/>
        <c:ser>
          <c:idx val="0"/>
          <c:order val="0"/>
          <c:tx>
            <c:strRef>
              <c:f>Grafiki_budžeta_izpilde!$D$54</c:f>
              <c:strCache>
                <c:ptCount val="1"/>
                <c:pt idx="0">
                  <c:v>Izdevumu izpilde, %, 2025.gads</c:v>
                </c:pt>
              </c:strCache>
            </c:strRef>
          </c:tx>
          <c:spPr>
            <a:solidFill>
              <a:schemeClr val="accent1">
                <a:lumMod val="75000"/>
              </a:schemeClr>
            </a:solidFill>
            <a:ln>
              <a:noFill/>
            </a:ln>
            <a:effectLst>
              <a:outerShdw blurRad="57150" dist="19050" dir="5400000" algn="ctr" rotWithShape="0">
                <a:srgbClr val="000000">
                  <a:alpha val="63000"/>
                </a:srgbClr>
              </a:outerShdw>
            </a:effectLst>
          </c:spPr>
          <c:invertIfNegative val="0"/>
          <c:dPt>
            <c:idx val="0"/>
            <c:invertIfNegative val="0"/>
            <c:bubble3D val="0"/>
            <c:spPr>
              <a:solidFill>
                <a:schemeClr val="accent1">
                  <a:lumMod val="5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B172-4793-95F1-0F2B152A96E2}"/>
              </c:ext>
            </c:extLst>
          </c:dPt>
          <c:dPt>
            <c:idx val="2"/>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A-96FB-4AF0-9D0D-BC9C21817BA5}"/>
              </c:ext>
            </c:extLst>
          </c:dPt>
          <c:dPt>
            <c:idx val="3"/>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B-96FB-4AF0-9D0D-BC9C21817BA5}"/>
              </c:ext>
            </c:extLst>
          </c:dPt>
          <c:dPt>
            <c:idx val="4"/>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C-96FB-4AF0-9D0D-BC9C21817BA5}"/>
              </c:ext>
            </c:extLst>
          </c:dPt>
          <c:dPt>
            <c:idx val="10"/>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0-96FB-4AF0-9D0D-BC9C21817BA5}"/>
              </c:ext>
            </c:extLst>
          </c:dPt>
          <c:dPt>
            <c:idx val="11"/>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54A2-49C4-9107-D032EFAA6039}"/>
              </c:ext>
            </c:extLst>
          </c:dPt>
          <c:dPt>
            <c:idx val="13"/>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8-E1C7-4C8C-9093-0D1697AC3B96}"/>
              </c:ext>
            </c:extLst>
          </c:dPt>
          <c:dPt>
            <c:idx val="17"/>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0-0032-4F42-BAE8-9E7DBA7C367A}"/>
              </c:ext>
            </c:extLst>
          </c:dPt>
          <c:dPt>
            <c:idx val="18"/>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1-0032-4F42-BAE8-9E7DBA7C367A}"/>
              </c:ext>
            </c:extLst>
          </c:dPt>
          <c:dPt>
            <c:idx val="19"/>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2-0032-4F42-BAE8-9E7DBA7C367A}"/>
              </c:ext>
            </c:extLst>
          </c:dPt>
          <c:dPt>
            <c:idx val="20"/>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3-0032-4F42-BAE8-9E7DBA7C367A}"/>
              </c:ext>
            </c:extLst>
          </c:dPt>
          <c:dPt>
            <c:idx val="21"/>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4-0032-4F42-BAE8-9E7DBA7C367A}"/>
              </c:ext>
            </c:extLst>
          </c:dPt>
          <c:dPt>
            <c:idx val="22"/>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5-1C50-496A-AC12-B5A391D1F2A9}"/>
              </c:ext>
            </c:extLst>
          </c:dPt>
          <c:dPt>
            <c:idx val="23"/>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7-1C50-496A-AC12-B5A391D1F2A9}"/>
              </c:ext>
            </c:extLst>
          </c:dPt>
          <c:dPt>
            <c:idx val="24"/>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9-1C50-496A-AC12-B5A391D1F2A9}"/>
              </c:ext>
            </c:extLst>
          </c:dPt>
          <c:dPt>
            <c:idx val="25"/>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1-54A2-49C4-9107-D032EFAA6039}"/>
              </c:ext>
            </c:extLst>
          </c:dPt>
          <c:dPt>
            <c:idx val="26"/>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3-54A2-49C4-9107-D032EFAA6039}"/>
              </c:ext>
            </c:extLst>
          </c:dPt>
          <c:dPt>
            <c:idx val="27"/>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5-54A2-49C4-9107-D032EFAA6039}"/>
              </c:ext>
            </c:extLst>
          </c:dPt>
          <c:dPt>
            <c:idx val="28"/>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7-54A2-49C4-9107-D032EFAA6039}"/>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Grafiki_budžeta_izpilde!$A$55:$A$84</c:f>
              <c:strCache>
                <c:ptCount val="30"/>
                <c:pt idx="0">
                  <c:v>IZDEVUMI kopā</c:v>
                </c:pt>
                <c:pt idx="1">
                  <c:v>1. Vispārējie valdības dienesti</c:v>
                </c:pt>
                <c:pt idx="2">
                  <c:v>1.1. Pārvalde, deputāti, komisijas</c:v>
                </c:pt>
                <c:pt idx="3">
                  <c:v>1.2. Aizņēmumu procentu maksājumi</c:v>
                </c:pt>
                <c:pt idx="4">
                  <c:v>1.3. Iemaksas PFIF</c:v>
                </c:pt>
                <c:pt idx="5">
                  <c:v>2. Sabiedriskā kārtība un drošība (bāze)</c:v>
                </c:pt>
                <c:pt idx="6">
                  <c:v>3. Sabiedriskās attiecības, laikraksts</c:v>
                </c:pt>
                <c:pt idx="7">
                  <c:v>4. Autoceļu fonds</c:v>
                </c:pt>
                <c:pt idx="8">
                  <c:v>5. Vides aizsardzība (DRN izlietojums)</c:v>
                </c:pt>
                <c:pt idx="9">
                  <c:v>6. Pašv. teritoriju un mājokļu apsaimniekošana</c:v>
                </c:pt>
                <c:pt idx="10">
                  <c:v>6.1. APN, NĪN, TPN, Būvvalde</c:v>
                </c:pt>
                <c:pt idx="11">
                  <c:v>6.2. Teritorijas uzturēšana</c:v>
                </c:pt>
                <c:pt idx="12">
                  <c:v>6.3. Izdevumi neparedzētiem gadījumiem, līdzdalības budžets</c:v>
                </c:pt>
                <c:pt idx="13">
                  <c:v>6.4. Projekti</c:v>
                </c:pt>
                <c:pt idx="14">
                  <c:v>7. Atpūta, kultūra un reliģija</c:v>
                </c:pt>
                <c:pt idx="15">
                  <c:v>8. Sociālā aizsardzība</c:v>
                </c:pt>
                <c:pt idx="16">
                  <c:v>9. Izglītība</c:v>
                </c:pt>
                <c:pt idx="17">
                  <c:v>9.1. Norēķini ar pašvaldībām par izglītības iestāžu pakalp.</c:v>
                </c:pt>
                <c:pt idx="18">
                  <c:v>9.2. Ādažu PII "Strautiņš"</c:v>
                </c:pt>
                <c:pt idx="19">
                  <c:v>9.3. Kadagas PII "Mežavēji"</c:v>
                </c:pt>
                <c:pt idx="20">
                  <c:v>9.4. Carnikavas PII "Riekstiņš"</c:v>
                </c:pt>
                <c:pt idx="21">
                  <c:v>9.5. Siguļu PII "Piejūra"</c:v>
                </c:pt>
                <c:pt idx="22">
                  <c:v>9.6. Privātās izglītības iestādes</c:v>
                </c:pt>
                <c:pt idx="23">
                  <c:v>9.7. Carnikavas pamatskola</c:v>
                </c:pt>
                <c:pt idx="24">
                  <c:v>9.8. Ādažu vidusskola</c:v>
                </c:pt>
                <c:pt idx="25">
                  <c:v>9.9. Ādažu novada  Mākslu skola</c:v>
                </c:pt>
                <c:pt idx="26">
                  <c:v>9.10. Sporta skola</c:v>
                </c:pt>
                <c:pt idx="27">
                  <c:v>9.11. Izglītības un jauniešu lietu pārvalde </c:v>
                </c:pt>
                <c:pt idx="28">
                  <c:v>9.12. Projekti</c:v>
                </c:pt>
                <c:pt idx="29">
                  <c:v>10. Kredītu pamatsummas atmaksa</c:v>
                </c:pt>
              </c:strCache>
            </c:strRef>
          </c:cat>
          <c:val>
            <c:numRef>
              <c:f>Grafiki_budžeta_izpilde!$D$55:$D$84</c:f>
              <c:numCache>
                <c:formatCode>0%</c:formatCode>
                <c:ptCount val="30"/>
                <c:pt idx="0">
                  <c:v>0.78765400980695743</c:v>
                </c:pt>
                <c:pt idx="1">
                  <c:v>0.93308659269058081</c:v>
                </c:pt>
                <c:pt idx="2">
                  <c:v>0.8653654728626875</c:v>
                </c:pt>
                <c:pt idx="3">
                  <c:v>0.81495724825828497</c:v>
                </c:pt>
                <c:pt idx="4">
                  <c:v>0.99999999277218932</c:v>
                </c:pt>
                <c:pt idx="5">
                  <c:v>0.96897719049333564</c:v>
                </c:pt>
                <c:pt idx="6">
                  <c:v>0.97193785499498841</c:v>
                </c:pt>
                <c:pt idx="7">
                  <c:v>0.8174229620202591</c:v>
                </c:pt>
                <c:pt idx="8">
                  <c:v>0.18431105218489796</c:v>
                </c:pt>
                <c:pt idx="9">
                  <c:v>0.61842520811876311</c:v>
                </c:pt>
                <c:pt idx="10">
                  <c:v>0.86713196460499231</c:v>
                </c:pt>
                <c:pt idx="11">
                  <c:v>0.90066118751184843</c:v>
                </c:pt>
                <c:pt idx="12">
                  <c:v>0</c:v>
                </c:pt>
                <c:pt idx="13">
                  <c:v>0.43826420518437942</c:v>
                </c:pt>
                <c:pt idx="14">
                  <c:v>0.9014847657350914</c:v>
                </c:pt>
                <c:pt idx="15">
                  <c:v>0.87468655976629373</c:v>
                </c:pt>
                <c:pt idx="16">
                  <c:v>0.78135409928822974</c:v>
                </c:pt>
                <c:pt idx="17">
                  <c:v>0.76174461691951056</c:v>
                </c:pt>
                <c:pt idx="18">
                  <c:v>0.95168597652752884</c:v>
                </c:pt>
                <c:pt idx="19">
                  <c:v>0.91058762729293119</c:v>
                </c:pt>
                <c:pt idx="20">
                  <c:v>0.93134264325862837</c:v>
                </c:pt>
                <c:pt idx="21">
                  <c:v>0.92993318359399857</c:v>
                </c:pt>
                <c:pt idx="22">
                  <c:v>0.78358685800880401</c:v>
                </c:pt>
                <c:pt idx="23">
                  <c:v>0.95096684939567011</c:v>
                </c:pt>
                <c:pt idx="24">
                  <c:v>0.91555314557297351</c:v>
                </c:pt>
                <c:pt idx="25">
                  <c:v>0.9833690060798379</c:v>
                </c:pt>
                <c:pt idx="26">
                  <c:v>0.94807951325555861</c:v>
                </c:pt>
                <c:pt idx="27">
                  <c:v>0.76490026106647824</c:v>
                </c:pt>
                <c:pt idx="28">
                  <c:v>0.22784853813596487</c:v>
                </c:pt>
                <c:pt idx="29">
                  <c:v>1</c:v>
                </c:pt>
              </c:numCache>
            </c:numRef>
          </c:val>
          <c:extLst>
            <c:ext xmlns:c16="http://schemas.microsoft.com/office/drawing/2014/chart" uri="{C3380CC4-5D6E-409C-BE32-E72D297353CC}">
              <c16:uniqueId val="{00000002-B172-4793-95F1-0F2B152A96E2}"/>
            </c:ext>
          </c:extLst>
        </c:ser>
        <c:dLbls>
          <c:dLblPos val="inEnd"/>
          <c:showLegendKey val="0"/>
          <c:showVal val="1"/>
          <c:showCatName val="0"/>
          <c:showSerName val="0"/>
          <c:showPercent val="0"/>
          <c:showBubbleSize val="0"/>
        </c:dLbls>
        <c:gapWidth val="87"/>
        <c:axId val="164840928"/>
        <c:axId val="164829888"/>
      </c:barChart>
      <c:catAx>
        <c:axId val="164840928"/>
        <c:scaling>
          <c:orientation val="maxMin"/>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b"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829888"/>
        <c:crosses val="autoZero"/>
        <c:auto val="1"/>
        <c:lblAlgn val="ctr"/>
        <c:lblOffset val="100"/>
        <c:noMultiLvlLbl val="0"/>
      </c:catAx>
      <c:valAx>
        <c:axId val="164829888"/>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840928"/>
        <c:crosses val="autoZero"/>
        <c:crossBetween val="between"/>
        <c:majorUnit val="0.1"/>
        <c:min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60003</xdr:colOff>
      <xdr:row>3</xdr:row>
      <xdr:rowOff>137158</xdr:rowOff>
    </xdr:from>
    <xdr:to>
      <xdr:col>18</xdr:col>
      <xdr:colOff>2042583</xdr:colOff>
      <xdr:row>28</xdr:row>
      <xdr:rowOff>49529</xdr:rowOff>
    </xdr:to>
    <xdr:graphicFrame macro="">
      <xdr:nvGraphicFramePr>
        <xdr:cNvPr id="2" name="Diagramma 9">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510119</xdr:colOff>
      <xdr:row>4</xdr:row>
      <xdr:rowOff>202355</xdr:rowOff>
    </xdr:from>
    <xdr:to>
      <xdr:col>16</xdr:col>
      <xdr:colOff>544407</xdr:colOff>
      <xdr:row>4</xdr:row>
      <xdr:rowOff>429262</xdr:rowOff>
    </xdr:to>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15123586" y="862755"/>
          <a:ext cx="635421" cy="226907"/>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lv-LV" sz="1100"/>
            <a:t>100%</a:t>
          </a:r>
        </a:p>
        <a:p>
          <a:pPr algn="ctr"/>
          <a:endParaRPr lang="lv-LV" sz="1100"/>
        </a:p>
      </xdr:txBody>
    </xdr:sp>
    <xdr:clientData/>
  </xdr:twoCellAnchor>
  <xdr:twoCellAnchor>
    <xdr:from>
      <xdr:col>4</xdr:col>
      <xdr:colOff>404493</xdr:colOff>
      <xdr:row>50</xdr:row>
      <xdr:rowOff>60114</xdr:rowOff>
    </xdr:from>
    <xdr:to>
      <xdr:col>18</xdr:col>
      <xdr:colOff>1841500</xdr:colOff>
      <xdr:row>87</xdr:row>
      <xdr:rowOff>137584</xdr:rowOff>
    </xdr:to>
    <xdr:graphicFrame macro="">
      <xdr:nvGraphicFramePr>
        <xdr:cNvPr id="4" name="Diagramma 2">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0.7237</cdr:x>
      <cdr:y>0.15019</cdr:y>
    </cdr:from>
    <cdr:to>
      <cdr:x>0.72593</cdr:x>
      <cdr:y>0.99131</cdr:y>
    </cdr:to>
    <cdr:cxnSp macro="">
      <cdr:nvCxnSpPr>
        <cdr:cNvPr id="3" name="Taisns savienotājs 2">
          <a:extLst xmlns:a="http://schemas.openxmlformats.org/drawingml/2006/main">
            <a:ext uri="{FF2B5EF4-FFF2-40B4-BE49-F238E27FC236}">
              <a16:creationId xmlns:a16="http://schemas.microsoft.com/office/drawing/2014/main" id="{C1328137-0B74-BC0D-66FF-A2ECAD9C8885}"/>
            </a:ext>
          </a:extLst>
        </cdr:cNvPr>
        <cdr:cNvCxnSpPr/>
      </cdr:nvCxnSpPr>
      <cdr:spPr>
        <a:xfrm xmlns:a="http://schemas.openxmlformats.org/drawingml/2006/main">
          <a:off x="8488885" y="667163"/>
          <a:ext cx="26158" cy="3736287"/>
        </a:xfrm>
        <a:prstGeom xmlns:a="http://schemas.openxmlformats.org/drawingml/2006/main" prst="line">
          <a:avLst/>
        </a:prstGeom>
        <a:ln xmlns:a="http://schemas.openxmlformats.org/drawingml/2006/main" w="15875">
          <a:solidFill>
            <a:schemeClr val="accent2">
              <a:alpha val="56000"/>
            </a:schemeClr>
          </a:solidFill>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cxnSp>
  </cdr:relSizeAnchor>
</c:userShapes>
</file>

<file path=xl/drawings/drawing3.xml><?xml version="1.0" encoding="utf-8"?>
<c:userShapes xmlns:c="http://schemas.openxmlformats.org/drawingml/2006/chart">
  <cdr:relSizeAnchor xmlns:cdr="http://schemas.openxmlformats.org/drawingml/2006/chartDrawing">
    <cdr:from>
      <cdr:x>0.9631</cdr:x>
      <cdr:y>0.15654</cdr:y>
    </cdr:from>
    <cdr:to>
      <cdr:x>0.96499</cdr:x>
      <cdr:y>0.974</cdr:y>
    </cdr:to>
    <cdr:cxnSp macro="">
      <cdr:nvCxnSpPr>
        <cdr:cNvPr id="3" name="Taisns savienotājs 2">
          <a:extLst xmlns:a="http://schemas.openxmlformats.org/drawingml/2006/main">
            <a:ext uri="{FF2B5EF4-FFF2-40B4-BE49-F238E27FC236}">
              <a16:creationId xmlns:a16="http://schemas.microsoft.com/office/drawing/2014/main" id="{C1328137-0B74-BC0D-66FF-A2ECAD9C8885}"/>
            </a:ext>
          </a:extLst>
        </cdr:cNvPr>
        <cdr:cNvCxnSpPr/>
      </cdr:nvCxnSpPr>
      <cdr:spPr>
        <a:xfrm xmlns:a="http://schemas.openxmlformats.org/drawingml/2006/main" flipH="1">
          <a:off x="10771507" y="1019386"/>
          <a:ext cx="21166" cy="5323417"/>
        </a:xfrm>
        <a:prstGeom xmlns:a="http://schemas.openxmlformats.org/drawingml/2006/main" prst="line">
          <a:avLst/>
        </a:prstGeom>
        <a:ln xmlns:a="http://schemas.openxmlformats.org/drawingml/2006/main" w="15875">
          <a:solidFill>
            <a:schemeClr val="accent2">
              <a:alpha val="56000"/>
            </a:schemeClr>
          </a:solidFill>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cxnSp>
  </cdr:relSizeAnchor>
  <cdr:relSizeAnchor xmlns:cdr="http://schemas.openxmlformats.org/drawingml/2006/chartDrawing">
    <cdr:from>
      <cdr:x>0.9197</cdr:x>
      <cdr:y>0.0415</cdr:y>
    </cdr:from>
    <cdr:to>
      <cdr:x>0.99216</cdr:x>
      <cdr:y>0.08173</cdr:y>
    </cdr:to>
    <cdr:sp macro="" textlink="">
      <cdr:nvSpPr>
        <cdr:cNvPr id="2" name="TextBox 10">
          <a:extLst xmlns:a="http://schemas.openxmlformats.org/drawingml/2006/main">
            <a:ext uri="{FF2B5EF4-FFF2-40B4-BE49-F238E27FC236}">
              <a16:creationId xmlns:a16="http://schemas.microsoft.com/office/drawing/2014/main" id="{BC28C77A-08BF-E957-991B-C0CDEA634669}"/>
            </a:ext>
          </a:extLst>
        </cdr:cNvPr>
        <cdr:cNvSpPr txBox="1"/>
      </cdr:nvSpPr>
      <cdr:spPr>
        <a:xfrm xmlns:a="http://schemas.openxmlformats.org/drawingml/2006/main">
          <a:off x="10255641" y="273781"/>
          <a:ext cx="808003" cy="265390"/>
        </a:xfrm>
        <a:prstGeom xmlns:a="http://schemas.openxmlformats.org/drawingml/2006/main" prst="rect">
          <a:avLst/>
        </a:prstGeom>
        <a:solidFill xmlns:a="http://schemas.openxmlformats.org/drawingml/2006/main">
          <a:schemeClr val="accent2">
            <a:lumMod val="40000"/>
            <a:lumOff val="60000"/>
          </a:schemeClr>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lv-LV" sz="1100"/>
            <a:t>100%</a:t>
          </a:r>
        </a:p>
        <a:p xmlns:a="http://schemas.openxmlformats.org/drawingml/2006/main">
          <a:pPr algn="ctr"/>
          <a:endParaRPr lang="lv-LV" sz="1100"/>
        </a:p>
      </cdr:txBody>
    </cdr:sp>
  </cdr:relSizeAnchor>
</c:userShape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apa10">
    <tabColor rgb="FF92D050"/>
  </sheetPr>
  <dimension ref="A1:Z308"/>
  <sheetViews>
    <sheetView zoomScale="98" zoomScaleNormal="98" zoomScaleSheetLayoutView="80" workbookViewId="0">
      <pane xSplit="4" ySplit="5" topLeftCell="E6" activePane="bottomRight" state="frozen"/>
      <selection activeCell="C1" sqref="C1"/>
      <selection pane="topRight" activeCell="E1" sqref="E1"/>
      <selection pane="bottomLeft" activeCell="C6" sqref="C6"/>
      <selection pane="bottomRight" activeCell="AA1" sqref="AA1:BB1048576"/>
    </sheetView>
  </sheetViews>
  <sheetFormatPr defaultRowHeight="13.8" outlineLevelRow="1" outlineLevelCol="2" x14ac:dyDescent="0.25"/>
  <cols>
    <col min="1" max="1" width="7.875" style="3" hidden="1" customWidth="1" outlineLevel="2"/>
    <col min="2" max="2" width="11.375" style="3" hidden="1" customWidth="1" outlineLevel="2"/>
    <col min="3" max="3" width="15" style="5" customWidth="1" collapsed="1"/>
    <col min="4" max="4" width="44" style="4" customWidth="1"/>
    <col min="5" max="5" width="14.875" style="94" customWidth="1"/>
    <col min="6" max="6" width="14.875" style="94" customWidth="1" collapsed="1"/>
    <col min="7" max="7" width="14.875" style="3" hidden="1" customWidth="1" outlineLevel="1"/>
    <col min="8" max="8" width="70.75" style="1" hidden="1" customWidth="1" outlineLevel="1" collapsed="1"/>
    <col min="9" max="9" width="14.875" style="94" customWidth="1" collapsed="1"/>
    <col min="10" max="10" width="14.875" style="3" hidden="1" customWidth="1" outlineLevel="1"/>
    <col min="11" max="11" width="70.75" style="1" hidden="1" customWidth="1" outlineLevel="1" collapsed="1"/>
    <col min="12" max="12" width="14.875" style="94" customWidth="1" collapsed="1"/>
    <col min="13" max="13" width="14.875" style="3" hidden="1" customWidth="1" outlineLevel="1"/>
    <col min="14" max="14" width="42.875" style="1" hidden="1" customWidth="1" outlineLevel="1" collapsed="1"/>
    <col min="15" max="15" width="14.875" style="94" customWidth="1" collapsed="1"/>
    <col min="16" max="16" width="14.875" style="3" hidden="1" customWidth="1" outlineLevel="1"/>
    <col min="17" max="17" width="88" style="1" hidden="1" customWidth="1" outlineLevel="1" collapsed="1"/>
    <col min="18" max="18" width="14.875" style="443" customWidth="1" collapsed="1"/>
    <col min="19" max="19" width="14.875" style="6" hidden="1" customWidth="1" outlineLevel="1"/>
    <col min="20" max="20" width="68" style="1" hidden="1" customWidth="1" outlineLevel="1" collapsed="1"/>
    <col min="21" max="21" width="14.875" style="443" customWidth="1" collapsed="1"/>
    <col min="22" max="22" width="14.875" style="6" customWidth="1"/>
    <col min="23" max="23" width="33.625" style="1" customWidth="1" collapsed="1"/>
    <col min="24" max="24" width="14.875" style="18" customWidth="1" outlineLevel="1" collapsed="1"/>
    <col min="25" max="25" width="14.875" style="400" customWidth="1" outlineLevel="1" collapsed="1"/>
    <col min="26" max="26" width="34.125" style="3" customWidth="1" outlineLevel="1" collapsed="1"/>
    <col min="27" max="164" width="9" style="3"/>
    <col min="165" max="166" width="0" style="3" hidden="1" customWidth="1"/>
    <col min="167" max="167" width="13.75" style="3" customWidth="1"/>
    <col min="168" max="168" width="52.875" style="3" customWidth="1"/>
    <col min="169" max="208" width="0" style="3" hidden="1" customWidth="1"/>
    <col min="209" max="210" width="14.875" style="3" customWidth="1"/>
    <col min="211" max="212" width="0" style="3" hidden="1" customWidth="1"/>
    <col min="213" max="213" width="14.875" style="3" customWidth="1"/>
    <col min="214" max="215" width="0" style="3" hidden="1" customWidth="1"/>
    <col min="216" max="216" width="14.875" style="3" customWidth="1"/>
    <col min="217" max="218" width="0" style="3" hidden="1" customWidth="1"/>
    <col min="219" max="219" width="14.875" style="3" customWidth="1"/>
    <col min="220" max="221" width="0" style="3" hidden="1" customWidth="1"/>
    <col min="222" max="222" width="14.875" style="3" customWidth="1"/>
    <col min="223" max="224" width="0" style="3" hidden="1" customWidth="1"/>
    <col min="225" max="226" width="14.875" style="3" customWidth="1"/>
    <col min="227" max="227" width="44.375" style="3" customWidth="1"/>
    <col min="228" max="232" width="14.875" style="3" customWidth="1"/>
    <col min="233" max="233" width="63.875" style="3" customWidth="1"/>
    <col min="234" max="234" width="13.25" style="3" customWidth="1"/>
    <col min="235" max="420" width="9" style="3"/>
    <col min="421" max="422" width="0" style="3" hidden="1" customWidth="1"/>
    <col min="423" max="423" width="13.75" style="3" customWidth="1"/>
    <col min="424" max="424" width="52.875" style="3" customWidth="1"/>
    <col min="425" max="464" width="0" style="3" hidden="1" customWidth="1"/>
    <col min="465" max="466" width="14.875" style="3" customWidth="1"/>
    <col min="467" max="468" width="0" style="3" hidden="1" customWidth="1"/>
    <col min="469" max="469" width="14.875" style="3" customWidth="1"/>
    <col min="470" max="471" width="0" style="3" hidden="1" customWidth="1"/>
    <col min="472" max="472" width="14.875" style="3" customWidth="1"/>
    <col min="473" max="474" width="0" style="3" hidden="1" customWidth="1"/>
    <col min="475" max="475" width="14.875" style="3" customWidth="1"/>
    <col min="476" max="477" width="0" style="3" hidden="1" customWidth="1"/>
    <col min="478" max="478" width="14.875" style="3" customWidth="1"/>
    <col min="479" max="480" width="0" style="3" hidden="1" customWidth="1"/>
    <col min="481" max="482" width="14.875" style="3" customWidth="1"/>
    <col min="483" max="483" width="44.375" style="3" customWidth="1"/>
    <col min="484" max="488" width="14.875" style="3" customWidth="1"/>
    <col min="489" max="489" width="63.875" style="3" customWidth="1"/>
    <col min="490" max="490" width="13.25" style="3" customWidth="1"/>
    <col min="491" max="676" width="9" style="3"/>
    <col min="677" max="678" width="0" style="3" hidden="1" customWidth="1"/>
    <col min="679" max="679" width="13.75" style="3" customWidth="1"/>
    <col min="680" max="680" width="52.875" style="3" customWidth="1"/>
    <col min="681" max="720" width="0" style="3" hidden="1" customWidth="1"/>
    <col min="721" max="722" width="14.875" style="3" customWidth="1"/>
    <col min="723" max="724" width="0" style="3" hidden="1" customWidth="1"/>
    <col min="725" max="725" width="14.875" style="3" customWidth="1"/>
    <col min="726" max="727" width="0" style="3" hidden="1" customWidth="1"/>
    <col min="728" max="728" width="14.875" style="3" customWidth="1"/>
    <col min="729" max="730" width="0" style="3" hidden="1" customWidth="1"/>
    <col min="731" max="731" width="14.875" style="3" customWidth="1"/>
    <col min="732" max="733" width="0" style="3" hidden="1" customWidth="1"/>
    <col min="734" max="734" width="14.875" style="3" customWidth="1"/>
    <col min="735" max="736" width="0" style="3" hidden="1" customWidth="1"/>
    <col min="737" max="738" width="14.875" style="3" customWidth="1"/>
    <col min="739" max="739" width="44.375" style="3" customWidth="1"/>
    <col min="740" max="744" width="14.875" style="3" customWidth="1"/>
    <col min="745" max="745" width="63.875" style="3" customWidth="1"/>
    <col min="746" max="746" width="13.25" style="3" customWidth="1"/>
    <col min="747" max="932" width="9" style="3"/>
    <col min="933" max="934" width="0" style="3" hidden="1" customWidth="1"/>
    <col min="935" max="935" width="13.75" style="3" customWidth="1"/>
    <col min="936" max="936" width="52.875" style="3" customWidth="1"/>
    <col min="937" max="976" width="0" style="3" hidden="1" customWidth="1"/>
    <col min="977" max="978" width="14.875" style="3" customWidth="1"/>
    <col min="979" max="980" width="0" style="3" hidden="1" customWidth="1"/>
    <col min="981" max="981" width="14.875" style="3" customWidth="1"/>
    <col min="982" max="983" width="0" style="3" hidden="1" customWidth="1"/>
    <col min="984" max="984" width="14.875" style="3" customWidth="1"/>
    <col min="985" max="986" width="0" style="3" hidden="1" customWidth="1"/>
    <col min="987" max="987" width="14.875" style="3" customWidth="1"/>
    <col min="988" max="989" width="0" style="3" hidden="1" customWidth="1"/>
    <col min="990" max="990" width="14.875" style="3" customWidth="1"/>
    <col min="991" max="992" width="0" style="3" hidden="1" customWidth="1"/>
    <col min="993" max="994" width="14.875" style="3" customWidth="1"/>
    <col min="995" max="995" width="44.375" style="3" customWidth="1"/>
    <col min="996" max="1000" width="14.875" style="3" customWidth="1"/>
    <col min="1001" max="1001" width="63.875" style="3" customWidth="1"/>
    <col min="1002" max="1002" width="13.25" style="3" customWidth="1"/>
    <col min="1003" max="1188" width="9" style="3"/>
    <col min="1189" max="1190" width="0" style="3" hidden="1" customWidth="1"/>
    <col min="1191" max="1191" width="13.75" style="3" customWidth="1"/>
    <col min="1192" max="1192" width="52.875" style="3" customWidth="1"/>
    <col min="1193" max="1232" width="0" style="3" hidden="1" customWidth="1"/>
    <col min="1233" max="1234" width="14.875" style="3" customWidth="1"/>
    <col min="1235" max="1236" width="0" style="3" hidden="1" customWidth="1"/>
    <col min="1237" max="1237" width="14.875" style="3" customWidth="1"/>
    <col min="1238" max="1239" width="0" style="3" hidden="1" customWidth="1"/>
    <col min="1240" max="1240" width="14.875" style="3" customWidth="1"/>
    <col min="1241" max="1242" width="0" style="3" hidden="1" customWidth="1"/>
    <col min="1243" max="1243" width="14.875" style="3" customWidth="1"/>
    <col min="1244" max="1245" width="0" style="3" hidden="1" customWidth="1"/>
    <col min="1246" max="1246" width="14.875" style="3" customWidth="1"/>
    <col min="1247" max="1248" width="0" style="3" hidden="1" customWidth="1"/>
    <col min="1249" max="1250" width="14.875" style="3" customWidth="1"/>
    <col min="1251" max="1251" width="44.375" style="3" customWidth="1"/>
    <col min="1252" max="1256" width="14.875" style="3" customWidth="1"/>
    <col min="1257" max="1257" width="63.875" style="3" customWidth="1"/>
    <col min="1258" max="1258" width="13.25" style="3" customWidth="1"/>
    <col min="1259" max="1444" width="9" style="3"/>
    <col min="1445" max="1446" width="0" style="3" hidden="1" customWidth="1"/>
    <col min="1447" max="1447" width="13.75" style="3" customWidth="1"/>
    <col min="1448" max="1448" width="52.875" style="3" customWidth="1"/>
    <col min="1449" max="1488" width="0" style="3" hidden="1" customWidth="1"/>
    <col min="1489" max="1490" width="14.875" style="3" customWidth="1"/>
    <col min="1491" max="1492" width="0" style="3" hidden="1" customWidth="1"/>
    <col min="1493" max="1493" width="14.875" style="3" customWidth="1"/>
    <col min="1494" max="1495" width="0" style="3" hidden="1" customWidth="1"/>
    <col min="1496" max="1496" width="14.875" style="3" customWidth="1"/>
    <col min="1497" max="1498" width="0" style="3" hidden="1" customWidth="1"/>
    <col min="1499" max="1499" width="14.875" style="3" customWidth="1"/>
    <col min="1500" max="1501" width="0" style="3" hidden="1" customWidth="1"/>
    <col min="1502" max="1502" width="14.875" style="3" customWidth="1"/>
    <col min="1503" max="1504" width="0" style="3" hidden="1" customWidth="1"/>
    <col min="1505" max="1506" width="14.875" style="3" customWidth="1"/>
    <col min="1507" max="1507" width="44.375" style="3" customWidth="1"/>
    <col min="1508" max="1512" width="14.875" style="3" customWidth="1"/>
    <col min="1513" max="1513" width="63.875" style="3" customWidth="1"/>
    <col min="1514" max="1514" width="13.25" style="3" customWidth="1"/>
    <col min="1515" max="1700" width="9" style="3"/>
    <col min="1701" max="1702" width="0" style="3" hidden="1" customWidth="1"/>
    <col min="1703" max="1703" width="13.75" style="3" customWidth="1"/>
    <col min="1704" max="1704" width="52.875" style="3" customWidth="1"/>
    <col min="1705" max="1744" width="0" style="3" hidden="1" customWidth="1"/>
    <col min="1745" max="1746" width="14.875" style="3" customWidth="1"/>
    <col min="1747" max="1748" width="0" style="3" hidden="1" customWidth="1"/>
    <col min="1749" max="1749" width="14.875" style="3" customWidth="1"/>
    <col min="1750" max="1751" width="0" style="3" hidden="1" customWidth="1"/>
    <col min="1752" max="1752" width="14.875" style="3" customWidth="1"/>
    <col min="1753" max="1754" width="0" style="3" hidden="1" customWidth="1"/>
    <col min="1755" max="1755" width="14.875" style="3" customWidth="1"/>
    <col min="1756" max="1757" width="0" style="3" hidden="1" customWidth="1"/>
    <col min="1758" max="1758" width="14.875" style="3" customWidth="1"/>
    <col min="1759" max="1760" width="0" style="3" hidden="1" customWidth="1"/>
    <col min="1761" max="1762" width="14.875" style="3" customWidth="1"/>
    <col min="1763" max="1763" width="44.375" style="3" customWidth="1"/>
    <col min="1764" max="1768" width="14.875" style="3" customWidth="1"/>
    <col min="1769" max="1769" width="63.875" style="3" customWidth="1"/>
    <col min="1770" max="1770" width="13.25" style="3" customWidth="1"/>
    <col min="1771" max="1956" width="9" style="3"/>
    <col min="1957" max="1958" width="0" style="3" hidden="1" customWidth="1"/>
    <col min="1959" max="1959" width="13.75" style="3" customWidth="1"/>
    <col min="1960" max="1960" width="52.875" style="3" customWidth="1"/>
    <col min="1961" max="2000" width="0" style="3" hidden="1" customWidth="1"/>
    <col min="2001" max="2002" width="14.875" style="3" customWidth="1"/>
    <col min="2003" max="2004" width="0" style="3" hidden="1" customWidth="1"/>
    <col min="2005" max="2005" width="14.875" style="3" customWidth="1"/>
    <col min="2006" max="2007" width="0" style="3" hidden="1" customWidth="1"/>
    <col min="2008" max="2008" width="14.875" style="3" customWidth="1"/>
    <col min="2009" max="2010" width="0" style="3" hidden="1" customWidth="1"/>
    <col min="2011" max="2011" width="14.875" style="3" customWidth="1"/>
    <col min="2012" max="2013" width="0" style="3" hidden="1" customWidth="1"/>
    <col min="2014" max="2014" width="14.875" style="3" customWidth="1"/>
    <col min="2015" max="2016" width="0" style="3" hidden="1" customWidth="1"/>
    <col min="2017" max="2018" width="14.875" style="3" customWidth="1"/>
    <col min="2019" max="2019" width="44.375" style="3" customWidth="1"/>
    <col min="2020" max="2024" width="14.875" style="3" customWidth="1"/>
    <col min="2025" max="2025" width="63.875" style="3" customWidth="1"/>
    <col min="2026" max="2026" width="13.25" style="3" customWidth="1"/>
    <col min="2027" max="2212" width="9" style="3"/>
    <col min="2213" max="2214" width="0" style="3" hidden="1" customWidth="1"/>
    <col min="2215" max="2215" width="13.75" style="3" customWidth="1"/>
    <col min="2216" max="2216" width="52.875" style="3" customWidth="1"/>
    <col min="2217" max="2256" width="0" style="3" hidden="1" customWidth="1"/>
    <col min="2257" max="2258" width="14.875" style="3" customWidth="1"/>
    <col min="2259" max="2260" width="0" style="3" hidden="1" customWidth="1"/>
    <col min="2261" max="2261" width="14.875" style="3" customWidth="1"/>
    <col min="2262" max="2263" width="0" style="3" hidden="1" customWidth="1"/>
    <col min="2264" max="2264" width="14.875" style="3" customWidth="1"/>
    <col min="2265" max="2266" width="0" style="3" hidden="1" customWidth="1"/>
    <col min="2267" max="2267" width="14.875" style="3" customWidth="1"/>
    <col min="2268" max="2269" width="0" style="3" hidden="1" customWidth="1"/>
    <col min="2270" max="2270" width="14.875" style="3" customWidth="1"/>
    <col min="2271" max="2272" width="0" style="3" hidden="1" customWidth="1"/>
    <col min="2273" max="2274" width="14.875" style="3" customWidth="1"/>
    <col min="2275" max="2275" width="44.375" style="3" customWidth="1"/>
    <col min="2276" max="2280" width="14.875" style="3" customWidth="1"/>
    <col min="2281" max="2281" width="63.875" style="3" customWidth="1"/>
    <col min="2282" max="2282" width="13.25" style="3" customWidth="1"/>
    <col min="2283" max="2468" width="9" style="3"/>
    <col min="2469" max="2470" width="0" style="3" hidden="1" customWidth="1"/>
    <col min="2471" max="2471" width="13.75" style="3" customWidth="1"/>
    <col min="2472" max="2472" width="52.875" style="3" customWidth="1"/>
    <col min="2473" max="2512" width="0" style="3" hidden="1" customWidth="1"/>
    <col min="2513" max="2514" width="14.875" style="3" customWidth="1"/>
    <col min="2515" max="2516" width="0" style="3" hidden="1" customWidth="1"/>
    <col min="2517" max="2517" width="14.875" style="3" customWidth="1"/>
    <col min="2518" max="2519" width="0" style="3" hidden="1" customWidth="1"/>
    <col min="2520" max="2520" width="14.875" style="3" customWidth="1"/>
    <col min="2521" max="2522" width="0" style="3" hidden="1" customWidth="1"/>
    <col min="2523" max="2523" width="14.875" style="3" customWidth="1"/>
    <col min="2524" max="2525" width="0" style="3" hidden="1" customWidth="1"/>
    <col min="2526" max="2526" width="14.875" style="3" customWidth="1"/>
    <col min="2527" max="2528" width="0" style="3" hidden="1" customWidth="1"/>
    <col min="2529" max="2530" width="14.875" style="3" customWidth="1"/>
    <col min="2531" max="2531" width="44.375" style="3" customWidth="1"/>
    <col min="2532" max="2536" width="14.875" style="3" customWidth="1"/>
    <col min="2537" max="2537" width="63.875" style="3" customWidth="1"/>
    <col min="2538" max="2538" width="13.25" style="3" customWidth="1"/>
    <col min="2539" max="2724" width="9" style="3"/>
    <col min="2725" max="2726" width="0" style="3" hidden="1" customWidth="1"/>
    <col min="2727" max="2727" width="13.75" style="3" customWidth="1"/>
    <col min="2728" max="2728" width="52.875" style="3" customWidth="1"/>
    <col min="2729" max="2768" width="0" style="3" hidden="1" customWidth="1"/>
    <col min="2769" max="2770" width="14.875" style="3" customWidth="1"/>
    <col min="2771" max="2772" width="0" style="3" hidden="1" customWidth="1"/>
    <col min="2773" max="2773" width="14.875" style="3" customWidth="1"/>
    <col min="2774" max="2775" width="0" style="3" hidden="1" customWidth="1"/>
    <col min="2776" max="2776" width="14.875" style="3" customWidth="1"/>
    <col min="2777" max="2778" width="0" style="3" hidden="1" customWidth="1"/>
    <col min="2779" max="2779" width="14.875" style="3" customWidth="1"/>
    <col min="2780" max="2781" width="0" style="3" hidden="1" customWidth="1"/>
    <col min="2782" max="2782" width="14.875" style="3" customWidth="1"/>
    <col min="2783" max="2784" width="0" style="3" hidden="1" customWidth="1"/>
    <col min="2785" max="2786" width="14.875" style="3" customWidth="1"/>
    <col min="2787" max="2787" width="44.375" style="3" customWidth="1"/>
    <col min="2788" max="2792" width="14.875" style="3" customWidth="1"/>
    <col min="2793" max="2793" width="63.875" style="3" customWidth="1"/>
    <col min="2794" max="2794" width="13.25" style="3" customWidth="1"/>
    <col min="2795" max="2980" width="9" style="3"/>
    <col min="2981" max="2982" width="0" style="3" hidden="1" customWidth="1"/>
    <col min="2983" max="2983" width="13.75" style="3" customWidth="1"/>
    <col min="2984" max="2984" width="52.875" style="3" customWidth="1"/>
    <col min="2985" max="3024" width="0" style="3" hidden="1" customWidth="1"/>
    <col min="3025" max="3026" width="14.875" style="3" customWidth="1"/>
    <col min="3027" max="3028" width="0" style="3" hidden="1" customWidth="1"/>
    <col min="3029" max="3029" width="14.875" style="3" customWidth="1"/>
    <col min="3030" max="3031" width="0" style="3" hidden="1" customWidth="1"/>
    <col min="3032" max="3032" width="14.875" style="3" customWidth="1"/>
    <col min="3033" max="3034" width="0" style="3" hidden="1" customWidth="1"/>
    <col min="3035" max="3035" width="14.875" style="3" customWidth="1"/>
    <col min="3036" max="3037" width="0" style="3" hidden="1" customWidth="1"/>
    <col min="3038" max="3038" width="14.875" style="3" customWidth="1"/>
    <col min="3039" max="3040" width="0" style="3" hidden="1" customWidth="1"/>
    <col min="3041" max="3042" width="14.875" style="3" customWidth="1"/>
    <col min="3043" max="3043" width="44.375" style="3" customWidth="1"/>
    <col min="3044" max="3048" width="14.875" style="3" customWidth="1"/>
    <col min="3049" max="3049" width="63.875" style="3" customWidth="1"/>
    <col min="3050" max="3050" width="13.25" style="3" customWidth="1"/>
    <col min="3051" max="3236" width="9" style="3"/>
    <col min="3237" max="3238" width="0" style="3" hidden="1" customWidth="1"/>
    <col min="3239" max="3239" width="13.75" style="3" customWidth="1"/>
    <col min="3240" max="3240" width="52.875" style="3" customWidth="1"/>
    <col min="3241" max="3280" width="0" style="3" hidden="1" customWidth="1"/>
    <col min="3281" max="3282" width="14.875" style="3" customWidth="1"/>
    <col min="3283" max="3284" width="0" style="3" hidden="1" customWidth="1"/>
    <col min="3285" max="3285" width="14.875" style="3" customWidth="1"/>
    <col min="3286" max="3287" width="0" style="3" hidden="1" customWidth="1"/>
    <col min="3288" max="3288" width="14.875" style="3" customWidth="1"/>
    <col min="3289" max="3290" width="0" style="3" hidden="1" customWidth="1"/>
    <col min="3291" max="3291" width="14.875" style="3" customWidth="1"/>
    <col min="3292" max="3293" width="0" style="3" hidden="1" customWidth="1"/>
    <col min="3294" max="3294" width="14.875" style="3" customWidth="1"/>
    <col min="3295" max="3296" width="0" style="3" hidden="1" customWidth="1"/>
    <col min="3297" max="3298" width="14.875" style="3" customWidth="1"/>
    <col min="3299" max="3299" width="44.375" style="3" customWidth="1"/>
    <col min="3300" max="3304" width="14.875" style="3" customWidth="1"/>
    <col min="3305" max="3305" width="63.875" style="3" customWidth="1"/>
    <col min="3306" max="3306" width="13.25" style="3" customWidth="1"/>
    <col min="3307" max="3492" width="9" style="3"/>
    <col min="3493" max="3494" width="0" style="3" hidden="1" customWidth="1"/>
    <col min="3495" max="3495" width="13.75" style="3" customWidth="1"/>
    <col min="3496" max="3496" width="52.875" style="3" customWidth="1"/>
    <col min="3497" max="3536" width="0" style="3" hidden="1" customWidth="1"/>
    <col min="3537" max="3538" width="14.875" style="3" customWidth="1"/>
    <col min="3539" max="3540" width="0" style="3" hidden="1" customWidth="1"/>
    <col min="3541" max="3541" width="14.875" style="3" customWidth="1"/>
    <col min="3542" max="3543" width="0" style="3" hidden="1" customWidth="1"/>
    <col min="3544" max="3544" width="14.875" style="3" customWidth="1"/>
    <col min="3545" max="3546" width="0" style="3" hidden="1" customWidth="1"/>
    <col min="3547" max="3547" width="14.875" style="3" customWidth="1"/>
    <col min="3548" max="3549" width="0" style="3" hidden="1" customWidth="1"/>
    <col min="3550" max="3550" width="14.875" style="3" customWidth="1"/>
    <col min="3551" max="3552" width="0" style="3" hidden="1" customWidth="1"/>
    <col min="3553" max="3554" width="14.875" style="3" customWidth="1"/>
    <col min="3555" max="3555" width="44.375" style="3" customWidth="1"/>
    <col min="3556" max="3560" width="14.875" style="3" customWidth="1"/>
    <col min="3561" max="3561" width="63.875" style="3" customWidth="1"/>
    <col min="3562" max="3562" width="13.25" style="3" customWidth="1"/>
    <col min="3563" max="3748" width="9" style="3"/>
    <col min="3749" max="3750" width="0" style="3" hidden="1" customWidth="1"/>
    <col min="3751" max="3751" width="13.75" style="3" customWidth="1"/>
    <col min="3752" max="3752" width="52.875" style="3" customWidth="1"/>
    <col min="3753" max="3792" width="0" style="3" hidden="1" customWidth="1"/>
    <col min="3793" max="3794" width="14.875" style="3" customWidth="1"/>
    <col min="3795" max="3796" width="0" style="3" hidden="1" customWidth="1"/>
    <col min="3797" max="3797" width="14.875" style="3" customWidth="1"/>
    <col min="3798" max="3799" width="0" style="3" hidden="1" customWidth="1"/>
    <col min="3800" max="3800" width="14.875" style="3" customWidth="1"/>
    <col min="3801" max="3802" width="0" style="3" hidden="1" customWidth="1"/>
    <col min="3803" max="3803" width="14.875" style="3" customWidth="1"/>
    <col min="3804" max="3805" width="0" style="3" hidden="1" customWidth="1"/>
    <col min="3806" max="3806" width="14.875" style="3" customWidth="1"/>
    <col min="3807" max="3808" width="0" style="3" hidden="1" customWidth="1"/>
    <col min="3809" max="3810" width="14.875" style="3" customWidth="1"/>
    <col min="3811" max="3811" width="44.375" style="3" customWidth="1"/>
    <col min="3812" max="3816" width="14.875" style="3" customWidth="1"/>
    <col min="3817" max="3817" width="63.875" style="3" customWidth="1"/>
    <col min="3818" max="3818" width="13.25" style="3" customWidth="1"/>
    <col min="3819" max="4004" width="9" style="3"/>
    <col min="4005" max="4006" width="0" style="3" hidden="1" customWidth="1"/>
    <col min="4007" max="4007" width="13.75" style="3" customWidth="1"/>
    <col min="4008" max="4008" width="52.875" style="3" customWidth="1"/>
    <col min="4009" max="4048" width="0" style="3" hidden="1" customWidth="1"/>
    <col min="4049" max="4050" width="14.875" style="3" customWidth="1"/>
    <col min="4051" max="4052" width="0" style="3" hidden="1" customWidth="1"/>
    <col min="4053" max="4053" width="14.875" style="3" customWidth="1"/>
    <col min="4054" max="4055" width="0" style="3" hidden="1" customWidth="1"/>
    <col min="4056" max="4056" width="14.875" style="3" customWidth="1"/>
    <col min="4057" max="4058" width="0" style="3" hidden="1" customWidth="1"/>
    <col min="4059" max="4059" width="14.875" style="3" customWidth="1"/>
    <col min="4060" max="4061" width="0" style="3" hidden="1" customWidth="1"/>
    <col min="4062" max="4062" width="14.875" style="3" customWidth="1"/>
    <col min="4063" max="4064" width="0" style="3" hidden="1" customWidth="1"/>
    <col min="4065" max="4066" width="14.875" style="3" customWidth="1"/>
    <col min="4067" max="4067" width="44.375" style="3" customWidth="1"/>
    <col min="4068" max="4072" width="14.875" style="3" customWidth="1"/>
    <col min="4073" max="4073" width="63.875" style="3" customWidth="1"/>
    <col min="4074" max="4074" width="13.25" style="3" customWidth="1"/>
    <col min="4075" max="4260" width="9" style="3"/>
    <col min="4261" max="4262" width="0" style="3" hidden="1" customWidth="1"/>
    <col min="4263" max="4263" width="13.75" style="3" customWidth="1"/>
    <col min="4264" max="4264" width="52.875" style="3" customWidth="1"/>
    <col min="4265" max="4304" width="0" style="3" hidden="1" customWidth="1"/>
    <col min="4305" max="4306" width="14.875" style="3" customWidth="1"/>
    <col min="4307" max="4308" width="0" style="3" hidden="1" customWidth="1"/>
    <col min="4309" max="4309" width="14.875" style="3" customWidth="1"/>
    <col min="4310" max="4311" width="0" style="3" hidden="1" customWidth="1"/>
    <col min="4312" max="4312" width="14.875" style="3" customWidth="1"/>
    <col min="4313" max="4314" width="0" style="3" hidden="1" customWidth="1"/>
    <col min="4315" max="4315" width="14.875" style="3" customWidth="1"/>
    <col min="4316" max="4317" width="0" style="3" hidden="1" customWidth="1"/>
    <col min="4318" max="4318" width="14.875" style="3" customWidth="1"/>
    <col min="4319" max="4320" width="0" style="3" hidden="1" customWidth="1"/>
    <col min="4321" max="4322" width="14.875" style="3" customWidth="1"/>
    <col min="4323" max="4323" width="44.375" style="3" customWidth="1"/>
    <col min="4324" max="4328" width="14.875" style="3" customWidth="1"/>
    <col min="4329" max="4329" width="63.875" style="3" customWidth="1"/>
    <col min="4330" max="4330" width="13.25" style="3" customWidth="1"/>
    <col min="4331" max="4516" width="9" style="3"/>
    <col min="4517" max="4518" width="0" style="3" hidden="1" customWidth="1"/>
    <col min="4519" max="4519" width="13.75" style="3" customWidth="1"/>
    <col min="4520" max="4520" width="52.875" style="3" customWidth="1"/>
    <col min="4521" max="4560" width="0" style="3" hidden="1" customWidth="1"/>
    <col min="4561" max="4562" width="14.875" style="3" customWidth="1"/>
    <col min="4563" max="4564" width="0" style="3" hidden="1" customWidth="1"/>
    <col min="4565" max="4565" width="14.875" style="3" customWidth="1"/>
    <col min="4566" max="4567" width="0" style="3" hidden="1" customWidth="1"/>
    <col min="4568" max="4568" width="14.875" style="3" customWidth="1"/>
    <col min="4569" max="4570" width="0" style="3" hidden="1" customWidth="1"/>
    <col min="4571" max="4571" width="14.875" style="3" customWidth="1"/>
    <col min="4572" max="4573" width="0" style="3" hidden="1" customWidth="1"/>
    <col min="4574" max="4574" width="14.875" style="3" customWidth="1"/>
    <col min="4575" max="4576" width="0" style="3" hidden="1" customWidth="1"/>
    <col min="4577" max="4578" width="14.875" style="3" customWidth="1"/>
    <col min="4579" max="4579" width="44.375" style="3" customWidth="1"/>
    <col min="4580" max="4584" width="14.875" style="3" customWidth="1"/>
    <col min="4585" max="4585" width="63.875" style="3" customWidth="1"/>
    <col min="4586" max="4586" width="13.25" style="3" customWidth="1"/>
    <col min="4587" max="4772" width="9" style="3"/>
    <col min="4773" max="4774" width="0" style="3" hidden="1" customWidth="1"/>
    <col min="4775" max="4775" width="13.75" style="3" customWidth="1"/>
    <col min="4776" max="4776" width="52.875" style="3" customWidth="1"/>
    <col min="4777" max="4816" width="0" style="3" hidden="1" customWidth="1"/>
    <col min="4817" max="4818" width="14.875" style="3" customWidth="1"/>
    <col min="4819" max="4820" width="0" style="3" hidden="1" customWidth="1"/>
    <col min="4821" max="4821" width="14.875" style="3" customWidth="1"/>
    <col min="4822" max="4823" width="0" style="3" hidden="1" customWidth="1"/>
    <col min="4824" max="4824" width="14.875" style="3" customWidth="1"/>
    <col min="4825" max="4826" width="0" style="3" hidden="1" customWidth="1"/>
    <col min="4827" max="4827" width="14.875" style="3" customWidth="1"/>
    <col min="4828" max="4829" width="0" style="3" hidden="1" customWidth="1"/>
    <col min="4830" max="4830" width="14.875" style="3" customWidth="1"/>
    <col min="4831" max="4832" width="0" style="3" hidden="1" customWidth="1"/>
    <col min="4833" max="4834" width="14.875" style="3" customWidth="1"/>
    <col min="4835" max="4835" width="44.375" style="3" customWidth="1"/>
    <col min="4836" max="4840" width="14.875" style="3" customWidth="1"/>
    <col min="4841" max="4841" width="63.875" style="3" customWidth="1"/>
    <col min="4842" max="4842" width="13.25" style="3" customWidth="1"/>
    <col min="4843" max="5028" width="9" style="3"/>
    <col min="5029" max="5030" width="0" style="3" hidden="1" customWidth="1"/>
    <col min="5031" max="5031" width="13.75" style="3" customWidth="1"/>
    <col min="5032" max="5032" width="52.875" style="3" customWidth="1"/>
    <col min="5033" max="5072" width="0" style="3" hidden="1" customWidth="1"/>
    <col min="5073" max="5074" width="14.875" style="3" customWidth="1"/>
    <col min="5075" max="5076" width="0" style="3" hidden="1" customWidth="1"/>
    <col min="5077" max="5077" width="14.875" style="3" customWidth="1"/>
    <col min="5078" max="5079" width="0" style="3" hidden="1" customWidth="1"/>
    <col min="5080" max="5080" width="14.875" style="3" customWidth="1"/>
    <col min="5081" max="5082" width="0" style="3" hidden="1" customWidth="1"/>
    <col min="5083" max="5083" width="14.875" style="3" customWidth="1"/>
    <col min="5084" max="5085" width="0" style="3" hidden="1" customWidth="1"/>
    <col min="5086" max="5086" width="14.875" style="3" customWidth="1"/>
    <col min="5087" max="5088" width="0" style="3" hidden="1" customWidth="1"/>
    <col min="5089" max="5090" width="14.875" style="3" customWidth="1"/>
    <col min="5091" max="5091" width="44.375" style="3" customWidth="1"/>
    <col min="5092" max="5096" width="14.875" style="3" customWidth="1"/>
    <col min="5097" max="5097" width="63.875" style="3" customWidth="1"/>
    <col min="5098" max="5098" width="13.25" style="3" customWidth="1"/>
    <col min="5099" max="5284" width="9" style="3"/>
    <col min="5285" max="5286" width="0" style="3" hidden="1" customWidth="1"/>
    <col min="5287" max="5287" width="13.75" style="3" customWidth="1"/>
    <col min="5288" max="5288" width="52.875" style="3" customWidth="1"/>
    <col min="5289" max="5328" width="0" style="3" hidden="1" customWidth="1"/>
    <col min="5329" max="5330" width="14.875" style="3" customWidth="1"/>
    <col min="5331" max="5332" width="0" style="3" hidden="1" customWidth="1"/>
    <col min="5333" max="5333" width="14.875" style="3" customWidth="1"/>
    <col min="5334" max="5335" width="0" style="3" hidden="1" customWidth="1"/>
    <col min="5336" max="5336" width="14.875" style="3" customWidth="1"/>
    <col min="5337" max="5338" width="0" style="3" hidden="1" customWidth="1"/>
    <col min="5339" max="5339" width="14.875" style="3" customWidth="1"/>
    <col min="5340" max="5341" width="0" style="3" hidden="1" customWidth="1"/>
    <col min="5342" max="5342" width="14.875" style="3" customWidth="1"/>
    <col min="5343" max="5344" width="0" style="3" hidden="1" customWidth="1"/>
    <col min="5345" max="5346" width="14.875" style="3" customWidth="1"/>
    <col min="5347" max="5347" width="44.375" style="3" customWidth="1"/>
    <col min="5348" max="5352" width="14.875" style="3" customWidth="1"/>
    <col min="5353" max="5353" width="63.875" style="3" customWidth="1"/>
    <col min="5354" max="5354" width="13.25" style="3" customWidth="1"/>
    <col min="5355" max="5540" width="9" style="3"/>
    <col min="5541" max="5542" width="0" style="3" hidden="1" customWidth="1"/>
    <col min="5543" max="5543" width="13.75" style="3" customWidth="1"/>
    <col min="5544" max="5544" width="52.875" style="3" customWidth="1"/>
    <col min="5545" max="5584" width="0" style="3" hidden="1" customWidth="1"/>
    <col min="5585" max="5586" width="14.875" style="3" customWidth="1"/>
    <col min="5587" max="5588" width="0" style="3" hidden="1" customWidth="1"/>
    <col min="5589" max="5589" width="14.875" style="3" customWidth="1"/>
    <col min="5590" max="5591" width="0" style="3" hidden="1" customWidth="1"/>
    <col min="5592" max="5592" width="14.875" style="3" customWidth="1"/>
    <col min="5593" max="5594" width="0" style="3" hidden="1" customWidth="1"/>
    <col min="5595" max="5595" width="14.875" style="3" customWidth="1"/>
    <col min="5596" max="5597" width="0" style="3" hidden="1" customWidth="1"/>
    <col min="5598" max="5598" width="14.875" style="3" customWidth="1"/>
    <col min="5599" max="5600" width="0" style="3" hidden="1" customWidth="1"/>
    <col min="5601" max="5602" width="14.875" style="3" customWidth="1"/>
    <col min="5603" max="5603" width="44.375" style="3" customWidth="1"/>
    <col min="5604" max="5608" width="14.875" style="3" customWidth="1"/>
    <col min="5609" max="5609" width="63.875" style="3" customWidth="1"/>
    <col min="5610" max="5610" width="13.25" style="3" customWidth="1"/>
    <col min="5611" max="5796" width="9" style="3"/>
    <col min="5797" max="5798" width="0" style="3" hidden="1" customWidth="1"/>
    <col min="5799" max="5799" width="13.75" style="3" customWidth="1"/>
    <col min="5800" max="5800" width="52.875" style="3" customWidth="1"/>
    <col min="5801" max="5840" width="0" style="3" hidden="1" customWidth="1"/>
    <col min="5841" max="5842" width="14.875" style="3" customWidth="1"/>
    <col min="5843" max="5844" width="0" style="3" hidden="1" customWidth="1"/>
    <col min="5845" max="5845" width="14.875" style="3" customWidth="1"/>
    <col min="5846" max="5847" width="0" style="3" hidden="1" customWidth="1"/>
    <col min="5848" max="5848" width="14.875" style="3" customWidth="1"/>
    <col min="5849" max="5850" width="0" style="3" hidden="1" customWidth="1"/>
    <col min="5851" max="5851" width="14.875" style="3" customWidth="1"/>
    <col min="5852" max="5853" width="0" style="3" hidden="1" customWidth="1"/>
    <col min="5854" max="5854" width="14.875" style="3" customWidth="1"/>
    <col min="5855" max="5856" width="0" style="3" hidden="1" customWidth="1"/>
    <col min="5857" max="5858" width="14.875" style="3" customWidth="1"/>
    <col min="5859" max="5859" width="44.375" style="3" customWidth="1"/>
    <col min="5860" max="5864" width="14.875" style="3" customWidth="1"/>
    <col min="5865" max="5865" width="63.875" style="3" customWidth="1"/>
    <col min="5866" max="5866" width="13.25" style="3" customWidth="1"/>
    <col min="5867" max="6052" width="9" style="3"/>
    <col min="6053" max="6054" width="0" style="3" hidden="1" customWidth="1"/>
    <col min="6055" max="6055" width="13.75" style="3" customWidth="1"/>
    <col min="6056" max="6056" width="52.875" style="3" customWidth="1"/>
    <col min="6057" max="6096" width="0" style="3" hidden="1" customWidth="1"/>
    <col min="6097" max="6098" width="14.875" style="3" customWidth="1"/>
    <col min="6099" max="6100" width="0" style="3" hidden="1" customWidth="1"/>
    <col min="6101" max="6101" width="14.875" style="3" customWidth="1"/>
    <col min="6102" max="6103" width="0" style="3" hidden="1" customWidth="1"/>
    <col min="6104" max="6104" width="14.875" style="3" customWidth="1"/>
    <col min="6105" max="6106" width="0" style="3" hidden="1" customWidth="1"/>
    <col min="6107" max="6107" width="14.875" style="3" customWidth="1"/>
    <col min="6108" max="6109" width="0" style="3" hidden="1" customWidth="1"/>
    <col min="6110" max="6110" width="14.875" style="3" customWidth="1"/>
    <col min="6111" max="6112" width="0" style="3" hidden="1" customWidth="1"/>
    <col min="6113" max="6114" width="14.875" style="3" customWidth="1"/>
    <col min="6115" max="6115" width="44.375" style="3" customWidth="1"/>
    <col min="6116" max="6120" width="14.875" style="3" customWidth="1"/>
    <col min="6121" max="6121" width="63.875" style="3" customWidth="1"/>
    <col min="6122" max="6122" width="13.25" style="3" customWidth="1"/>
    <col min="6123" max="6308" width="9" style="3"/>
    <col min="6309" max="6310" width="0" style="3" hidden="1" customWidth="1"/>
    <col min="6311" max="6311" width="13.75" style="3" customWidth="1"/>
    <col min="6312" max="6312" width="52.875" style="3" customWidth="1"/>
    <col min="6313" max="6352" width="0" style="3" hidden="1" customWidth="1"/>
    <col min="6353" max="6354" width="14.875" style="3" customWidth="1"/>
    <col min="6355" max="6356" width="0" style="3" hidden="1" customWidth="1"/>
    <col min="6357" max="6357" width="14.875" style="3" customWidth="1"/>
    <col min="6358" max="6359" width="0" style="3" hidden="1" customWidth="1"/>
    <col min="6360" max="6360" width="14.875" style="3" customWidth="1"/>
    <col min="6361" max="6362" width="0" style="3" hidden="1" customWidth="1"/>
    <col min="6363" max="6363" width="14.875" style="3" customWidth="1"/>
    <col min="6364" max="6365" width="0" style="3" hidden="1" customWidth="1"/>
    <col min="6366" max="6366" width="14.875" style="3" customWidth="1"/>
    <col min="6367" max="6368" width="0" style="3" hidden="1" customWidth="1"/>
    <col min="6369" max="6370" width="14.875" style="3" customWidth="1"/>
    <col min="6371" max="6371" width="44.375" style="3" customWidth="1"/>
    <col min="6372" max="6376" width="14.875" style="3" customWidth="1"/>
    <col min="6377" max="6377" width="63.875" style="3" customWidth="1"/>
    <col min="6378" max="6378" width="13.25" style="3" customWidth="1"/>
    <col min="6379" max="6564" width="9" style="3"/>
    <col min="6565" max="6566" width="0" style="3" hidden="1" customWidth="1"/>
    <col min="6567" max="6567" width="13.75" style="3" customWidth="1"/>
    <col min="6568" max="6568" width="52.875" style="3" customWidth="1"/>
    <col min="6569" max="6608" width="0" style="3" hidden="1" customWidth="1"/>
    <col min="6609" max="6610" width="14.875" style="3" customWidth="1"/>
    <col min="6611" max="6612" width="0" style="3" hidden="1" customWidth="1"/>
    <col min="6613" max="6613" width="14.875" style="3" customWidth="1"/>
    <col min="6614" max="6615" width="0" style="3" hidden="1" customWidth="1"/>
    <col min="6616" max="6616" width="14.875" style="3" customWidth="1"/>
    <col min="6617" max="6618" width="0" style="3" hidden="1" customWidth="1"/>
    <col min="6619" max="6619" width="14.875" style="3" customWidth="1"/>
    <col min="6620" max="6621" width="0" style="3" hidden="1" customWidth="1"/>
    <col min="6622" max="6622" width="14.875" style="3" customWidth="1"/>
    <col min="6623" max="6624" width="0" style="3" hidden="1" customWidth="1"/>
    <col min="6625" max="6626" width="14.875" style="3" customWidth="1"/>
    <col min="6627" max="6627" width="44.375" style="3" customWidth="1"/>
    <col min="6628" max="6632" width="14.875" style="3" customWidth="1"/>
    <col min="6633" max="6633" width="63.875" style="3" customWidth="1"/>
    <col min="6634" max="6634" width="13.25" style="3" customWidth="1"/>
    <col min="6635" max="6820" width="9" style="3"/>
    <col min="6821" max="6822" width="0" style="3" hidden="1" customWidth="1"/>
    <col min="6823" max="6823" width="13.75" style="3" customWidth="1"/>
    <col min="6824" max="6824" width="52.875" style="3" customWidth="1"/>
    <col min="6825" max="6864" width="0" style="3" hidden="1" customWidth="1"/>
    <col min="6865" max="6866" width="14.875" style="3" customWidth="1"/>
    <col min="6867" max="6868" width="0" style="3" hidden="1" customWidth="1"/>
    <col min="6869" max="6869" width="14.875" style="3" customWidth="1"/>
    <col min="6870" max="6871" width="0" style="3" hidden="1" customWidth="1"/>
    <col min="6872" max="6872" width="14.875" style="3" customWidth="1"/>
    <col min="6873" max="6874" width="0" style="3" hidden="1" customWidth="1"/>
    <col min="6875" max="6875" width="14.875" style="3" customWidth="1"/>
    <col min="6876" max="6877" width="0" style="3" hidden="1" customWidth="1"/>
    <col min="6878" max="6878" width="14.875" style="3" customWidth="1"/>
    <col min="6879" max="6880" width="0" style="3" hidden="1" customWidth="1"/>
    <col min="6881" max="6882" width="14.875" style="3" customWidth="1"/>
    <col min="6883" max="6883" width="44.375" style="3" customWidth="1"/>
    <col min="6884" max="6888" width="14.875" style="3" customWidth="1"/>
    <col min="6889" max="6889" width="63.875" style="3" customWidth="1"/>
    <col min="6890" max="6890" width="13.25" style="3" customWidth="1"/>
    <col min="6891" max="7076" width="9" style="3"/>
    <col min="7077" max="7078" width="0" style="3" hidden="1" customWidth="1"/>
    <col min="7079" max="7079" width="13.75" style="3" customWidth="1"/>
    <col min="7080" max="7080" width="52.875" style="3" customWidth="1"/>
    <col min="7081" max="7120" width="0" style="3" hidden="1" customWidth="1"/>
    <col min="7121" max="7122" width="14.875" style="3" customWidth="1"/>
    <col min="7123" max="7124" width="0" style="3" hidden="1" customWidth="1"/>
    <col min="7125" max="7125" width="14.875" style="3" customWidth="1"/>
    <col min="7126" max="7127" width="0" style="3" hidden="1" customWidth="1"/>
    <col min="7128" max="7128" width="14.875" style="3" customWidth="1"/>
    <col min="7129" max="7130" width="0" style="3" hidden="1" customWidth="1"/>
    <col min="7131" max="7131" width="14.875" style="3" customWidth="1"/>
    <col min="7132" max="7133" width="0" style="3" hidden="1" customWidth="1"/>
    <col min="7134" max="7134" width="14.875" style="3" customWidth="1"/>
    <col min="7135" max="7136" width="0" style="3" hidden="1" customWidth="1"/>
    <col min="7137" max="7138" width="14.875" style="3" customWidth="1"/>
    <col min="7139" max="7139" width="44.375" style="3" customWidth="1"/>
    <col min="7140" max="7144" width="14.875" style="3" customWidth="1"/>
    <col min="7145" max="7145" width="63.875" style="3" customWidth="1"/>
    <col min="7146" max="7146" width="13.25" style="3" customWidth="1"/>
    <col min="7147" max="7332" width="9" style="3"/>
    <col min="7333" max="7334" width="0" style="3" hidden="1" customWidth="1"/>
    <col min="7335" max="7335" width="13.75" style="3" customWidth="1"/>
    <col min="7336" max="7336" width="52.875" style="3" customWidth="1"/>
    <col min="7337" max="7376" width="0" style="3" hidden="1" customWidth="1"/>
    <col min="7377" max="7378" width="14.875" style="3" customWidth="1"/>
    <col min="7379" max="7380" width="0" style="3" hidden="1" customWidth="1"/>
    <col min="7381" max="7381" width="14.875" style="3" customWidth="1"/>
    <col min="7382" max="7383" width="0" style="3" hidden="1" customWidth="1"/>
    <col min="7384" max="7384" width="14.875" style="3" customWidth="1"/>
    <col min="7385" max="7386" width="0" style="3" hidden="1" customWidth="1"/>
    <col min="7387" max="7387" width="14.875" style="3" customWidth="1"/>
    <col min="7388" max="7389" width="0" style="3" hidden="1" customWidth="1"/>
    <col min="7390" max="7390" width="14.875" style="3" customWidth="1"/>
    <col min="7391" max="7392" width="0" style="3" hidden="1" customWidth="1"/>
    <col min="7393" max="7394" width="14.875" style="3" customWidth="1"/>
    <col min="7395" max="7395" width="44.375" style="3" customWidth="1"/>
    <col min="7396" max="7400" width="14.875" style="3" customWidth="1"/>
    <col min="7401" max="7401" width="63.875" style="3" customWidth="1"/>
    <col min="7402" max="7402" width="13.25" style="3" customWidth="1"/>
    <col min="7403" max="7588" width="9" style="3"/>
    <col min="7589" max="7590" width="0" style="3" hidden="1" customWidth="1"/>
    <col min="7591" max="7591" width="13.75" style="3" customWidth="1"/>
    <col min="7592" max="7592" width="52.875" style="3" customWidth="1"/>
    <col min="7593" max="7632" width="0" style="3" hidden="1" customWidth="1"/>
    <col min="7633" max="7634" width="14.875" style="3" customWidth="1"/>
    <col min="7635" max="7636" width="0" style="3" hidden="1" customWidth="1"/>
    <col min="7637" max="7637" width="14.875" style="3" customWidth="1"/>
    <col min="7638" max="7639" width="0" style="3" hidden="1" customWidth="1"/>
    <col min="7640" max="7640" width="14.875" style="3" customWidth="1"/>
    <col min="7641" max="7642" width="0" style="3" hidden="1" customWidth="1"/>
    <col min="7643" max="7643" width="14.875" style="3" customWidth="1"/>
    <col min="7644" max="7645" width="0" style="3" hidden="1" customWidth="1"/>
    <col min="7646" max="7646" width="14.875" style="3" customWidth="1"/>
    <col min="7647" max="7648" width="0" style="3" hidden="1" customWidth="1"/>
    <col min="7649" max="7650" width="14.875" style="3" customWidth="1"/>
    <col min="7651" max="7651" width="44.375" style="3" customWidth="1"/>
    <col min="7652" max="7656" width="14.875" style="3" customWidth="1"/>
    <col min="7657" max="7657" width="63.875" style="3" customWidth="1"/>
    <col min="7658" max="7658" width="13.25" style="3" customWidth="1"/>
    <col min="7659" max="7844" width="9" style="3"/>
    <col min="7845" max="7846" width="0" style="3" hidden="1" customWidth="1"/>
    <col min="7847" max="7847" width="13.75" style="3" customWidth="1"/>
    <col min="7848" max="7848" width="52.875" style="3" customWidth="1"/>
    <col min="7849" max="7888" width="0" style="3" hidden="1" customWidth="1"/>
    <col min="7889" max="7890" width="14.875" style="3" customWidth="1"/>
    <col min="7891" max="7892" width="0" style="3" hidden="1" customWidth="1"/>
    <col min="7893" max="7893" width="14.875" style="3" customWidth="1"/>
    <col min="7894" max="7895" width="0" style="3" hidden="1" customWidth="1"/>
    <col min="7896" max="7896" width="14.875" style="3" customWidth="1"/>
    <col min="7897" max="7898" width="0" style="3" hidden="1" customWidth="1"/>
    <col min="7899" max="7899" width="14.875" style="3" customWidth="1"/>
    <col min="7900" max="7901" width="0" style="3" hidden="1" customWidth="1"/>
    <col min="7902" max="7902" width="14.875" style="3" customWidth="1"/>
    <col min="7903" max="7904" width="0" style="3" hidden="1" customWidth="1"/>
    <col min="7905" max="7906" width="14.875" style="3" customWidth="1"/>
    <col min="7907" max="7907" width="44.375" style="3" customWidth="1"/>
    <col min="7908" max="7912" width="14.875" style="3" customWidth="1"/>
    <col min="7913" max="7913" width="63.875" style="3" customWidth="1"/>
    <col min="7914" max="7914" width="13.25" style="3" customWidth="1"/>
    <col min="7915" max="8100" width="9" style="3"/>
    <col min="8101" max="8102" width="0" style="3" hidden="1" customWidth="1"/>
    <col min="8103" max="8103" width="13.75" style="3" customWidth="1"/>
    <col min="8104" max="8104" width="52.875" style="3" customWidth="1"/>
    <col min="8105" max="8144" width="0" style="3" hidden="1" customWidth="1"/>
    <col min="8145" max="8146" width="14.875" style="3" customWidth="1"/>
    <col min="8147" max="8148" width="0" style="3" hidden="1" customWidth="1"/>
    <col min="8149" max="8149" width="14.875" style="3" customWidth="1"/>
    <col min="8150" max="8151" width="0" style="3" hidden="1" customWidth="1"/>
    <col min="8152" max="8152" width="14.875" style="3" customWidth="1"/>
    <col min="8153" max="8154" width="0" style="3" hidden="1" customWidth="1"/>
    <col min="8155" max="8155" width="14.875" style="3" customWidth="1"/>
    <col min="8156" max="8157" width="0" style="3" hidden="1" customWidth="1"/>
    <col min="8158" max="8158" width="14.875" style="3" customWidth="1"/>
    <col min="8159" max="8160" width="0" style="3" hidden="1" customWidth="1"/>
    <col min="8161" max="8162" width="14.875" style="3" customWidth="1"/>
    <col min="8163" max="8163" width="44.375" style="3" customWidth="1"/>
    <col min="8164" max="8168" width="14.875" style="3" customWidth="1"/>
    <col min="8169" max="8169" width="63.875" style="3" customWidth="1"/>
    <col min="8170" max="8170" width="13.25" style="3" customWidth="1"/>
    <col min="8171" max="8356" width="9" style="3"/>
    <col min="8357" max="8358" width="0" style="3" hidden="1" customWidth="1"/>
    <col min="8359" max="8359" width="13.75" style="3" customWidth="1"/>
    <col min="8360" max="8360" width="52.875" style="3" customWidth="1"/>
    <col min="8361" max="8400" width="0" style="3" hidden="1" customWidth="1"/>
    <col min="8401" max="8402" width="14.875" style="3" customWidth="1"/>
    <col min="8403" max="8404" width="0" style="3" hidden="1" customWidth="1"/>
    <col min="8405" max="8405" width="14.875" style="3" customWidth="1"/>
    <col min="8406" max="8407" width="0" style="3" hidden="1" customWidth="1"/>
    <col min="8408" max="8408" width="14.875" style="3" customWidth="1"/>
    <col min="8409" max="8410" width="0" style="3" hidden="1" customWidth="1"/>
    <col min="8411" max="8411" width="14.875" style="3" customWidth="1"/>
    <col min="8412" max="8413" width="0" style="3" hidden="1" customWidth="1"/>
    <col min="8414" max="8414" width="14.875" style="3" customWidth="1"/>
    <col min="8415" max="8416" width="0" style="3" hidden="1" customWidth="1"/>
    <col min="8417" max="8418" width="14.875" style="3" customWidth="1"/>
    <col min="8419" max="8419" width="44.375" style="3" customWidth="1"/>
    <col min="8420" max="8424" width="14.875" style="3" customWidth="1"/>
    <col min="8425" max="8425" width="63.875" style="3" customWidth="1"/>
    <col min="8426" max="8426" width="13.25" style="3" customWidth="1"/>
    <col min="8427" max="8612" width="9" style="3"/>
    <col min="8613" max="8614" width="0" style="3" hidden="1" customWidth="1"/>
    <col min="8615" max="8615" width="13.75" style="3" customWidth="1"/>
    <col min="8616" max="8616" width="52.875" style="3" customWidth="1"/>
    <col min="8617" max="8656" width="0" style="3" hidden="1" customWidth="1"/>
    <col min="8657" max="8658" width="14.875" style="3" customWidth="1"/>
    <col min="8659" max="8660" width="0" style="3" hidden="1" customWidth="1"/>
    <col min="8661" max="8661" width="14.875" style="3" customWidth="1"/>
    <col min="8662" max="8663" width="0" style="3" hidden="1" customWidth="1"/>
    <col min="8664" max="8664" width="14.875" style="3" customWidth="1"/>
    <col min="8665" max="8666" width="0" style="3" hidden="1" customWidth="1"/>
    <col min="8667" max="8667" width="14.875" style="3" customWidth="1"/>
    <col min="8668" max="8669" width="0" style="3" hidden="1" customWidth="1"/>
    <col min="8670" max="8670" width="14.875" style="3" customWidth="1"/>
    <col min="8671" max="8672" width="0" style="3" hidden="1" customWidth="1"/>
    <col min="8673" max="8674" width="14.875" style="3" customWidth="1"/>
    <col min="8675" max="8675" width="44.375" style="3" customWidth="1"/>
    <col min="8676" max="8680" width="14.875" style="3" customWidth="1"/>
    <col min="8681" max="8681" width="63.875" style="3" customWidth="1"/>
    <col min="8682" max="8682" width="13.25" style="3" customWidth="1"/>
    <col min="8683" max="8868" width="9" style="3"/>
    <col min="8869" max="8870" width="0" style="3" hidden="1" customWidth="1"/>
    <col min="8871" max="8871" width="13.75" style="3" customWidth="1"/>
    <col min="8872" max="8872" width="52.875" style="3" customWidth="1"/>
    <col min="8873" max="8912" width="0" style="3" hidden="1" customWidth="1"/>
    <col min="8913" max="8914" width="14.875" style="3" customWidth="1"/>
    <col min="8915" max="8916" width="0" style="3" hidden="1" customWidth="1"/>
    <col min="8917" max="8917" width="14.875" style="3" customWidth="1"/>
    <col min="8918" max="8919" width="0" style="3" hidden="1" customWidth="1"/>
    <col min="8920" max="8920" width="14.875" style="3" customWidth="1"/>
    <col min="8921" max="8922" width="0" style="3" hidden="1" customWidth="1"/>
    <col min="8923" max="8923" width="14.875" style="3" customWidth="1"/>
    <col min="8924" max="8925" width="0" style="3" hidden="1" customWidth="1"/>
    <col min="8926" max="8926" width="14.875" style="3" customWidth="1"/>
    <col min="8927" max="8928" width="0" style="3" hidden="1" customWidth="1"/>
    <col min="8929" max="8930" width="14.875" style="3" customWidth="1"/>
    <col min="8931" max="8931" width="44.375" style="3" customWidth="1"/>
    <col min="8932" max="8936" width="14.875" style="3" customWidth="1"/>
    <col min="8937" max="8937" width="63.875" style="3" customWidth="1"/>
    <col min="8938" max="8938" width="13.25" style="3" customWidth="1"/>
    <col min="8939" max="9124" width="9" style="3"/>
    <col min="9125" max="9126" width="0" style="3" hidden="1" customWidth="1"/>
    <col min="9127" max="9127" width="13.75" style="3" customWidth="1"/>
    <col min="9128" max="9128" width="52.875" style="3" customWidth="1"/>
    <col min="9129" max="9168" width="0" style="3" hidden="1" customWidth="1"/>
    <col min="9169" max="9170" width="14.875" style="3" customWidth="1"/>
    <col min="9171" max="9172" width="0" style="3" hidden="1" customWidth="1"/>
    <col min="9173" max="9173" width="14.875" style="3" customWidth="1"/>
    <col min="9174" max="9175" width="0" style="3" hidden="1" customWidth="1"/>
    <col min="9176" max="9176" width="14.875" style="3" customWidth="1"/>
    <col min="9177" max="9178" width="0" style="3" hidden="1" customWidth="1"/>
    <col min="9179" max="9179" width="14.875" style="3" customWidth="1"/>
    <col min="9180" max="9181" width="0" style="3" hidden="1" customWidth="1"/>
    <col min="9182" max="9182" width="14.875" style="3" customWidth="1"/>
    <col min="9183" max="9184" width="0" style="3" hidden="1" customWidth="1"/>
    <col min="9185" max="9186" width="14.875" style="3" customWidth="1"/>
    <col min="9187" max="9187" width="44.375" style="3" customWidth="1"/>
    <col min="9188" max="9192" width="14.875" style="3" customWidth="1"/>
    <col min="9193" max="9193" width="63.875" style="3" customWidth="1"/>
    <col min="9194" max="9194" width="13.25" style="3" customWidth="1"/>
    <col min="9195" max="9380" width="9" style="3"/>
    <col min="9381" max="9382" width="0" style="3" hidden="1" customWidth="1"/>
    <col min="9383" max="9383" width="13.75" style="3" customWidth="1"/>
    <col min="9384" max="9384" width="52.875" style="3" customWidth="1"/>
    <col min="9385" max="9424" width="0" style="3" hidden="1" customWidth="1"/>
    <col min="9425" max="9426" width="14.875" style="3" customWidth="1"/>
    <col min="9427" max="9428" width="0" style="3" hidden="1" customWidth="1"/>
    <col min="9429" max="9429" width="14.875" style="3" customWidth="1"/>
    <col min="9430" max="9431" width="0" style="3" hidden="1" customWidth="1"/>
    <col min="9432" max="9432" width="14.875" style="3" customWidth="1"/>
    <col min="9433" max="9434" width="0" style="3" hidden="1" customWidth="1"/>
    <col min="9435" max="9435" width="14.875" style="3" customWidth="1"/>
    <col min="9436" max="9437" width="0" style="3" hidden="1" customWidth="1"/>
    <col min="9438" max="9438" width="14.875" style="3" customWidth="1"/>
    <col min="9439" max="9440" width="0" style="3" hidden="1" customWidth="1"/>
    <col min="9441" max="9442" width="14.875" style="3" customWidth="1"/>
    <col min="9443" max="9443" width="44.375" style="3" customWidth="1"/>
    <col min="9444" max="9448" width="14.875" style="3" customWidth="1"/>
    <col min="9449" max="9449" width="63.875" style="3" customWidth="1"/>
    <col min="9450" max="9450" width="13.25" style="3" customWidth="1"/>
    <col min="9451" max="9636" width="9" style="3"/>
    <col min="9637" max="9638" width="0" style="3" hidden="1" customWidth="1"/>
    <col min="9639" max="9639" width="13.75" style="3" customWidth="1"/>
    <col min="9640" max="9640" width="52.875" style="3" customWidth="1"/>
    <col min="9641" max="9680" width="0" style="3" hidden="1" customWidth="1"/>
    <col min="9681" max="9682" width="14.875" style="3" customWidth="1"/>
    <col min="9683" max="9684" width="0" style="3" hidden="1" customWidth="1"/>
    <col min="9685" max="9685" width="14.875" style="3" customWidth="1"/>
    <col min="9686" max="9687" width="0" style="3" hidden="1" customWidth="1"/>
    <col min="9688" max="9688" width="14.875" style="3" customWidth="1"/>
    <col min="9689" max="9690" width="0" style="3" hidden="1" customWidth="1"/>
    <col min="9691" max="9691" width="14.875" style="3" customWidth="1"/>
    <col min="9692" max="9693" width="0" style="3" hidden="1" customWidth="1"/>
    <col min="9694" max="9694" width="14.875" style="3" customWidth="1"/>
    <col min="9695" max="9696" width="0" style="3" hidden="1" customWidth="1"/>
    <col min="9697" max="9698" width="14.875" style="3" customWidth="1"/>
    <col min="9699" max="9699" width="44.375" style="3" customWidth="1"/>
    <col min="9700" max="9704" width="14.875" style="3" customWidth="1"/>
    <col min="9705" max="9705" width="63.875" style="3" customWidth="1"/>
    <col min="9706" max="9706" width="13.25" style="3" customWidth="1"/>
    <col min="9707" max="9892" width="9" style="3"/>
    <col min="9893" max="9894" width="0" style="3" hidden="1" customWidth="1"/>
    <col min="9895" max="9895" width="13.75" style="3" customWidth="1"/>
    <col min="9896" max="9896" width="52.875" style="3" customWidth="1"/>
    <col min="9897" max="9936" width="0" style="3" hidden="1" customWidth="1"/>
    <col min="9937" max="9938" width="14.875" style="3" customWidth="1"/>
    <col min="9939" max="9940" width="0" style="3" hidden="1" customWidth="1"/>
    <col min="9941" max="9941" width="14.875" style="3" customWidth="1"/>
    <col min="9942" max="9943" width="0" style="3" hidden="1" customWidth="1"/>
    <col min="9944" max="9944" width="14.875" style="3" customWidth="1"/>
    <col min="9945" max="9946" width="0" style="3" hidden="1" customWidth="1"/>
    <col min="9947" max="9947" width="14.875" style="3" customWidth="1"/>
    <col min="9948" max="9949" width="0" style="3" hidden="1" customWidth="1"/>
    <col min="9950" max="9950" width="14.875" style="3" customWidth="1"/>
    <col min="9951" max="9952" width="0" style="3" hidden="1" customWidth="1"/>
    <col min="9953" max="9954" width="14.875" style="3" customWidth="1"/>
    <col min="9955" max="9955" width="44.375" style="3" customWidth="1"/>
    <col min="9956" max="9960" width="14.875" style="3" customWidth="1"/>
    <col min="9961" max="9961" width="63.875" style="3" customWidth="1"/>
    <col min="9962" max="9962" width="13.25" style="3" customWidth="1"/>
    <col min="9963" max="10148" width="9" style="3"/>
    <col min="10149" max="10150" width="0" style="3" hidden="1" customWidth="1"/>
    <col min="10151" max="10151" width="13.75" style="3" customWidth="1"/>
    <col min="10152" max="10152" width="52.875" style="3" customWidth="1"/>
    <col min="10153" max="10192" width="0" style="3" hidden="1" customWidth="1"/>
    <col min="10193" max="10194" width="14.875" style="3" customWidth="1"/>
    <col min="10195" max="10196" width="0" style="3" hidden="1" customWidth="1"/>
    <col min="10197" max="10197" width="14.875" style="3" customWidth="1"/>
    <col min="10198" max="10199" width="0" style="3" hidden="1" customWidth="1"/>
    <col min="10200" max="10200" width="14.875" style="3" customWidth="1"/>
    <col min="10201" max="10202" width="0" style="3" hidden="1" customWidth="1"/>
    <col min="10203" max="10203" width="14.875" style="3" customWidth="1"/>
    <col min="10204" max="10205" width="0" style="3" hidden="1" customWidth="1"/>
    <col min="10206" max="10206" width="14.875" style="3" customWidth="1"/>
    <col min="10207" max="10208" width="0" style="3" hidden="1" customWidth="1"/>
    <col min="10209" max="10210" width="14.875" style="3" customWidth="1"/>
    <col min="10211" max="10211" width="44.375" style="3" customWidth="1"/>
    <col min="10212" max="10216" width="14.875" style="3" customWidth="1"/>
    <col min="10217" max="10217" width="63.875" style="3" customWidth="1"/>
    <col min="10218" max="10218" width="13.25" style="3" customWidth="1"/>
    <col min="10219" max="10404" width="9" style="3"/>
    <col min="10405" max="10406" width="0" style="3" hidden="1" customWidth="1"/>
    <col min="10407" max="10407" width="13.75" style="3" customWidth="1"/>
    <col min="10408" max="10408" width="52.875" style="3" customWidth="1"/>
    <col min="10409" max="10448" width="0" style="3" hidden="1" customWidth="1"/>
    <col min="10449" max="10450" width="14.875" style="3" customWidth="1"/>
    <col min="10451" max="10452" width="0" style="3" hidden="1" customWidth="1"/>
    <col min="10453" max="10453" width="14.875" style="3" customWidth="1"/>
    <col min="10454" max="10455" width="0" style="3" hidden="1" customWidth="1"/>
    <col min="10456" max="10456" width="14.875" style="3" customWidth="1"/>
    <col min="10457" max="10458" width="0" style="3" hidden="1" customWidth="1"/>
    <col min="10459" max="10459" width="14.875" style="3" customWidth="1"/>
    <col min="10460" max="10461" width="0" style="3" hidden="1" customWidth="1"/>
    <col min="10462" max="10462" width="14.875" style="3" customWidth="1"/>
    <col min="10463" max="10464" width="0" style="3" hidden="1" customWidth="1"/>
    <col min="10465" max="10466" width="14.875" style="3" customWidth="1"/>
    <col min="10467" max="10467" width="44.375" style="3" customWidth="1"/>
    <col min="10468" max="10472" width="14.875" style="3" customWidth="1"/>
    <col min="10473" max="10473" width="63.875" style="3" customWidth="1"/>
    <col min="10474" max="10474" width="13.25" style="3" customWidth="1"/>
    <col min="10475" max="10660" width="9" style="3"/>
    <col min="10661" max="10662" width="0" style="3" hidden="1" customWidth="1"/>
    <col min="10663" max="10663" width="13.75" style="3" customWidth="1"/>
    <col min="10664" max="10664" width="52.875" style="3" customWidth="1"/>
    <col min="10665" max="10704" width="0" style="3" hidden="1" customWidth="1"/>
    <col min="10705" max="10706" width="14.875" style="3" customWidth="1"/>
    <col min="10707" max="10708" width="0" style="3" hidden="1" customWidth="1"/>
    <col min="10709" max="10709" width="14.875" style="3" customWidth="1"/>
    <col min="10710" max="10711" width="0" style="3" hidden="1" customWidth="1"/>
    <col min="10712" max="10712" width="14.875" style="3" customWidth="1"/>
    <col min="10713" max="10714" width="0" style="3" hidden="1" customWidth="1"/>
    <col min="10715" max="10715" width="14.875" style="3" customWidth="1"/>
    <col min="10716" max="10717" width="0" style="3" hidden="1" customWidth="1"/>
    <col min="10718" max="10718" width="14.875" style="3" customWidth="1"/>
    <col min="10719" max="10720" width="0" style="3" hidden="1" customWidth="1"/>
    <col min="10721" max="10722" width="14.875" style="3" customWidth="1"/>
    <col min="10723" max="10723" width="44.375" style="3" customWidth="1"/>
    <col min="10724" max="10728" width="14.875" style="3" customWidth="1"/>
    <col min="10729" max="10729" width="63.875" style="3" customWidth="1"/>
    <col min="10730" max="10730" width="13.25" style="3" customWidth="1"/>
    <col min="10731" max="10916" width="9" style="3"/>
    <col min="10917" max="10918" width="0" style="3" hidden="1" customWidth="1"/>
    <col min="10919" max="10919" width="13.75" style="3" customWidth="1"/>
    <col min="10920" max="10920" width="52.875" style="3" customWidth="1"/>
    <col min="10921" max="10960" width="0" style="3" hidden="1" customWidth="1"/>
    <col min="10961" max="10962" width="14.875" style="3" customWidth="1"/>
    <col min="10963" max="10964" width="0" style="3" hidden="1" customWidth="1"/>
    <col min="10965" max="10965" width="14.875" style="3" customWidth="1"/>
    <col min="10966" max="10967" width="0" style="3" hidden="1" customWidth="1"/>
    <col min="10968" max="10968" width="14.875" style="3" customWidth="1"/>
    <col min="10969" max="10970" width="0" style="3" hidden="1" customWidth="1"/>
    <col min="10971" max="10971" width="14.875" style="3" customWidth="1"/>
    <col min="10972" max="10973" width="0" style="3" hidden="1" customWidth="1"/>
    <col min="10974" max="10974" width="14.875" style="3" customWidth="1"/>
    <col min="10975" max="10976" width="0" style="3" hidden="1" customWidth="1"/>
    <col min="10977" max="10978" width="14.875" style="3" customWidth="1"/>
    <col min="10979" max="10979" width="44.375" style="3" customWidth="1"/>
    <col min="10980" max="10984" width="14.875" style="3" customWidth="1"/>
    <col min="10985" max="10985" width="63.875" style="3" customWidth="1"/>
    <col min="10986" max="10986" width="13.25" style="3" customWidth="1"/>
    <col min="10987" max="11172" width="9" style="3"/>
    <col min="11173" max="11174" width="0" style="3" hidden="1" customWidth="1"/>
    <col min="11175" max="11175" width="13.75" style="3" customWidth="1"/>
    <col min="11176" max="11176" width="52.875" style="3" customWidth="1"/>
    <col min="11177" max="11216" width="0" style="3" hidden="1" customWidth="1"/>
    <col min="11217" max="11218" width="14.875" style="3" customWidth="1"/>
    <col min="11219" max="11220" width="0" style="3" hidden="1" customWidth="1"/>
    <col min="11221" max="11221" width="14.875" style="3" customWidth="1"/>
    <col min="11222" max="11223" width="0" style="3" hidden="1" customWidth="1"/>
    <col min="11224" max="11224" width="14.875" style="3" customWidth="1"/>
    <col min="11225" max="11226" width="0" style="3" hidden="1" customWidth="1"/>
    <col min="11227" max="11227" width="14.875" style="3" customWidth="1"/>
    <col min="11228" max="11229" width="0" style="3" hidden="1" customWidth="1"/>
    <col min="11230" max="11230" width="14.875" style="3" customWidth="1"/>
    <col min="11231" max="11232" width="0" style="3" hidden="1" customWidth="1"/>
    <col min="11233" max="11234" width="14.875" style="3" customWidth="1"/>
    <col min="11235" max="11235" width="44.375" style="3" customWidth="1"/>
    <col min="11236" max="11240" width="14.875" style="3" customWidth="1"/>
    <col min="11241" max="11241" width="63.875" style="3" customWidth="1"/>
    <col min="11242" max="11242" width="13.25" style="3" customWidth="1"/>
    <col min="11243" max="11428" width="9" style="3"/>
    <col min="11429" max="11430" width="0" style="3" hidden="1" customWidth="1"/>
    <col min="11431" max="11431" width="13.75" style="3" customWidth="1"/>
    <col min="11432" max="11432" width="52.875" style="3" customWidth="1"/>
    <col min="11433" max="11472" width="0" style="3" hidden="1" customWidth="1"/>
    <col min="11473" max="11474" width="14.875" style="3" customWidth="1"/>
    <col min="11475" max="11476" width="0" style="3" hidden="1" customWidth="1"/>
    <col min="11477" max="11477" width="14.875" style="3" customWidth="1"/>
    <col min="11478" max="11479" width="0" style="3" hidden="1" customWidth="1"/>
    <col min="11480" max="11480" width="14.875" style="3" customWidth="1"/>
    <col min="11481" max="11482" width="0" style="3" hidden="1" customWidth="1"/>
    <col min="11483" max="11483" width="14.875" style="3" customWidth="1"/>
    <col min="11484" max="11485" width="0" style="3" hidden="1" customWidth="1"/>
    <col min="11486" max="11486" width="14.875" style="3" customWidth="1"/>
    <col min="11487" max="11488" width="0" style="3" hidden="1" customWidth="1"/>
    <col min="11489" max="11490" width="14.875" style="3" customWidth="1"/>
    <col min="11491" max="11491" width="44.375" style="3" customWidth="1"/>
    <col min="11492" max="11496" width="14.875" style="3" customWidth="1"/>
    <col min="11497" max="11497" width="63.875" style="3" customWidth="1"/>
    <col min="11498" max="11498" width="13.25" style="3" customWidth="1"/>
    <col min="11499" max="11684" width="9" style="3"/>
    <col min="11685" max="11686" width="0" style="3" hidden="1" customWidth="1"/>
    <col min="11687" max="11687" width="13.75" style="3" customWidth="1"/>
    <col min="11688" max="11688" width="52.875" style="3" customWidth="1"/>
    <col min="11689" max="11728" width="0" style="3" hidden="1" customWidth="1"/>
    <col min="11729" max="11730" width="14.875" style="3" customWidth="1"/>
    <col min="11731" max="11732" width="0" style="3" hidden="1" customWidth="1"/>
    <col min="11733" max="11733" width="14.875" style="3" customWidth="1"/>
    <col min="11734" max="11735" width="0" style="3" hidden="1" customWidth="1"/>
    <col min="11736" max="11736" width="14.875" style="3" customWidth="1"/>
    <col min="11737" max="11738" width="0" style="3" hidden="1" customWidth="1"/>
    <col min="11739" max="11739" width="14.875" style="3" customWidth="1"/>
    <col min="11740" max="11741" width="0" style="3" hidden="1" customWidth="1"/>
    <col min="11742" max="11742" width="14.875" style="3" customWidth="1"/>
    <col min="11743" max="11744" width="0" style="3" hidden="1" customWidth="1"/>
    <col min="11745" max="11746" width="14.875" style="3" customWidth="1"/>
    <col min="11747" max="11747" width="44.375" style="3" customWidth="1"/>
    <col min="11748" max="11752" width="14.875" style="3" customWidth="1"/>
    <col min="11753" max="11753" width="63.875" style="3" customWidth="1"/>
    <col min="11754" max="11754" width="13.25" style="3" customWidth="1"/>
    <col min="11755" max="11940" width="9" style="3"/>
    <col min="11941" max="11942" width="0" style="3" hidden="1" customWidth="1"/>
    <col min="11943" max="11943" width="13.75" style="3" customWidth="1"/>
    <col min="11944" max="11944" width="52.875" style="3" customWidth="1"/>
    <col min="11945" max="11984" width="0" style="3" hidden="1" customWidth="1"/>
    <col min="11985" max="11986" width="14.875" style="3" customWidth="1"/>
    <col min="11987" max="11988" width="0" style="3" hidden="1" customWidth="1"/>
    <col min="11989" max="11989" width="14.875" style="3" customWidth="1"/>
    <col min="11990" max="11991" width="0" style="3" hidden="1" customWidth="1"/>
    <col min="11992" max="11992" width="14.875" style="3" customWidth="1"/>
    <col min="11993" max="11994" width="0" style="3" hidden="1" customWidth="1"/>
    <col min="11995" max="11995" width="14.875" style="3" customWidth="1"/>
    <col min="11996" max="11997" width="0" style="3" hidden="1" customWidth="1"/>
    <col min="11998" max="11998" width="14.875" style="3" customWidth="1"/>
    <col min="11999" max="12000" width="0" style="3" hidden="1" customWidth="1"/>
    <col min="12001" max="12002" width="14.875" style="3" customWidth="1"/>
    <col min="12003" max="12003" width="44.375" style="3" customWidth="1"/>
    <col min="12004" max="12008" width="14.875" style="3" customWidth="1"/>
    <col min="12009" max="12009" width="63.875" style="3" customWidth="1"/>
    <col min="12010" max="12010" width="13.25" style="3" customWidth="1"/>
    <col min="12011" max="12196" width="9" style="3"/>
    <col min="12197" max="12198" width="0" style="3" hidden="1" customWidth="1"/>
    <col min="12199" max="12199" width="13.75" style="3" customWidth="1"/>
    <col min="12200" max="12200" width="52.875" style="3" customWidth="1"/>
    <col min="12201" max="12240" width="0" style="3" hidden="1" customWidth="1"/>
    <col min="12241" max="12242" width="14.875" style="3" customWidth="1"/>
    <col min="12243" max="12244" width="0" style="3" hidden="1" customWidth="1"/>
    <col min="12245" max="12245" width="14.875" style="3" customWidth="1"/>
    <col min="12246" max="12247" width="0" style="3" hidden="1" customWidth="1"/>
    <col min="12248" max="12248" width="14.875" style="3" customWidth="1"/>
    <col min="12249" max="12250" width="0" style="3" hidden="1" customWidth="1"/>
    <col min="12251" max="12251" width="14.875" style="3" customWidth="1"/>
    <col min="12252" max="12253" width="0" style="3" hidden="1" customWidth="1"/>
    <col min="12254" max="12254" width="14.875" style="3" customWidth="1"/>
    <col min="12255" max="12256" width="0" style="3" hidden="1" customWidth="1"/>
    <col min="12257" max="12258" width="14.875" style="3" customWidth="1"/>
    <col min="12259" max="12259" width="44.375" style="3" customWidth="1"/>
    <col min="12260" max="12264" width="14.875" style="3" customWidth="1"/>
    <col min="12265" max="12265" width="63.875" style="3" customWidth="1"/>
    <col min="12266" max="12266" width="13.25" style="3" customWidth="1"/>
    <col min="12267" max="12452" width="9" style="3"/>
    <col min="12453" max="12454" width="0" style="3" hidden="1" customWidth="1"/>
    <col min="12455" max="12455" width="13.75" style="3" customWidth="1"/>
    <col min="12456" max="12456" width="52.875" style="3" customWidth="1"/>
    <col min="12457" max="12496" width="0" style="3" hidden="1" customWidth="1"/>
    <col min="12497" max="12498" width="14.875" style="3" customWidth="1"/>
    <col min="12499" max="12500" width="0" style="3" hidden="1" customWidth="1"/>
    <col min="12501" max="12501" width="14.875" style="3" customWidth="1"/>
    <col min="12502" max="12503" width="0" style="3" hidden="1" customWidth="1"/>
    <col min="12504" max="12504" width="14.875" style="3" customWidth="1"/>
    <col min="12505" max="12506" width="0" style="3" hidden="1" customWidth="1"/>
    <col min="12507" max="12507" width="14.875" style="3" customWidth="1"/>
    <col min="12508" max="12509" width="0" style="3" hidden="1" customWidth="1"/>
    <col min="12510" max="12510" width="14.875" style="3" customWidth="1"/>
    <col min="12511" max="12512" width="0" style="3" hidden="1" customWidth="1"/>
    <col min="12513" max="12514" width="14.875" style="3" customWidth="1"/>
    <col min="12515" max="12515" width="44.375" style="3" customWidth="1"/>
    <col min="12516" max="12520" width="14.875" style="3" customWidth="1"/>
    <col min="12521" max="12521" width="63.875" style="3" customWidth="1"/>
    <col min="12522" max="12522" width="13.25" style="3" customWidth="1"/>
    <col min="12523" max="12708" width="9" style="3"/>
    <col min="12709" max="12710" width="0" style="3" hidden="1" customWidth="1"/>
    <col min="12711" max="12711" width="13.75" style="3" customWidth="1"/>
    <col min="12712" max="12712" width="52.875" style="3" customWidth="1"/>
    <col min="12713" max="12752" width="0" style="3" hidden="1" customWidth="1"/>
    <col min="12753" max="12754" width="14.875" style="3" customWidth="1"/>
    <col min="12755" max="12756" width="0" style="3" hidden="1" customWidth="1"/>
    <col min="12757" max="12757" width="14.875" style="3" customWidth="1"/>
    <col min="12758" max="12759" width="0" style="3" hidden="1" customWidth="1"/>
    <col min="12760" max="12760" width="14.875" style="3" customWidth="1"/>
    <col min="12761" max="12762" width="0" style="3" hidden="1" customWidth="1"/>
    <col min="12763" max="12763" width="14.875" style="3" customWidth="1"/>
    <col min="12764" max="12765" width="0" style="3" hidden="1" customWidth="1"/>
    <col min="12766" max="12766" width="14.875" style="3" customWidth="1"/>
    <col min="12767" max="12768" width="0" style="3" hidden="1" customWidth="1"/>
    <col min="12769" max="12770" width="14.875" style="3" customWidth="1"/>
    <col min="12771" max="12771" width="44.375" style="3" customWidth="1"/>
    <col min="12772" max="12776" width="14.875" style="3" customWidth="1"/>
    <col min="12777" max="12777" width="63.875" style="3" customWidth="1"/>
    <col min="12778" max="12778" width="13.25" style="3" customWidth="1"/>
    <col min="12779" max="12964" width="9" style="3"/>
    <col min="12965" max="12966" width="0" style="3" hidden="1" customWidth="1"/>
    <col min="12967" max="12967" width="13.75" style="3" customWidth="1"/>
    <col min="12968" max="12968" width="52.875" style="3" customWidth="1"/>
    <col min="12969" max="13008" width="0" style="3" hidden="1" customWidth="1"/>
    <col min="13009" max="13010" width="14.875" style="3" customWidth="1"/>
    <col min="13011" max="13012" width="0" style="3" hidden="1" customWidth="1"/>
    <col min="13013" max="13013" width="14.875" style="3" customWidth="1"/>
    <col min="13014" max="13015" width="0" style="3" hidden="1" customWidth="1"/>
    <col min="13016" max="13016" width="14.875" style="3" customWidth="1"/>
    <col min="13017" max="13018" width="0" style="3" hidden="1" customWidth="1"/>
    <col min="13019" max="13019" width="14.875" style="3" customWidth="1"/>
    <col min="13020" max="13021" width="0" style="3" hidden="1" customWidth="1"/>
    <col min="13022" max="13022" width="14.875" style="3" customWidth="1"/>
    <col min="13023" max="13024" width="0" style="3" hidden="1" customWidth="1"/>
    <col min="13025" max="13026" width="14.875" style="3" customWidth="1"/>
    <col min="13027" max="13027" width="44.375" style="3" customWidth="1"/>
    <col min="13028" max="13032" width="14.875" style="3" customWidth="1"/>
    <col min="13033" max="13033" width="63.875" style="3" customWidth="1"/>
    <col min="13034" max="13034" width="13.25" style="3" customWidth="1"/>
    <col min="13035" max="13220" width="9" style="3"/>
    <col min="13221" max="13222" width="0" style="3" hidden="1" customWidth="1"/>
    <col min="13223" max="13223" width="13.75" style="3" customWidth="1"/>
    <col min="13224" max="13224" width="52.875" style="3" customWidth="1"/>
    <col min="13225" max="13264" width="0" style="3" hidden="1" customWidth="1"/>
    <col min="13265" max="13266" width="14.875" style="3" customWidth="1"/>
    <col min="13267" max="13268" width="0" style="3" hidden="1" customWidth="1"/>
    <col min="13269" max="13269" width="14.875" style="3" customWidth="1"/>
    <col min="13270" max="13271" width="0" style="3" hidden="1" customWidth="1"/>
    <col min="13272" max="13272" width="14.875" style="3" customWidth="1"/>
    <col min="13273" max="13274" width="0" style="3" hidden="1" customWidth="1"/>
    <col min="13275" max="13275" width="14.875" style="3" customWidth="1"/>
    <col min="13276" max="13277" width="0" style="3" hidden="1" customWidth="1"/>
    <col min="13278" max="13278" width="14.875" style="3" customWidth="1"/>
    <col min="13279" max="13280" width="0" style="3" hidden="1" customWidth="1"/>
    <col min="13281" max="13282" width="14.875" style="3" customWidth="1"/>
    <col min="13283" max="13283" width="44.375" style="3" customWidth="1"/>
    <col min="13284" max="13288" width="14.875" style="3" customWidth="1"/>
    <col min="13289" max="13289" width="63.875" style="3" customWidth="1"/>
    <col min="13290" max="13290" width="13.25" style="3" customWidth="1"/>
    <col min="13291" max="13476" width="9" style="3"/>
    <col min="13477" max="13478" width="0" style="3" hidden="1" customWidth="1"/>
    <col min="13479" max="13479" width="13.75" style="3" customWidth="1"/>
    <col min="13480" max="13480" width="52.875" style="3" customWidth="1"/>
    <col min="13481" max="13520" width="0" style="3" hidden="1" customWidth="1"/>
    <col min="13521" max="13522" width="14.875" style="3" customWidth="1"/>
    <col min="13523" max="13524" width="0" style="3" hidden="1" customWidth="1"/>
    <col min="13525" max="13525" width="14.875" style="3" customWidth="1"/>
    <col min="13526" max="13527" width="0" style="3" hidden="1" customWidth="1"/>
    <col min="13528" max="13528" width="14.875" style="3" customWidth="1"/>
    <col min="13529" max="13530" width="0" style="3" hidden="1" customWidth="1"/>
    <col min="13531" max="13531" width="14.875" style="3" customWidth="1"/>
    <col min="13532" max="13533" width="0" style="3" hidden="1" customWidth="1"/>
    <col min="13534" max="13534" width="14.875" style="3" customWidth="1"/>
    <col min="13535" max="13536" width="0" style="3" hidden="1" customWidth="1"/>
    <col min="13537" max="13538" width="14.875" style="3" customWidth="1"/>
    <col min="13539" max="13539" width="44.375" style="3" customWidth="1"/>
    <col min="13540" max="13544" width="14.875" style="3" customWidth="1"/>
    <col min="13545" max="13545" width="63.875" style="3" customWidth="1"/>
    <col min="13546" max="13546" width="13.25" style="3" customWidth="1"/>
    <col min="13547" max="13732" width="9" style="3"/>
    <col min="13733" max="13734" width="0" style="3" hidden="1" customWidth="1"/>
    <col min="13735" max="13735" width="13.75" style="3" customWidth="1"/>
    <col min="13736" max="13736" width="52.875" style="3" customWidth="1"/>
    <col min="13737" max="13776" width="0" style="3" hidden="1" customWidth="1"/>
    <col min="13777" max="13778" width="14.875" style="3" customWidth="1"/>
    <col min="13779" max="13780" width="0" style="3" hidden="1" customWidth="1"/>
    <col min="13781" max="13781" width="14.875" style="3" customWidth="1"/>
    <col min="13782" max="13783" width="0" style="3" hidden="1" customWidth="1"/>
    <col min="13784" max="13784" width="14.875" style="3" customWidth="1"/>
    <col min="13785" max="13786" width="0" style="3" hidden="1" customWidth="1"/>
    <col min="13787" max="13787" width="14.875" style="3" customWidth="1"/>
    <col min="13788" max="13789" width="0" style="3" hidden="1" customWidth="1"/>
    <col min="13790" max="13790" width="14.875" style="3" customWidth="1"/>
    <col min="13791" max="13792" width="0" style="3" hidden="1" customWidth="1"/>
    <col min="13793" max="13794" width="14.875" style="3" customWidth="1"/>
    <col min="13795" max="13795" width="44.375" style="3" customWidth="1"/>
    <col min="13796" max="13800" width="14.875" style="3" customWidth="1"/>
    <col min="13801" max="13801" width="63.875" style="3" customWidth="1"/>
    <col min="13802" max="13802" width="13.25" style="3" customWidth="1"/>
    <col min="13803" max="13988" width="9" style="3"/>
    <col min="13989" max="13990" width="0" style="3" hidden="1" customWidth="1"/>
    <col min="13991" max="13991" width="13.75" style="3" customWidth="1"/>
    <col min="13992" max="13992" width="52.875" style="3" customWidth="1"/>
    <col min="13993" max="14032" width="0" style="3" hidden="1" customWidth="1"/>
    <col min="14033" max="14034" width="14.875" style="3" customWidth="1"/>
    <col min="14035" max="14036" width="0" style="3" hidden="1" customWidth="1"/>
    <col min="14037" max="14037" width="14.875" style="3" customWidth="1"/>
    <col min="14038" max="14039" width="0" style="3" hidden="1" customWidth="1"/>
    <col min="14040" max="14040" width="14.875" style="3" customWidth="1"/>
    <col min="14041" max="14042" width="0" style="3" hidden="1" customWidth="1"/>
    <col min="14043" max="14043" width="14.875" style="3" customWidth="1"/>
    <col min="14044" max="14045" width="0" style="3" hidden="1" customWidth="1"/>
    <col min="14046" max="14046" width="14.875" style="3" customWidth="1"/>
    <col min="14047" max="14048" width="0" style="3" hidden="1" customWidth="1"/>
    <col min="14049" max="14050" width="14.875" style="3" customWidth="1"/>
    <col min="14051" max="14051" width="44.375" style="3" customWidth="1"/>
    <col min="14052" max="14056" width="14.875" style="3" customWidth="1"/>
    <col min="14057" max="14057" width="63.875" style="3" customWidth="1"/>
    <col min="14058" max="14058" width="13.25" style="3" customWidth="1"/>
    <col min="14059" max="14244" width="9" style="3"/>
    <col min="14245" max="14246" width="0" style="3" hidden="1" customWidth="1"/>
    <col min="14247" max="14247" width="13.75" style="3" customWidth="1"/>
    <col min="14248" max="14248" width="52.875" style="3" customWidth="1"/>
    <col min="14249" max="14288" width="0" style="3" hidden="1" customWidth="1"/>
    <col min="14289" max="14290" width="14.875" style="3" customWidth="1"/>
    <col min="14291" max="14292" width="0" style="3" hidden="1" customWidth="1"/>
    <col min="14293" max="14293" width="14.875" style="3" customWidth="1"/>
    <col min="14294" max="14295" width="0" style="3" hidden="1" customWidth="1"/>
    <col min="14296" max="14296" width="14.875" style="3" customWidth="1"/>
    <col min="14297" max="14298" width="0" style="3" hidden="1" customWidth="1"/>
    <col min="14299" max="14299" width="14.875" style="3" customWidth="1"/>
    <col min="14300" max="14301" width="0" style="3" hidden="1" customWidth="1"/>
    <col min="14302" max="14302" width="14.875" style="3" customWidth="1"/>
    <col min="14303" max="14304" width="0" style="3" hidden="1" customWidth="1"/>
    <col min="14305" max="14306" width="14.875" style="3" customWidth="1"/>
    <col min="14307" max="14307" width="44.375" style="3" customWidth="1"/>
    <col min="14308" max="14312" width="14.875" style="3" customWidth="1"/>
    <col min="14313" max="14313" width="63.875" style="3" customWidth="1"/>
    <col min="14314" max="14314" width="13.25" style="3" customWidth="1"/>
    <col min="14315" max="14500" width="9" style="3"/>
    <col min="14501" max="14502" width="0" style="3" hidden="1" customWidth="1"/>
    <col min="14503" max="14503" width="13.75" style="3" customWidth="1"/>
    <col min="14504" max="14504" width="52.875" style="3" customWidth="1"/>
    <col min="14505" max="14544" width="0" style="3" hidden="1" customWidth="1"/>
    <col min="14545" max="14546" width="14.875" style="3" customWidth="1"/>
    <col min="14547" max="14548" width="0" style="3" hidden="1" customWidth="1"/>
    <col min="14549" max="14549" width="14.875" style="3" customWidth="1"/>
    <col min="14550" max="14551" width="0" style="3" hidden="1" customWidth="1"/>
    <col min="14552" max="14552" width="14.875" style="3" customWidth="1"/>
    <col min="14553" max="14554" width="0" style="3" hidden="1" customWidth="1"/>
    <col min="14555" max="14555" width="14.875" style="3" customWidth="1"/>
    <col min="14556" max="14557" width="0" style="3" hidden="1" customWidth="1"/>
    <col min="14558" max="14558" width="14.875" style="3" customWidth="1"/>
    <col min="14559" max="14560" width="0" style="3" hidden="1" customWidth="1"/>
    <col min="14561" max="14562" width="14.875" style="3" customWidth="1"/>
    <col min="14563" max="14563" width="44.375" style="3" customWidth="1"/>
    <col min="14564" max="14568" width="14.875" style="3" customWidth="1"/>
    <col min="14569" max="14569" width="63.875" style="3" customWidth="1"/>
    <col min="14570" max="14570" width="13.25" style="3" customWidth="1"/>
    <col min="14571" max="14756" width="9" style="3"/>
    <col min="14757" max="14758" width="0" style="3" hidden="1" customWidth="1"/>
    <col min="14759" max="14759" width="13.75" style="3" customWidth="1"/>
    <col min="14760" max="14760" width="52.875" style="3" customWidth="1"/>
    <col min="14761" max="14800" width="0" style="3" hidden="1" customWidth="1"/>
    <col min="14801" max="14802" width="14.875" style="3" customWidth="1"/>
    <col min="14803" max="14804" width="0" style="3" hidden="1" customWidth="1"/>
    <col min="14805" max="14805" width="14.875" style="3" customWidth="1"/>
    <col min="14806" max="14807" width="0" style="3" hidden="1" customWidth="1"/>
    <col min="14808" max="14808" width="14.875" style="3" customWidth="1"/>
    <col min="14809" max="14810" width="0" style="3" hidden="1" customWidth="1"/>
    <col min="14811" max="14811" width="14.875" style="3" customWidth="1"/>
    <col min="14812" max="14813" width="0" style="3" hidden="1" customWidth="1"/>
    <col min="14814" max="14814" width="14.875" style="3" customWidth="1"/>
    <col min="14815" max="14816" width="0" style="3" hidden="1" customWidth="1"/>
    <col min="14817" max="14818" width="14.875" style="3" customWidth="1"/>
    <col min="14819" max="14819" width="44.375" style="3" customWidth="1"/>
    <col min="14820" max="14824" width="14.875" style="3" customWidth="1"/>
    <col min="14825" max="14825" width="63.875" style="3" customWidth="1"/>
    <col min="14826" max="14826" width="13.25" style="3" customWidth="1"/>
    <col min="14827" max="15012" width="9" style="3"/>
    <col min="15013" max="15014" width="0" style="3" hidden="1" customWidth="1"/>
    <col min="15015" max="15015" width="13.75" style="3" customWidth="1"/>
    <col min="15016" max="15016" width="52.875" style="3" customWidth="1"/>
    <col min="15017" max="15056" width="0" style="3" hidden="1" customWidth="1"/>
    <col min="15057" max="15058" width="14.875" style="3" customWidth="1"/>
    <col min="15059" max="15060" width="0" style="3" hidden="1" customWidth="1"/>
    <col min="15061" max="15061" width="14.875" style="3" customWidth="1"/>
    <col min="15062" max="15063" width="0" style="3" hidden="1" customWidth="1"/>
    <col min="15064" max="15064" width="14.875" style="3" customWidth="1"/>
    <col min="15065" max="15066" width="0" style="3" hidden="1" customWidth="1"/>
    <col min="15067" max="15067" width="14.875" style="3" customWidth="1"/>
    <col min="15068" max="15069" width="0" style="3" hidden="1" customWidth="1"/>
    <col min="15070" max="15070" width="14.875" style="3" customWidth="1"/>
    <col min="15071" max="15072" width="0" style="3" hidden="1" customWidth="1"/>
    <col min="15073" max="15074" width="14.875" style="3" customWidth="1"/>
    <col min="15075" max="15075" width="44.375" style="3" customWidth="1"/>
    <col min="15076" max="15080" width="14.875" style="3" customWidth="1"/>
    <col min="15081" max="15081" width="63.875" style="3" customWidth="1"/>
    <col min="15082" max="15082" width="13.25" style="3" customWidth="1"/>
    <col min="15083" max="15268" width="9" style="3"/>
    <col min="15269" max="15270" width="0" style="3" hidden="1" customWidth="1"/>
    <col min="15271" max="15271" width="13.75" style="3" customWidth="1"/>
    <col min="15272" max="15272" width="52.875" style="3" customWidth="1"/>
    <col min="15273" max="15312" width="0" style="3" hidden="1" customWidth="1"/>
    <col min="15313" max="15314" width="14.875" style="3" customWidth="1"/>
    <col min="15315" max="15316" width="0" style="3" hidden="1" customWidth="1"/>
    <col min="15317" max="15317" width="14.875" style="3" customWidth="1"/>
    <col min="15318" max="15319" width="0" style="3" hidden="1" customWidth="1"/>
    <col min="15320" max="15320" width="14.875" style="3" customWidth="1"/>
    <col min="15321" max="15322" width="0" style="3" hidden="1" customWidth="1"/>
    <col min="15323" max="15323" width="14.875" style="3" customWidth="1"/>
    <col min="15324" max="15325" width="0" style="3" hidden="1" customWidth="1"/>
    <col min="15326" max="15326" width="14.875" style="3" customWidth="1"/>
    <col min="15327" max="15328" width="0" style="3" hidden="1" customWidth="1"/>
    <col min="15329" max="15330" width="14.875" style="3" customWidth="1"/>
    <col min="15331" max="15331" width="44.375" style="3" customWidth="1"/>
    <col min="15332" max="15336" width="14.875" style="3" customWidth="1"/>
    <col min="15337" max="15337" width="63.875" style="3" customWidth="1"/>
    <col min="15338" max="15338" width="13.25" style="3" customWidth="1"/>
    <col min="15339" max="15524" width="9" style="3"/>
    <col min="15525" max="15526" width="0" style="3" hidden="1" customWidth="1"/>
    <col min="15527" max="15527" width="13.75" style="3" customWidth="1"/>
    <col min="15528" max="15528" width="52.875" style="3" customWidth="1"/>
    <col min="15529" max="15568" width="0" style="3" hidden="1" customWidth="1"/>
    <col min="15569" max="15570" width="14.875" style="3" customWidth="1"/>
    <col min="15571" max="15572" width="0" style="3" hidden="1" customWidth="1"/>
    <col min="15573" max="15573" width="14.875" style="3" customWidth="1"/>
    <col min="15574" max="15575" width="0" style="3" hidden="1" customWidth="1"/>
    <col min="15576" max="15576" width="14.875" style="3" customWidth="1"/>
    <col min="15577" max="15578" width="0" style="3" hidden="1" customWidth="1"/>
    <col min="15579" max="15579" width="14.875" style="3" customWidth="1"/>
    <col min="15580" max="15581" width="0" style="3" hidden="1" customWidth="1"/>
    <col min="15582" max="15582" width="14.875" style="3" customWidth="1"/>
    <col min="15583" max="15584" width="0" style="3" hidden="1" customWidth="1"/>
    <col min="15585" max="15586" width="14.875" style="3" customWidth="1"/>
    <col min="15587" max="15587" width="44.375" style="3" customWidth="1"/>
    <col min="15588" max="15592" width="14.875" style="3" customWidth="1"/>
    <col min="15593" max="15593" width="63.875" style="3" customWidth="1"/>
    <col min="15594" max="15594" width="13.25" style="3" customWidth="1"/>
    <col min="15595" max="15780" width="9" style="3"/>
    <col min="15781" max="15782" width="0" style="3" hidden="1" customWidth="1"/>
    <col min="15783" max="15783" width="13.75" style="3" customWidth="1"/>
    <col min="15784" max="15784" width="52.875" style="3" customWidth="1"/>
    <col min="15785" max="15824" width="0" style="3" hidden="1" customWidth="1"/>
    <col min="15825" max="15826" width="14.875" style="3" customWidth="1"/>
    <col min="15827" max="15828" width="0" style="3" hidden="1" customWidth="1"/>
    <col min="15829" max="15829" width="14.875" style="3" customWidth="1"/>
    <col min="15830" max="15831" width="0" style="3" hidden="1" customWidth="1"/>
    <col min="15832" max="15832" width="14.875" style="3" customWidth="1"/>
    <col min="15833" max="15834" width="0" style="3" hidden="1" customWidth="1"/>
    <col min="15835" max="15835" width="14.875" style="3" customWidth="1"/>
    <col min="15836" max="15837" width="0" style="3" hidden="1" customWidth="1"/>
    <col min="15838" max="15838" width="14.875" style="3" customWidth="1"/>
    <col min="15839" max="15840" width="0" style="3" hidden="1" customWidth="1"/>
    <col min="15841" max="15842" width="14.875" style="3" customWidth="1"/>
    <col min="15843" max="15843" width="44.375" style="3" customWidth="1"/>
    <col min="15844" max="15848" width="14.875" style="3" customWidth="1"/>
    <col min="15849" max="15849" width="63.875" style="3" customWidth="1"/>
    <col min="15850" max="15850" width="13.25" style="3" customWidth="1"/>
    <col min="15851" max="16036" width="9" style="3"/>
    <col min="16037" max="16038" width="0" style="3" hidden="1" customWidth="1"/>
    <col min="16039" max="16039" width="13.75" style="3" customWidth="1"/>
    <col min="16040" max="16040" width="52.875" style="3" customWidth="1"/>
    <col min="16041" max="16080" width="0" style="3" hidden="1" customWidth="1"/>
    <col min="16081" max="16082" width="14.875" style="3" customWidth="1"/>
    <col min="16083" max="16084" width="0" style="3" hidden="1" customWidth="1"/>
    <col min="16085" max="16085" width="14.875" style="3" customWidth="1"/>
    <col min="16086" max="16087" width="0" style="3" hidden="1" customWidth="1"/>
    <col min="16088" max="16088" width="14.875" style="3" customWidth="1"/>
    <col min="16089" max="16090" width="0" style="3" hidden="1" customWidth="1"/>
    <col min="16091" max="16091" width="14.875" style="3" customWidth="1"/>
    <col min="16092" max="16093" width="0" style="3" hidden="1" customWidth="1"/>
    <col min="16094" max="16094" width="14.875" style="3" customWidth="1"/>
    <col min="16095" max="16096" width="0" style="3" hidden="1" customWidth="1"/>
    <col min="16097" max="16098" width="14.875" style="3" customWidth="1"/>
    <col min="16099" max="16099" width="44.375" style="3" customWidth="1"/>
    <col min="16100" max="16104" width="14.875" style="3" customWidth="1"/>
    <col min="16105" max="16105" width="63.875" style="3" customWidth="1"/>
    <col min="16106" max="16106" width="13.25" style="3" customWidth="1"/>
    <col min="16107" max="16305" width="9" style="3"/>
    <col min="16306" max="16338" width="9.125" style="3" customWidth="1"/>
    <col min="16339" max="16346" width="9.125" style="3"/>
    <col min="16347" max="16384" width="9.125" style="3" customWidth="1"/>
  </cols>
  <sheetData>
    <row r="1" spans="1:26" ht="24.6" outlineLevel="1" x14ac:dyDescent="0.4">
      <c r="C1" s="55" t="s">
        <v>304</v>
      </c>
      <c r="D1" s="195"/>
      <c r="E1" s="115"/>
      <c r="F1" s="115"/>
      <c r="G1" s="4"/>
      <c r="H1" s="259"/>
      <c r="I1" s="115"/>
      <c r="J1" s="4"/>
      <c r="K1" s="259"/>
      <c r="L1" s="115"/>
      <c r="M1" s="4"/>
      <c r="N1" s="259"/>
      <c r="O1" s="115"/>
      <c r="P1" s="4"/>
      <c r="Q1" s="259"/>
      <c r="R1" s="441"/>
      <c r="S1" s="442"/>
      <c r="T1" s="259"/>
      <c r="U1" s="441"/>
      <c r="V1" s="442"/>
      <c r="W1" s="259"/>
      <c r="X1" s="241"/>
      <c r="Y1" s="393"/>
      <c r="Z1" s="4"/>
    </row>
    <row r="2" spans="1:26" ht="24.6" outlineLevel="1" x14ac:dyDescent="0.4">
      <c r="C2" s="575" t="s">
        <v>577</v>
      </c>
      <c r="D2" s="575"/>
      <c r="G2" s="39"/>
      <c r="H2" s="260"/>
      <c r="J2" s="39"/>
      <c r="K2" s="260"/>
      <c r="M2" s="39"/>
      <c r="N2" s="260"/>
      <c r="P2" s="39"/>
      <c r="Q2" s="260"/>
      <c r="S2" s="444"/>
      <c r="T2" s="260"/>
      <c r="V2" s="444"/>
      <c r="W2" s="260"/>
      <c r="X2" s="92"/>
      <c r="Y2" s="394"/>
      <c r="Z2" s="39"/>
    </row>
    <row r="3" spans="1:26" ht="20.399999999999999" outlineLevel="1" x14ac:dyDescent="0.35">
      <c r="C3" s="573" t="s">
        <v>0</v>
      </c>
      <c r="D3" s="573"/>
      <c r="E3" s="108"/>
      <c r="F3" s="108"/>
      <c r="G3" s="43"/>
      <c r="I3" s="108"/>
      <c r="J3" s="43"/>
      <c r="L3" s="108"/>
      <c r="M3" s="43"/>
      <c r="O3" s="108"/>
      <c r="P3" s="43"/>
      <c r="R3" s="445"/>
      <c r="S3" s="446"/>
      <c r="U3" s="445"/>
      <c r="V3" s="446"/>
      <c r="X3" s="43"/>
      <c r="Y3" s="395"/>
      <c r="Z3" s="43"/>
    </row>
    <row r="4" spans="1:26" ht="14.4" outlineLevel="1" thickBot="1" x14ac:dyDescent="0.3">
      <c r="C4" s="93"/>
      <c r="E4" s="108" t="s">
        <v>677</v>
      </c>
      <c r="F4" s="108"/>
      <c r="G4" s="1"/>
      <c r="I4" s="108"/>
      <c r="J4" s="1"/>
      <c r="L4" s="108"/>
      <c r="M4" s="1"/>
      <c r="O4" s="108"/>
      <c r="P4" s="1"/>
      <c r="R4" s="445"/>
      <c r="S4" s="447"/>
      <c r="U4" s="445"/>
      <c r="V4" s="447"/>
      <c r="X4" s="108"/>
      <c r="Y4" s="94"/>
      <c r="Z4" s="429"/>
    </row>
    <row r="5" spans="1:26" ht="55.2" customHeight="1" thickBot="1" x14ac:dyDescent="0.3">
      <c r="C5" s="7" t="s">
        <v>1</v>
      </c>
      <c r="D5" s="8" t="s">
        <v>2</v>
      </c>
      <c r="E5" s="210" t="s">
        <v>572</v>
      </c>
      <c r="F5" s="210" t="s">
        <v>687</v>
      </c>
      <c r="G5" s="44" t="s">
        <v>688</v>
      </c>
      <c r="H5" s="261" t="s">
        <v>254</v>
      </c>
      <c r="I5" s="210" t="s">
        <v>712</v>
      </c>
      <c r="J5" s="44" t="s">
        <v>713</v>
      </c>
      <c r="K5" s="261" t="s">
        <v>254</v>
      </c>
      <c r="L5" s="210" t="s">
        <v>732</v>
      </c>
      <c r="M5" s="44" t="s">
        <v>733</v>
      </c>
      <c r="N5" s="261" t="s">
        <v>254</v>
      </c>
      <c r="O5" s="210" t="s">
        <v>755</v>
      </c>
      <c r="P5" s="44" t="s">
        <v>756</v>
      </c>
      <c r="Q5" s="261" t="s">
        <v>254</v>
      </c>
      <c r="R5" s="448" t="s">
        <v>776</v>
      </c>
      <c r="S5" s="2" t="s">
        <v>777</v>
      </c>
      <c r="T5" s="261" t="s">
        <v>254</v>
      </c>
      <c r="U5" s="448" t="s">
        <v>840</v>
      </c>
      <c r="V5" s="2" t="s">
        <v>841</v>
      </c>
      <c r="W5" s="261" t="s">
        <v>254</v>
      </c>
      <c r="X5" s="44" t="s">
        <v>843</v>
      </c>
      <c r="Y5" s="335" t="s">
        <v>844</v>
      </c>
      <c r="Z5" s="261" t="s">
        <v>4</v>
      </c>
    </row>
    <row r="6" spans="1:26" x14ac:dyDescent="0.25">
      <c r="C6" s="61" t="s">
        <v>5</v>
      </c>
      <c r="D6" s="62" t="s">
        <v>6</v>
      </c>
      <c r="E6" s="52">
        <v>42715458</v>
      </c>
      <c r="F6" s="52">
        <v>42715458</v>
      </c>
      <c r="G6" s="9">
        <f>F6-E6</f>
        <v>0</v>
      </c>
      <c r="H6" s="262"/>
      <c r="I6" s="52">
        <v>41763189</v>
      </c>
      <c r="J6" s="9">
        <f>I6-F6</f>
        <v>-952269</v>
      </c>
      <c r="K6" s="262"/>
      <c r="L6" s="52">
        <f>ROUND((L7+L10+L13+L16+L19),0)</f>
        <v>41763189</v>
      </c>
      <c r="M6" s="9">
        <f>L6-I6</f>
        <v>0</v>
      </c>
      <c r="N6" s="262"/>
      <c r="O6" s="52">
        <f>ROUND((O7+O10+O13+O16+O19),0)</f>
        <v>41763189</v>
      </c>
      <c r="P6" s="9">
        <f>O6-L6</f>
        <v>0</v>
      </c>
      <c r="Q6" s="262"/>
      <c r="R6" s="449">
        <f>ROUND((R7+R10+R13+R16+R19),0)</f>
        <v>41793189</v>
      </c>
      <c r="S6" s="450">
        <f>R6-O6</f>
        <v>30000</v>
      </c>
      <c r="T6" s="262"/>
      <c r="U6" s="449">
        <f>ROUND((U7+U10+U13+U16+U19),0)</f>
        <v>41793189</v>
      </c>
      <c r="V6" s="450">
        <f>U6-R6</f>
        <v>0</v>
      </c>
      <c r="W6" s="262"/>
      <c r="X6" s="336">
        <f>ROUND((X7+X10+X13+X16+X19),0)</f>
        <v>42473505</v>
      </c>
      <c r="Y6" s="363">
        <f t="shared" ref="Y6:Y38" si="0">X6/R6</f>
        <v>1.0162781547969455</v>
      </c>
      <c r="Z6" s="364"/>
    </row>
    <row r="7" spans="1:26" x14ac:dyDescent="0.25">
      <c r="B7" s="3" t="s">
        <v>7</v>
      </c>
      <c r="C7" s="63" t="s">
        <v>8</v>
      </c>
      <c r="D7" s="64" t="s">
        <v>9</v>
      </c>
      <c r="E7" s="211">
        <v>39439118</v>
      </c>
      <c r="F7" s="211">
        <v>39439118</v>
      </c>
      <c r="G7" s="10">
        <f t="shared" ref="G7:G71" si="1">F7-E7</f>
        <v>0</v>
      </c>
      <c r="H7" s="263"/>
      <c r="I7" s="211">
        <v>38486849</v>
      </c>
      <c r="J7" s="10">
        <f t="shared" ref="J7:J71" si="2">I7-F7</f>
        <v>-952269</v>
      </c>
      <c r="K7" s="263"/>
      <c r="L7" s="211">
        <f>SUM(L8:L8)</f>
        <v>38486849</v>
      </c>
      <c r="M7" s="10">
        <f t="shared" ref="M7:M71" si="3">L7-I7</f>
        <v>0</v>
      </c>
      <c r="N7" s="263"/>
      <c r="O7" s="211">
        <f>SUM(O8:O8)</f>
        <v>38486849</v>
      </c>
      <c r="P7" s="10">
        <f t="shared" ref="P7:P71" si="4">O7-L7</f>
        <v>0</v>
      </c>
      <c r="Q7" s="263"/>
      <c r="R7" s="451">
        <f>SUM(R8:R8)</f>
        <v>38486849</v>
      </c>
      <c r="S7" s="452">
        <f t="shared" ref="S7:S65" si="5">R7-O7</f>
        <v>0</v>
      </c>
      <c r="T7" s="263"/>
      <c r="U7" s="451">
        <f>SUM(U8:U8)</f>
        <v>38486849</v>
      </c>
      <c r="V7" s="452">
        <f t="shared" ref="V7:V70" si="6">U7-R7</f>
        <v>0</v>
      </c>
      <c r="W7" s="263"/>
      <c r="X7" s="343">
        <f>SUM(X8:X8)</f>
        <v>38942337.119999997</v>
      </c>
      <c r="Y7" s="365">
        <f t="shared" si="0"/>
        <v>1.0118349028781233</v>
      </c>
      <c r="Z7" s="343"/>
    </row>
    <row r="8" spans="1:26" ht="33" customHeight="1" x14ac:dyDescent="0.25">
      <c r="A8" s="3" t="s">
        <v>10</v>
      </c>
      <c r="B8" s="11" t="s">
        <v>12</v>
      </c>
      <c r="C8" s="65" t="s">
        <v>11</v>
      </c>
      <c r="D8" s="66" t="s">
        <v>14</v>
      </c>
      <c r="E8" s="179">
        <v>39439118</v>
      </c>
      <c r="F8" s="179">
        <v>39439118</v>
      </c>
      <c r="G8" s="12">
        <f t="shared" si="1"/>
        <v>0</v>
      </c>
      <c r="H8" s="253"/>
      <c r="I8" s="179">
        <v>38486849</v>
      </c>
      <c r="J8" s="12">
        <f t="shared" si="2"/>
        <v>-952269</v>
      </c>
      <c r="K8" s="251" t="s">
        <v>716</v>
      </c>
      <c r="L8" s="179">
        <f>ROUND(I8,0)</f>
        <v>38486849</v>
      </c>
      <c r="M8" s="12">
        <f t="shared" si="3"/>
        <v>0</v>
      </c>
      <c r="N8" s="251"/>
      <c r="O8" s="179">
        <f>ROUND(L8,0)</f>
        <v>38486849</v>
      </c>
      <c r="P8" s="12">
        <f t="shared" si="4"/>
        <v>0</v>
      </c>
      <c r="Q8" s="251"/>
      <c r="R8" s="453">
        <f>ROUND(O8,0)</f>
        <v>38486849</v>
      </c>
      <c r="S8" s="454">
        <f t="shared" si="5"/>
        <v>0</v>
      </c>
      <c r="T8" s="251"/>
      <c r="U8" s="453">
        <f>ROUND(R8,0)</f>
        <v>38486849</v>
      </c>
      <c r="V8" s="454">
        <f t="shared" si="6"/>
        <v>0</v>
      </c>
      <c r="W8" s="251"/>
      <c r="X8" s="188">
        <v>38942337.119999997</v>
      </c>
      <c r="Y8" s="340">
        <f t="shared" si="0"/>
        <v>1.0118349028781233</v>
      </c>
      <c r="Z8" s="188" t="s">
        <v>706</v>
      </c>
    </row>
    <row r="9" spans="1:26" ht="32.4" customHeight="1" x14ac:dyDescent="0.25">
      <c r="C9" s="61" t="s">
        <v>353</v>
      </c>
      <c r="D9" s="62" t="s">
        <v>354</v>
      </c>
      <c r="E9" s="52">
        <v>3211340</v>
      </c>
      <c r="F9" s="52">
        <v>3211340</v>
      </c>
      <c r="G9" s="9">
        <f t="shared" si="1"/>
        <v>0</v>
      </c>
      <c r="H9" s="262"/>
      <c r="I9" s="52">
        <v>3211340</v>
      </c>
      <c r="J9" s="9">
        <f t="shared" si="2"/>
        <v>0</v>
      </c>
      <c r="K9" s="262"/>
      <c r="L9" s="52">
        <f>L10+L13+L16</f>
        <v>3211340</v>
      </c>
      <c r="M9" s="9">
        <f t="shared" si="3"/>
        <v>0</v>
      </c>
      <c r="N9" s="262"/>
      <c r="O9" s="52">
        <f>O10+O13+O16</f>
        <v>3211340</v>
      </c>
      <c r="P9" s="9">
        <f t="shared" si="4"/>
        <v>0</v>
      </c>
      <c r="Q9" s="262"/>
      <c r="R9" s="449">
        <f>R10+R13+R16</f>
        <v>3211340</v>
      </c>
      <c r="S9" s="450">
        <f t="shared" si="5"/>
        <v>0</v>
      </c>
      <c r="T9" s="262"/>
      <c r="U9" s="449">
        <f>U10+U13+U16</f>
        <v>3211340</v>
      </c>
      <c r="V9" s="450">
        <f t="shared" si="6"/>
        <v>0</v>
      </c>
      <c r="W9" s="262"/>
      <c r="X9" s="336">
        <f>X10+X13+X16</f>
        <v>3399112.4299999997</v>
      </c>
      <c r="Y9" s="363">
        <f t="shared" si="0"/>
        <v>1.0584716753753884</v>
      </c>
      <c r="Z9" s="364" t="s">
        <v>485</v>
      </c>
    </row>
    <row r="10" spans="1:26" x14ac:dyDescent="0.25">
      <c r="B10" s="3" t="s">
        <v>15</v>
      </c>
      <c r="C10" s="67" t="s">
        <v>16</v>
      </c>
      <c r="D10" s="68" t="s">
        <v>17</v>
      </c>
      <c r="E10" s="212">
        <v>2082625</v>
      </c>
      <c r="F10" s="212">
        <v>2082625</v>
      </c>
      <c r="G10" s="13">
        <f t="shared" si="1"/>
        <v>0</v>
      </c>
      <c r="H10" s="264"/>
      <c r="I10" s="212">
        <v>2082625</v>
      </c>
      <c r="J10" s="13">
        <f t="shared" si="2"/>
        <v>0</v>
      </c>
      <c r="K10" s="264"/>
      <c r="L10" s="212">
        <f>SUM(L11:L12)</f>
        <v>2082625</v>
      </c>
      <c r="M10" s="13">
        <f t="shared" si="3"/>
        <v>0</v>
      </c>
      <c r="N10" s="264"/>
      <c r="O10" s="212">
        <f>SUM(O11:O12)</f>
        <v>2082625</v>
      </c>
      <c r="P10" s="13">
        <f t="shared" si="4"/>
        <v>0</v>
      </c>
      <c r="Q10" s="264"/>
      <c r="R10" s="455">
        <f>SUM(R11:R12)</f>
        <v>2082625</v>
      </c>
      <c r="S10" s="14">
        <f t="shared" si="5"/>
        <v>0</v>
      </c>
      <c r="T10" s="264"/>
      <c r="U10" s="455">
        <f>SUM(U11:U12)</f>
        <v>2082625</v>
      </c>
      <c r="V10" s="14">
        <f t="shared" si="6"/>
        <v>0</v>
      </c>
      <c r="W10" s="264"/>
      <c r="X10" s="193">
        <f>SUM(X11:X12)</f>
        <v>2053995.39</v>
      </c>
      <c r="Y10" s="366">
        <f t="shared" si="0"/>
        <v>0.98625311325850784</v>
      </c>
      <c r="Z10" s="193"/>
    </row>
    <row r="11" spans="1:26" x14ac:dyDescent="0.25">
      <c r="A11" s="3" t="s">
        <v>10</v>
      </c>
      <c r="B11" s="11" t="s">
        <v>18</v>
      </c>
      <c r="C11" s="65" t="s">
        <v>19</v>
      </c>
      <c r="D11" s="66" t="s">
        <v>14</v>
      </c>
      <c r="E11" s="179">
        <v>1945625</v>
      </c>
      <c r="F11" s="179">
        <v>1945625</v>
      </c>
      <c r="G11" s="12">
        <f t="shared" si="1"/>
        <v>0</v>
      </c>
      <c r="H11" s="265"/>
      <c r="I11" s="179">
        <v>1945625</v>
      </c>
      <c r="J11" s="12">
        <f t="shared" si="2"/>
        <v>0</v>
      </c>
      <c r="K11" s="265"/>
      <c r="L11" s="179">
        <f>ROUND(I11,0)</f>
        <v>1945625</v>
      </c>
      <c r="M11" s="12">
        <f t="shared" si="3"/>
        <v>0</v>
      </c>
      <c r="N11" s="265"/>
      <c r="O11" s="179">
        <f>ROUND(L11,0)</f>
        <v>1945625</v>
      </c>
      <c r="P11" s="12">
        <f t="shared" si="4"/>
        <v>0</v>
      </c>
      <c r="Q11" s="265"/>
      <c r="R11" s="453">
        <f>ROUND(O11,0)</f>
        <v>1945625</v>
      </c>
      <c r="S11" s="454">
        <f t="shared" si="5"/>
        <v>0</v>
      </c>
      <c r="T11" s="265"/>
      <c r="U11" s="453">
        <f>ROUND(R11,0)</f>
        <v>1945625</v>
      </c>
      <c r="V11" s="454">
        <f t="shared" si="6"/>
        <v>0</v>
      </c>
      <c r="W11" s="265"/>
      <c r="X11" s="188">
        <v>1988393.88</v>
      </c>
      <c r="Y11" s="340">
        <f t="shared" si="0"/>
        <v>1.0219820777385158</v>
      </c>
      <c r="Z11" s="188"/>
    </row>
    <row r="12" spans="1:26" x14ac:dyDescent="0.25">
      <c r="A12" s="3" t="s">
        <v>10</v>
      </c>
      <c r="B12" s="11" t="s">
        <v>20</v>
      </c>
      <c r="C12" s="65" t="s">
        <v>21</v>
      </c>
      <c r="D12" s="66" t="s">
        <v>22</v>
      </c>
      <c r="E12" s="179">
        <v>137000</v>
      </c>
      <c r="F12" s="179">
        <v>137000</v>
      </c>
      <c r="G12" s="12">
        <f t="shared" si="1"/>
        <v>0</v>
      </c>
      <c r="H12" s="253"/>
      <c r="I12" s="179">
        <v>137000</v>
      </c>
      <c r="J12" s="12">
        <f t="shared" si="2"/>
        <v>0</v>
      </c>
      <c r="K12" s="253"/>
      <c r="L12" s="179">
        <f>ROUND(I12,0)</f>
        <v>137000</v>
      </c>
      <c r="M12" s="12">
        <f t="shared" si="3"/>
        <v>0</v>
      </c>
      <c r="N12" s="253"/>
      <c r="O12" s="179">
        <f>ROUND(L12,0)</f>
        <v>137000</v>
      </c>
      <c r="P12" s="12">
        <f t="shared" si="4"/>
        <v>0</v>
      </c>
      <c r="Q12" s="253"/>
      <c r="R12" s="453">
        <f>ROUND(O12,0)</f>
        <v>137000</v>
      </c>
      <c r="S12" s="454">
        <f t="shared" si="5"/>
        <v>0</v>
      </c>
      <c r="T12" s="253"/>
      <c r="U12" s="453">
        <f>ROUND(R12,0)</f>
        <v>137000</v>
      </c>
      <c r="V12" s="454">
        <f t="shared" si="6"/>
        <v>0</v>
      </c>
      <c r="W12" s="253"/>
      <c r="X12" s="188">
        <v>65601.509999999995</v>
      </c>
      <c r="Y12" s="340">
        <f t="shared" si="0"/>
        <v>0.47884313868613138</v>
      </c>
      <c r="Z12" s="188"/>
    </row>
    <row r="13" spans="1:26" x14ac:dyDescent="0.25">
      <c r="B13" s="3" t="s">
        <v>23</v>
      </c>
      <c r="C13" s="67" t="s">
        <v>24</v>
      </c>
      <c r="D13" s="68" t="s">
        <v>25</v>
      </c>
      <c r="E13" s="212">
        <v>392228</v>
      </c>
      <c r="F13" s="212">
        <v>392228</v>
      </c>
      <c r="G13" s="13">
        <f t="shared" si="1"/>
        <v>0</v>
      </c>
      <c r="H13" s="264"/>
      <c r="I13" s="212">
        <v>392228</v>
      </c>
      <c r="J13" s="13">
        <f t="shared" si="2"/>
        <v>0</v>
      </c>
      <c r="K13" s="264"/>
      <c r="L13" s="212">
        <f>SUM(L14:L15)</f>
        <v>392228</v>
      </c>
      <c r="M13" s="13">
        <f t="shared" si="3"/>
        <v>0</v>
      </c>
      <c r="N13" s="264"/>
      <c r="O13" s="212">
        <f>SUM(O14:O15)</f>
        <v>392228</v>
      </c>
      <c r="P13" s="13">
        <f t="shared" si="4"/>
        <v>0</v>
      </c>
      <c r="Q13" s="264"/>
      <c r="R13" s="455">
        <f>SUM(R14:R15)</f>
        <v>392228</v>
      </c>
      <c r="S13" s="14">
        <f t="shared" si="5"/>
        <v>0</v>
      </c>
      <c r="T13" s="264"/>
      <c r="U13" s="455">
        <f>SUM(U14:U15)</f>
        <v>392228</v>
      </c>
      <c r="V13" s="14">
        <f t="shared" si="6"/>
        <v>0</v>
      </c>
      <c r="W13" s="264"/>
      <c r="X13" s="193">
        <f>SUM(X14:X15)</f>
        <v>593084.36</v>
      </c>
      <c r="Y13" s="366">
        <f t="shared" si="0"/>
        <v>1.5120908247243949</v>
      </c>
      <c r="Z13" s="193"/>
    </row>
    <row r="14" spans="1:26" x14ac:dyDescent="0.25">
      <c r="A14" s="3" t="s">
        <v>10</v>
      </c>
      <c r="B14" s="11" t="s">
        <v>26</v>
      </c>
      <c r="C14" s="65" t="s">
        <v>27</v>
      </c>
      <c r="D14" s="66" t="s">
        <v>28</v>
      </c>
      <c r="E14" s="179">
        <v>362228</v>
      </c>
      <c r="F14" s="179">
        <v>362228</v>
      </c>
      <c r="G14" s="12">
        <f t="shared" si="1"/>
        <v>0</v>
      </c>
      <c r="H14" s="266"/>
      <c r="I14" s="179">
        <v>362228</v>
      </c>
      <c r="J14" s="12">
        <f t="shared" si="2"/>
        <v>0</v>
      </c>
      <c r="K14" s="266"/>
      <c r="L14" s="179">
        <f>ROUND(I14,0)</f>
        <v>362228</v>
      </c>
      <c r="M14" s="12">
        <f t="shared" si="3"/>
        <v>0</v>
      </c>
      <c r="N14" s="266"/>
      <c r="O14" s="179">
        <f>ROUND(L14,0)</f>
        <v>362228</v>
      </c>
      <c r="P14" s="12">
        <f t="shared" si="4"/>
        <v>0</v>
      </c>
      <c r="Q14" s="266"/>
      <c r="R14" s="453">
        <f>ROUND(O14,0)</f>
        <v>362228</v>
      </c>
      <c r="S14" s="454">
        <f t="shared" si="5"/>
        <v>0</v>
      </c>
      <c r="T14" s="266"/>
      <c r="U14" s="453">
        <f>ROUND(R14,0)</f>
        <v>362228</v>
      </c>
      <c r="V14" s="454">
        <f t="shared" si="6"/>
        <v>0</v>
      </c>
      <c r="W14" s="266"/>
      <c r="X14" s="188">
        <v>562620.79</v>
      </c>
      <c r="Y14" s="340">
        <f t="shared" si="0"/>
        <v>1.5532228044215246</v>
      </c>
      <c r="Z14" s="188"/>
    </row>
    <row r="15" spans="1:26" x14ac:dyDescent="0.25">
      <c r="A15" s="3" t="s">
        <v>10</v>
      </c>
      <c r="B15" s="11" t="s">
        <v>29</v>
      </c>
      <c r="C15" s="65" t="s">
        <v>30</v>
      </c>
      <c r="D15" s="66" t="s">
        <v>22</v>
      </c>
      <c r="E15" s="179">
        <v>30000</v>
      </c>
      <c r="F15" s="179">
        <v>30000</v>
      </c>
      <c r="G15" s="12">
        <f t="shared" si="1"/>
        <v>0</v>
      </c>
      <c r="H15" s="253"/>
      <c r="I15" s="179">
        <v>30000</v>
      </c>
      <c r="J15" s="12">
        <f t="shared" si="2"/>
        <v>0</v>
      </c>
      <c r="K15" s="253"/>
      <c r="L15" s="179">
        <f>ROUND(I15,0)</f>
        <v>30000</v>
      </c>
      <c r="M15" s="12">
        <f t="shared" si="3"/>
        <v>0</v>
      </c>
      <c r="N15" s="253"/>
      <c r="O15" s="179">
        <f>ROUND(L15,0)</f>
        <v>30000</v>
      </c>
      <c r="P15" s="12">
        <f t="shared" si="4"/>
        <v>0</v>
      </c>
      <c r="Q15" s="253"/>
      <c r="R15" s="453">
        <f>ROUND(O15,0)</f>
        <v>30000</v>
      </c>
      <c r="S15" s="454">
        <f t="shared" si="5"/>
        <v>0</v>
      </c>
      <c r="T15" s="253"/>
      <c r="U15" s="453">
        <f>ROUND(R15,0)</f>
        <v>30000</v>
      </c>
      <c r="V15" s="454">
        <f t="shared" si="6"/>
        <v>0</v>
      </c>
      <c r="W15" s="253"/>
      <c r="X15" s="188">
        <v>30463.57</v>
      </c>
      <c r="Y15" s="340">
        <f t="shared" si="0"/>
        <v>1.0154523333333334</v>
      </c>
      <c r="Z15" s="188"/>
    </row>
    <row r="16" spans="1:26" ht="27.6" x14ac:dyDescent="0.25">
      <c r="B16" s="3" t="s">
        <v>31</v>
      </c>
      <c r="C16" s="67" t="s">
        <v>32</v>
      </c>
      <c r="D16" s="68" t="s">
        <v>33</v>
      </c>
      <c r="E16" s="212">
        <v>736487</v>
      </c>
      <c r="F16" s="212">
        <v>736487</v>
      </c>
      <c r="G16" s="13">
        <f t="shared" si="1"/>
        <v>0</v>
      </c>
      <c r="H16" s="264"/>
      <c r="I16" s="212">
        <v>736487</v>
      </c>
      <c r="J16" s="13">
        <f t="shared" si="2"/>
        <v>0</v>
      </c>
      <c r="K16" s="264"/>
      <c r="L16" s="212">
        <f>SUM(L17:L18)</f>
        <v>736487</v>
      </c>
      <c r="M16" s="13">
        <f t="shared" si="3"/>
        <v>0</v>
      </c>
      <c r="N16" s="264"/>
      <c r="O16" s="212">
        <f>SUM(O17:O18)</f>
        <v>736487</v>
      </c>
      <c r="P16" s="13">
        <f t="shared" si="4"/>
        <v>0</v>
      </c>
      <c r="Q16" s="264"/>
      <c r="R16" s="455">
        <f>SUM(R17:R18)</f>
        <v>736487</v>
      </c>
      <c r="S16" s="14">
        <f t="shared" si="5"/>
        <v>0</v>
      </c>
      <c r="T16" s="264"/>
      <c r="U16" s="455">
        <f>SUM(U17:U18)</f>
        <v>736487</v>
      </c>
      <c r="V16" s="14">
        <f t="shared" si="6"/>
        <v>0</v>
      </c>
      <c r="W16" s="264"/>
      <c r="X16" s="193">
        <f>SUM(X17:X18)</f>
        <v>752032.67999999993</v>
      </c>
      <c r="Y16" s="366">
        <f t="shared" si="0"/>
        <v>1.0211078810623948</v>
      </c>
      <c r="Z16" s="193"/>
    </row>
    <row r="17" spans="1:26" ht="18.75" customHeight="1" x14ac:dyDescent="0.25">
      <c r="A17" s="3" t="s">
        <v>10</v>
      </c>
      <c r="B17" s="11" t="s">
        <v>34</v>
      </c>
      <c r="C17" s="65" t="s">
        <v>35</v>
      </c>
      <c r="D17" s="66" t="s">
        <v>28</v>
      </c>
      <c r="E17" s="179">
        <v>665899</v>
      </c>
      <c r="F17" s="179">
        <v>665899</v>
      </c>
      <c r="G17" s="12">
        <f t="shared" si="1"/>
        <v>0</v>
      </c>
      <c r="H17" s="266"/>
      <c r="I17" s="179">
        <v>665899</v>
      </c>
      <c r="J17" s="12">
        <f t="shared" si="2"/>
        <v>0</v>
      </c>
      <c r="K17" s="266"/>
      <c r="L17" s="179">
        <f>ROUND(I17,0)</f>
        <v>665899</v>
      </c>
      <c r="M17" s="12">
        <f t="shared" si="3"/>
        <v>0</v>
      </c>
      <c r="N17" s="266"/>
      <c r="O17" s="179">
        <f>ROUND(L17,0)</f>
        <v>665899</v>
      </c>
      <c r="P17" s="12">
        <f t="shared" si="4"/>
        <v>0</v>
      </c>
      <c r="Q17" s="266"/>
      <c r="R17" s="453">
        <f>ROUND(O17,0)</f>
        <v>665899</v>
      </c>
      <c r="S17" s="454">
        <f t="shared" si="5"/>
        <v>0</v>
      </c>
      <c r="T17" s="266"/>
      <c r="U17" s="453">
        <f>ROUND(R17,0)</f>
        <v>665899</v>
      </c>
      <c r="V17" s="454">
        <f t="shared" si="6"/>
        <v>0</v>
      </c>
      <c r="W17" s="266"/>
      <c r="X17" s="188">
        <v>720171.21</v>
      </c>
      <c r="Y17" s="340">
        <f t="shared" si="0"/>
        <v>1.0815021647427012</v>
      </c>
      <c r="Z17" s="188"/>
    </row>
    <row r="18" spans="1:26" x14ac:dyDescent="0.25">
      <c r="A18" s="3" t="s">
        <v>10</v>
      </c>
      <c r="B18" s="11" t="s">
        <v>36</v>
      </c>
      <c r="C18" s="65" t="s">
        <v>37</v>
      </c>
      <c r="D18" s="66" t="s">
        <v>22</v>
      </c>
      <c r="E18" s="179">
        <v>70588</v>
      </c>
      <c r="F18" s="179">
        <v>70588</v>
      </c>
      <c r="G18" s="12">
        <f t="shared" si="1"/>
        <v>0</v>
      </c>
      <c r="H18" s="265"/>
      <c r="I18" s="179">
        <v>70588</v>
      </c>
      <c r="J18" s="12">
        <f t="shared" si="2"/>
        <v>0</v>
      </c>
      <c r="K18" s="265"/>
      <c r="L18" s="179">
        <f>ROUND(I18,0)</f>
        <v>70588</v>
      </c>
      <c r="M18" s="12">
        <f t="shared" si="3"/>
        <v>0</v>
      </c>
      <c r="N18" s="265"/>
      <c r="O18" s="179">
        <f>ROUND(L18,0)</f>
        <v>70588</v>
      </c>
      <c r="P18" s="12">
        <f t="shared" si="4"/>
        <v>0</v>
      </c>
      <c r="Q18" s="265"/>
      <c r="R18" s="453">
        <f>ROUND(O18,0)</f>
        <v>70588</v>
      </c>
      <c r="S18" s="454">
        <f t="shared" si="5"/>
        <v>0</v>
      </c>
      <c r="T18" s="265"/>
      <c r="U18" s="453">
        <f>ROUND(R18,0)</f>
        <v>70588</v>
      </c>
      <c r="V18" s="454">
        <f t="shared" si="6"/>
        <v>0</v>
      </c>
      <c r="W18" s="265"/>
      <c r="X18" s="188">
        <v>31861.47</v>
      </c>
      <c r="Y18" s="340">
        <f t="shared" si="0"/>
        <v>0.45137232957443191</v>
      </c>
      <c r="Z18" s="188"/>
    </row>
    <row r="19" spans="1:26" ht="28.2" x14ac:dyDescent="0.3">
      <c r="B19" s="53"/>
      <c r="C19" s="67" t="s">
        <v>38</v>
      </c>
      <c r="D19" s="68" t="s">
        <v>336</v>
      </c>
      <c r="E19" s="212">
        <v>65000</v>
      </c>
      <c r="F19" s="212">
        <v>65000</v>
      </c>
      <c r="G19" s="13">
        <f t="shared" si="1"/>
        <v>0</v>
      </c>
      <c r="H19" s="264"/>
      <c r="I19" s="212">
        <v>65000</v>
      </c>
      <c r="J19" s="13">
        <f t="shared" si="2"/>
        <v>0</v>
      </c>
      <c r="K19" s="264"/>
      <c r="L19" s="212">
        <f>SUM(L20:L21)</f>
        <v>65000</v>
      </c>
      <c r="M19" s="13">
        <f t="shared" si="3"/>
        <v>0</v>
      </c>
      <c r="N19" s="264"/>
      <c r="O19" s="212">
        <f>SUM(O20:O21)</f>
        <v>65000</v>
      </c>
      <c r="P19" s="13">
        <f t="shared" si="4"/>
        <v>0</v>
      </c>
      <c r="Q19" s="264"/>
      <c r="R19" s="455">
        <f>SUM(R20:R21)</f>
        <v>95000</v>
      </c>
      <c r="S19" s="14">
        <f t="shared" si="5"/>
        <v>30000</v>
      </c>
      <c r="T19" s="264"/>
      <c r="U19" s="455">
        <f>SUM(U20:U21)</f>
        <v>95000</v>
      </c>
      <c r="V19" s="14">
        <f t="shared" si="6"/>
        <v>0</v>
      </c>
      <c r="W19" s="264"/>
      <c r="X19" s="193">
        <f>SUM(X20:X21)</f>
        <v>132055.88</v>
      </c>
      <c r="Y19" s="366">
        <f t="shared" si="0"/>
        <v>1.3900618947368422</v>
      </c>
      <c r="Z19" s="193"/>
    </row>
    <row r="20" spans="1:26" ht="14.4" customHeight="1" outlineLevel="1" x14ac:dyDescent="0.25">
      <c r="B20" s="11" t="s">
        <v>357</v>
      </c>
      <c r="C20" s="65" t="s">
        <v>161</v>
      </c>
      <c r="D20" s="66" t="s">
        <v>39</v>
      </c>
      <c r="E20" s="179">
        <v>5000</v>
      </c>
      <c r="F20" s="179">
        <v>5000</v>
      </c>
      <c r="G20" s="12">
        <f t="shared" si="1"/>
        <v>0</v>
      </c>
      <c r="H20" s="266"/>
      <c r="I20" s="179">
        <v>5000</v>
      </c>
      <c r="J20" s="12">
        <f t="shared" si="2"/>
        <v>0</v>
      </c>
      <c r="K20" s="266"/>
      <c r="L20" s="179">
        <f>ROUND(I20,0)</f>
        <v>5000</v>
      </c>
      <c r="M20" s="12">
        <f t="shared" si="3"/>
        <v>0</v>
      </c>
      <c r="N20" s="266"/>
      <c r="O20" s="179">
        <f>ROUND(L20,0)</f>
        <v>5000</v>
      </c>
      <c r="P20" s="12">
        <f t="shared" si="4"/>
        <v>0</v>
      </c>
      <c r="Q20" s="266"/>
      <c r="R20" s="453">
        <f>ROUND(O20,0)</f>
        <v>5000</v>
      </c>
      <c r="S20" s="454">
        <f t="shared" si="5"/>
        <v>0</v>
      </c>
      <c r="T20" s="266"/>
      <c r="U20" s="453">
        <f>ROUND(R20,0)</f>
        <v>5000</v>
      </c>
      <c r="V20" s="454">
        <f t="shared" si="6"/>
        <v>0</v>
      </c>
      <c r="W20" s="266"/>
      <c r="X20" s="188">
        <v>7082.9</v>
      </c>
      <c r="Y20" s="340">
        <f t="shared" si="0"/>
        <v>1.41658</v>
      </c>
      <c r="Z20" s="188"/>
    </row>
    <row r="21" spans="1:26" ht="15.6" customHeight="1" x14ac:dyDescent="0.25">
      <c r="B21" s="11" t="s">
        <v>356</v>
      </c>
      <c r="C21" s="65" t="s">
        <v>161</v>
      </c>
      <c r="D21" s="66" t="s">
        <v>355</v>
      </c>
      <c r="E21" s="179">
        <v>60000</v>
      </c>
      <c r="F21" s="179">
        <v>60000</v>
      </c>
      <c r="G21" s="12">
        <f t="shared" si="1"/>
        <v>0</v>
      </c>
      <c r="H21" s="267"/>
      <c r="I21" s="179">
        <v>60000</v>
      </c>
      <c r="J21" s="12">
        <f t="shared" si="2"/>
        <v>0</v>
      </c>
      <c r="K21" s="267"/>
      <c r="L21" s="179">
        <f>ROUND(I21,0)</f>
        <v>60000</v>
      </c>
      <c r="M21" s="12">
        <f t="shared" si="3"/>
        <v>0</v>
      </c>
      <c r="N21" s="267"/>
      <c r="O21" s="179">
        <f>ROUND(L21,0)</f>
        <v>60000</v>
      </c>
      <c r="P21" s="12">
        <f t="shared" si="4"/>
        <v>0</v>
      </c>
      <c r="Q21" s="267"/>
      <c r="R21" s="453">
        <f>ROUND(O21,0)+30000</f>
        <v>90000</v>
      </c>
      <c r="S21" s="454">
        <f t="shared" si="5"/>
        <v>30000</v>
      </c>
      <c r="T21" s="267" t="s">
        <v>804</v>
      </c>
      <c r="U21" s="453">
        <f>ROUND(R21,0)</f>
        <v>90000</v>
      </c>
      <c r="V21" s="454">
        <f t="shared" si="6"/>
        <v>0</v>
      </c>
      <c r="W21" s="267"/>
      <c r="X21" s="188">
        <v>124972.98</v>
      </c>
      <c r="Y21" s="340">
        <f t="shared" si="0"/>
        <v>1.3885886666666667</v>
      </c>
      <c r="Z21" s="188"/>
    </row>
    <row r="22" spans="1:26" ht="15.75" customHeight="1" x14ac:dyDescent="0.25">
      <c r="B22" s="3" t="s">
        <v>40</v>
      </c>
      <c r="C22" s="67" t="s">
        <v>41</v>
      </c>
      <c r="D22" s="68" t="s">
        <v>42</v>
      </c>
      <c r="E22" s="212">
        <v>144060</v>
      </c>
      <c r="F22" s="212">
        <v>144060</v>
      </c>
      <c r="G22" s="13">
        <f t="shared" si="1"/>
        <v>0</v>
      </c>
      <c r="H22" s="264"/>
      <c r="I22" s="212">
        <v>144060</v>
      </c>
      <c r="J22" s="13">
        <f t="shared" si="2"/>
        <v>0</v>
      </c>
      <c r="K22" s="264"/>
      <c r="L22" s="212">
        <f>L23+L27</f>
        <v>144060</v>
      </c>
      <c r="M22" s="13">
        <f t="shared" si="3"/>
        <v>0</v>
      </c>
      <c r="N22" s="264"/>
      <c r="O22" s="212">
        <f>O23+O27</f>
        <v>144060</v>
      </c>
      <c r="P22" s="13">
        <f t="shared" si="4"/>
        <v>0</v>
      </c>
      <c r="Q22" s="264"/>
      <c r="R22" s="455">
        <f>R23+R27</f>
        <v>144060</v>
      </c>
      <c r="S22" s="14">
        <f t="shared" si="5"/>
        <v>0</v>
      </c>
      <c r="T22" s="264"/>
      <c r="U22" s="455">
        <f>U23+U27</f>
        <v>144060</v>
      </c>
      <c r="V22" s="14">
        <f t="shared" si="6"/>
        <v>0</v>
      </c>
      <c r="W22" s="264"/>
      <c r="X22" s="193">
        <f>X23+X27</f>
        <v>163877.89000000001</v>
      </c>
      <c r="Y22" s="366">
        <f t="shared" si="0"/>
        <v>1.1375669165625435</v>
      </c>
      <c r="Z22" s="367"/>
    </row>
    <row r="23" spans="1:26" x14ac:dyDescent="0.25">
      <c r="A23" s="3" t="s">
        <v>10</v>
      </c>
      <c r="B23" s="3" t="s">
        <v>43</v>
      </c>
      <c r="C23" s="65" t="s">
        <v>44</v>
      </c>
      <c r="D23" s="66" t="s">
        <v>45</v>
      </c>
      <c r="E23" s="179">
        <v>6100</v>
      </c>
      <c r="F23" s="179">
        <v>6100</v>
      </c>
      <c r="G23" s="12">
        <f t="shared" si="1"/>
        <v>0</v>
      </c>
      <c r="H23" s="265"/>
      <c r="I23" s="179">
        <v>6100</v>
      </c>
      <c r="J23" s="12">
        <f t="shared" si="2"/>
        <v>0</v>
      </c>
      <c r="K23" s="265"/>
      <c r="L23" s="179">
        <f>L24+L25+L26</f>
        <v>6100</v>
      </c>
      <c r="M23" s="12">
        <f t="shared" si="3"/>
        <v>0</v>
      </c>
      <c r="N23" s="265"/>
      <c r="O23" s="179">
        <f>O24+O25+O26</f>
        <v>6100</v>
      </c>
      <c r="P23" s="12">
        <f t="shared" si="4"/>
        <v>0</v>
      </c>
      <c r="Q23" s="265"/>
      <c r="R23" s="453">
        <f>R24+R25+R26</f>
        <v>6100</v>
      </c>
      <c r="S23" s="454">
        <f t="shared" si="5"/>
        <v>0</v>
      </c>
      <c r="T23" s="265"/>
      <c r="U23" s="453">
        <f>U24+U25+U26</f>
        <v>6100</v>
      </c>
      <c r="V23" s="454">
        <f t="shared" si="6"/>
        <v>0</v>
      </c>
      <c r="W23" s="265"/>
      <c r="X23" s="188">
        <f>X24+X25+X26</f>
        <v>4707.51</v>
      </c>
      <c r="Y23" s="368">
        <f t="shared" si="0"/>
        <v>0.77172295081967213</v>
      </c>
      <c r="Z23" s="188"/>
    </row>
    <row r="24" spans="1:26" ht="26.4" x14ac:dyDescent="0.25">
      <c r="B24" s="11" t="s">
        <v>46</v>
      </c>
      <c r="C24" s="69" t="s">
        <v>47</v>
      </c>
      <c r="D24" s="70" t="s">
        <v>48</v>
      </c>
      <c r="E24" s="179">
        <v>1100</v>
      </c>
      <c r="F24" s="179">
        <v>1100</v>
      </c>
      <c r="G24" s="12">
        <f t="shared" si="1"/>
        <v>0</v>
      </c>
      <c r="H24" s="265"/>
      <c r="I24" s="179">
        <v>1100</v>
      </c>
      <c r="J24" s="12">
        <f t="shared" si="2"/>
        <v>0</v>
      </c>
      <c r="K24" s="265"/>
      <c r="L24" s="179">
        <f>ROUND(I24,0)</f>
        <v>1100</v>
      </c>
      <c r="M24" s="12">
        <f t="shared" si="3"/>
        <v>0</v>
      </c>
      <c r="N24" s="265"/>
      <c r="O24" s="179">
        <f>ROUND(L24,0)</f>
        <v>1100</v>
      </c>
      <c r="P24" s="12">
        <f t="shared" si="4"/>
        <v>0</v>
      </c>
      <c r="Q24" s="265"/>
      <c r="R24" s="453">
        <f>ROUND(O24,0)</f>
        <v>1100</v>
      </c>
      <c r="S24" s="454">
        <f t="shared" si="5"/>
        <v>0</v>
      </c>
      <c r="T24" s="265"/>
      <c r="U24" s="453">
        <f>ROUND(R24,0)</f>
        <v>1100</v>
      </c>
      <c r="V24" s="454">
        <f t="shared" si="6"/>
        <v>0</v>
      </c>
      <c r="W24" s="265"/>
      <c r="X24" s="188">
        <v>1043.08</v>
      </c>
      <c r="Y24" s="340">
        <f t="shared" si="0"/>
        <v>0.94825454545454535</v>
      </c>
      <c r="Z24" s="188"/>
    </row>
    <row r="25" spans="1:26" ht="26.4" x14ac:dyDescent="0.25">
      <c r="B25" s="11" t="s">
        <v>49</v>
      </c>
      <c r="C25" s="69" t="s">
        <v>50</v>
      </c>
      <c r="D25" s="70" t="s">
        <v>269</v>
      </c>
      <c r="E25" s="179">
        <v>4500</v>
      </c>
      <c r="F25" s="179">
        <v>4500</v>
      </c>
      <c r="G25" s="12">
        <f t="shared" si="1"/>
        <v>0</v>
      </c>
      <c r="H25" s="265"/>
      <c r="I25" s="179">
        <v>4500</v>
      </c>
      <c r="J25" s="12">
        <f t="shared" si="2"/>
        <v>0</v>
      </c>
      <c r="K25" s="265"/>
      <c r="L25" s="179">
        <f>ROUND(I25,0)</f>
        <v>4500</v>
      </c>
      <c r="M25" s="12">
        <f t="shared" si="3"/>
        <v>0</v>
      </c>
      <c r="N25" s="265"/>
      <c r="O25" s="179">
        <f>ROUND(L25,0)</f>
        <v>4500</v>
      </c>
      <c r="P25" s="12">
        <f t="shared" si="4"/>
        <v>0</v>
      </c>
      <c r="Q25" s="265"/>
      <c r="R25" s="453">
        <f>ROUND(O25,0)</f>
        <v>4500</v>
      </c>
      <c r="S25" s="454">
        <f t="shared" si="5"/>
        <v>0</v>
      </c>
      <c r="T25" s="265"/>
      <c r="U25" s="453">
        <f>ROUND(R25,0)</f>
        <v>4500</v>
      </c>
      <c r="V25" s="454">
        <f t="shared" si="6"/>
        <v>0</v>
      </c>
      <c r="W25" s="265"/>
      <c r="X25" s="188">
        <v>3377.84</v>
      </c>
      <c r="Y25" s="340">
        <f t="shared" si="0"/>
        <v>0.75063111111111114</v>
      </c>
      <c r="Z25" s="188"/>
    </row>
    <row r="26" spans="1:26" ht="26.4" x14ac:dyDescent="0.25">
      <c r="B26" s="11" t="s">
        <v>51</v>
      </c>
      <c r="C26" s="69" t="s">
        <v>52</v>
      </c>
      <c r="D26" s="70" t="s">
        <v>270</v>
      </c>
      <c r="E26" s="179">
        <v>500</v>
      </c>
      <c r="F26" s="179">
        <v>500</v>
      </c>
      <c r="G26" s="12">
        <f t="shared" si="1"/>
        <v>0</v>
      </c>
      <c r="H26" s="265"/>
      <c r="I26" s="179">
        <v>500</v>
      </c>
      <c r="J26" s="12">
        <f t="shared" si="2"/>
        <v>0</v>
      </c>
      <c r="K26" s="265"/>
      <c r="L26" s="179">
        <f>ROUND(I26,0)</f>
        <v>500</v>
      </c>
      <c r="M26" s="12">
        <f t="shared" si="3"/>
        <v>0</v>
      </c>
      <c r="N26" s="265"/>
      <c r="O26" s="179">
        <f>ROUND(L26,0)</f>
        <v>500</v>
      </c>
      <c r="P26" s="12">
        <f t="shared" si="4"/>
        <v>0</v>
      </c>
      <c r="Q26" s="265"/>
      <c r="R26" s="453">
        <f>ROUND(O26,0)</f>
        <v>500</v>
      </c>
      <c r="S26" s="454">
        <f t="shared" si="5"/>
        <v>0</v>
      </c>
      <c r="T26" s="265"/>
      <c r="U26" s="453">
        <f>ROUND(R26,0)</f>
        <v>500</v>
      </c>
      <c r="V26" s="454">
        <f t="shared" si="6"/>
        <v>0</v>
      </c>
      <c r="W26" s="265"/>
      <c r="X26" s="188">
        <v>286.58999999999997</v>
      </c>
      <c r="Y26" s="340">
        <f t="shared" si="0"/>
        <v>0.57317999999999991</v>
      </c>
      <c r="Z26" s="188"/>
    </row>
    <row r="27" spans="1:26" x14ac:dyDescent="0.25">
      <c r="A27" s="3" t="s">
        <v>10</v>
      </c>
      <c r="B27" s="3" t="s">
        <v>53</v>
      </c>
      <c r="C27" s="65" t="s">
        <v>54</v>
      </c>
      <c r="D27" s="66" t="s">
        <v>55</v>
      </c>
      <c r="E27" s="179">
        <v>137960</v>
      </c>
      <c r="F27" s="179">
        <v>137960</v>
      </c>
      <c r="G27" s="12">
        <f t="shared" si="1"/>
        <v>0</v>
      </c>
      <c r="H27" s="265"/>
      <c r="I27" s="179">
        <v>137960</v>
      </c>
      <c r="J27" s="12">
        <f t="shared" si="2"/>
        <v>0</v>
      </c>
      <c r="K27" s="265"/>
      <c r="L27" s="179">
        <f>SUM(L28:L33)</f>
        <v>137960</v>
      </c>
      <c r="M27" s="12">
        <f t="shared" si="3"/>
        <v>0</v>
      </c>
      <c r="N27" s="265"/>
      <c r="O27" s="179">
        <f>SUM(O28:O33)</f>
        <v>137960</v>
      </c>
      <c r="P27" s="12">
        <f t="shared" si="4"/>
        <v>0</v>
      </c>
      <c r="Q27" s="265"/>
      <c r="R27" s="453">
        <f>SUM(R28:R33)</f>
        <v>137960</v>
      </c>
      <c r="S27" s="454">
        <f t="shared" si="5"/>
        <v>0</v>
      </c>
      <c r="T27" s="265"/>
      <c r="U27" s="453">
        <f>SUM(U28:U33)</f>
        <v>137960</v>
      </c>
      <c r="V27" s="454">
        <f t="shared" si="6"/>
        <v>0</v>
      </c>
      <c r="W27" s="265"/>
      <c r="X27" s="188">
        <f>SUM(X28:X33)</f>
        <v>159170.38</v>
      </c>
      <c r="Y27" s="368">
        <f t="shared" si="0"/>
        <v>1.1537429689765151</v>
      </c>
      <c r="Z27" s="188"/>
    </row>
    <row r="28" spans="1:26" ht="26.4" x14ac:dyDescent="0.25">
      <c r="B28" s="11" t="s">
        <v>56</v>
      </c>
      <c r="C28" s="69" t="s">
        <v>57</v>
      </c>
      <c r="D28" s="70" t="s">
        <v>271</v>
      </c>
      <c r="E28" s="179">
        <v>100</v>
      </c>
      <c r="F28" s="179">
        <v>100</v>
      </c>
      <c r="G28" s="12">
        <f t="shared" si="1"/>
        <v>0</v>
      </c>
      <c r="H28" s="265"/>
      <c r="I28" s="179">
        <v>100</v>
      </c>
      <c r="J28" s="12">
        <f t="shared" si="2"/>
        <v>0</v>
      </c>
      <c r="K28" s="265"/>
      <c r="L28" s="179">
        <f t="shared" ref="L28:L33" si="7">ROUND(I28,0)</f>
        <v>100</v>
      </c>
      <c r="M28" s="12">
        <f t="shared" si="3"/>
        <v>0</v>
      </c>
      <c r="N28" s="265"/>
      <c r="O28" s="179">
        <f t="shared" ref="O28:O33" si="8">ROUND(L28,0)</f>
        <v>100</v>
      </c>
      <c r="P28" s="12">
        <f t="shared" si="4"/>
        <v>0</v>
      </c>
      <c r="Q28" s="265"/>
      <c r="R28" s="453">
        <f t="shared" ref="R28:R33" si="9">ROUND(O28,0)</f>
        <v>100</v>
      </c>
      <c r="S28" s="454">
        <f t="shared" si="5"/>
        <v>0</v>
      </c>
      <c r="T28" s="265"/>
      <c r="U28" s="453">
        <f t="shared" ref="U28:U33" si="10">ROUND(R28,0)</f>
        <v>100</v>
      </c>
      <c r="V28" s="454">
        <f t="shared" si="6"/>
        <v>0</v>
      </c>
      <c r="W28" s="265"/>
      <c r="X28" s="188">
        <f>-31.02+3</f>
        <v>-28.02</v>
      </c>
      <c r="Y28" s="340">
        <f t="shared" si="0"/>
        <v>-0.2802</v>
      </c>
      <c r="Z28" s="188"/>
    </row>
    <row r="29" spans="1:26" ht="26.4" x14ac:dyDescent="0.25">
      <c r="B29" s="58" t="s">
        <v>437</v>
      </c>
      <c r="C29" s="69" t="s">
        <v>59</v>
      </c>
      <c r="D29" s="70" t="s">
        <v>278</v>
      </c>
      <c r="E29" s="179">
        <v>1860</v>
      </c>
      <c r="F29" s="179">
        <v>1860</v>
      </c>
      <c r="G29" s="51">
        <f t="shared" si="1"/>
        <v>0</v>
      </c>
      <c r="H29" s="268"/>
      <c r="I29" s="179">
        <v>1860</v>
      </c>
      <c r="J29" s="51">
        <f t="shared" si="2"/>
        <v>0</v>
      </c>
      <c r="K29" s="268"/>
      <c r="L29" s="179">
        <f t="shared" si="7"/>
        <v>1860</v>
      </c>
      <c r="M29" s="51">
        <f t="shared" si="3"/>
        <v>0</v>
      </c>
      <c r="N29" s="268"/>
      <c r="O29" s="179">
        <f t="shared" si="8"/>
        <v>1860</v>
      </c>
      <c r="P29" s="51">
        <f t="shared" si="4"/>
        <v>0</v>
      </c>
      <c r="Q29" s="268"/>
      <c r="R29" s="453">
        <f t="shared" si="9"/>
        <v>1860</v>
      </c>
      <c r="S29" s="456">
        <f t="shared" si="5"/>
        <v>0</v>
      </c>
      <c r="T29" s="268"/>
      <c r="U29" s="453">
        <f t="shared" si="10"/>
        <v>1860</v>
      </c>
      <c r="V29" s="456">
        <f t="shared" si="6"/>
        <v>0</v>
      </c>
      <c r="W29" s="268"/>
      <c r="X29" s="188">
        <v>2517</v>
      </c>
      <c r="Y29" s="342">
        <f t="shared" si="0"/>
        <v>1.3532258064516129</v>
      </c>
      <c r="Z29" s="188"/>
    </row>
    <row r="30" spans="1:26" ht="25.95" customHeight="1" x14ac:dyDescent="0.25">
      <c r="B30" s="11" t="s">
        <v>58</v>
      </c>
      <c r="C30" s="69" t="s">
        <v>60</v>
      </c>
      <c r="D30" s="70" t="s">
        <v>272</v>
      </c>
      <c r="E30" s="179">
        <v>33000</v>
      </c>
      <c r="F30" s="179">
        <v>33000</v>
      </c>
      <c r="G30" s="12">
        <f t="shared" si="1"/>
        <v>0</v>
      </c>
      <c r="H30" s="265"/>
      <c r="I30" s="179">
        <v>33000</v>
      </c>
      <c r="J30" s="12">
        <f t="shared" si="2"/>
        <v>0</v>
      </c>
      <c r="K30" s="265"/>
      <c r="L30" s="179">
        <f t="shared" si="7"/>
        <v>33000</v>
      </c>
      <c r="M30" s="12">
        <f t="shared" si="3"/>
        <v>0</v>
      </c>
      <c r="N30" s="265"/>
      <c r="O30" s="179">
        <f t="shared" si="8"/>
        <v>33000</v>
      </c>
      <c r="P30" s="12">
        <f t="shared" si="4"/>
        <v>0</v>
      </c>
      <c r="Q30" s="265"/>
      <c r="R30" s="453">
        <f t="shared" si="9"/>
        <v>33000</v>
      </c>
      <c r="S30" s="454">
        <f t="shared" si="5"/>
        <v>0</v>
      </c>
      <c r="T30" s="265"/>
      <c r="U30" s="453">
        <f t="shared" si="10"/>
        <v>33000</v>
      </c>
      <c r="V30" s="454">
        <f t="shared" si="6"/>
        <v>0</v>
      </c>
      <c r="W30" s="265"/>
      <c r="X30" s="188">
        <v>39412.6</v>
      </c>
      <c r="Y30" s="340">
        <f t="shared" si="0"/>
        <v>1.1943212121212121</v>
      </c>
      <c r="Z30" s="188"/>
    </row>
    <row r="31" spans="1:26" ht="26.4" x14ac:dyDescent="0.25">
      <c r="B31" s="11" t="s">
        <v>61</v>
      </c>
      <c r="C31" s="69" t="s">
        <v>62</v>
      </c>
      <c r="D31" s="70" t="s">
        <v>273</v>
      </c>
      <c r="E31" s="179">
        <v>13000</v>
      </c>
      <c r="F31" s="179">
        <v>13000</v>
      </c>
      <c r="G31" s="12">
        <f t="shared" si="1"/>
        <v>0</v>
      </c>
      <c r="H31" s="265"/>
      <c r="I31" s="179">
        <v>13000</v>
      </c>
      <c r="J31" s="12">
        <f t="shared" si="2"/>
        <v>0</v>
      </c>
      <c r="K31" s="265"/>
      <c r="L31" s="179">
        <f t="shared" si="7"/>
        <v>13000</v>
      </c>
      <c r="M31" s="12">
        <f t="shared" si="3"/>
        <v>0</v>
      </c>
      <c r="N31" s="265"/>
      <c r="O31" s="179">
        <f t="shared" si="8"/>
        <v>13000</v>
      </c>
      <c r="P31" s="12">
        <f t="shared" si="4"/>
        <v>0</v>
      </c>
      <c r="Q31" s="265"/>
      <c r="R31" s="453">
        <f t="shared" si="9"/>
        <v>13000</v>
      </c>
      <c r="S31" s="454">
        <f t="shared" si="5"/>
        <v>0</v>
      </c>
      <c r="T31" s="265"/>
      <c r="U31" s="453">
        <f t="shared" si="10"/>
        <v>13000</v>
      </c>
      <c r="V31" s="454">
        <f t="shared" si="6"/>
        <v>0</v>
      </c>
      <c r="W31" s="265"/>
      <c r="X31" s="188">
        <f>29616.92+391</f>
        <v>30007.919999999998</v>
      </c>
      <c r="Y31" s="340">
        <f t="shared" si="0"/>
        <v>2.3083015384615382</v>
      </c>
      <c r="Z31" s="188"/>
    </row>
    <row r="32" spans="1:26" x14ac:dyDescent="0.25">
      <c r="B32" s="11" t="s">
        <v>63</v>
      </c>
      <c r="C32" s="69" t="s">
        <v>64</v>
      </c>
      <c r="D32" s="70" t="s">
        <v>274</v>
      </c>
      <c r="E32" s="179">
        <v>85000</v>
      </c>
      <c r="F32" s="179">
        <v>85000</v>
      </c>
      <c r="G32" s="12">
        <f t="shared" si="1"/>
        <v>0</v>
      </c>
      <c r="H32" s="265"/>
      <c r="I32" s="179">
        <v>85000</v>
      </c>
      <c r="J32" s="12">
        <f t="shared" si="2"/>
        <v>0</v>
      </c>
      <c r="K32" s="265"/>
      <c r="L32" s="179">
        <f t="shared" si="7"/>
        <v>85000</v>
      </c>
      <c r="M32" s="12">
        <f t="shared" si="3"/>
        <v>0</v>
      </c>
      <c r="N32" s="265"/>
      <c r="O32" s="179">
        <f t="shared" si="8"/>
        <v>85000</v>
      </c>
      <c r="P32" s="12">
        <f t="shared" si="4"/>
        <v>0</v>
      </c>
      <c r="Q32" s="265"/>
      <c r="R32" s="453">
        <f t="shared" si="9"/>
        <v>85000</v>
      </c>
      <c r="S32" s="454">
        <f t="shared" si="5"/>
        <v>0</v>
      </c>
      <c r="T32" s="265"/>
      <c r="U32" s="453">
        <f t="shared" si="10"/>
        <v>85000</v>
      </c>
      <c r="V32" s="454">
        <f t="shared" si="6"/>
        <v>0</v>
      </c>
      <c r="W32" s="265"/>
      <c r="X32" s="188">
        <v>84642</v>
      </c>
      <c r="Y32" s="340">
        <f t="shared" si="0"/>
        <v>0.99578823529411764</v>
      </c>
      <c r="Z32" s="188"/>
    </row>
    <row r="33" spans="1:26" x14ac:dyDescent="0.25">
      <c r="B33" s="11" t="s">
        <v>65</v>
      </c>
      <c r="C33" s="69" t="s">
        <v>66</v>
      </c>
      <c r="D33" s="70" t="s">
        <v>275</v>
      </c>
      <c r="E33" s="179">
        <v>5000</v>
      </c>
      <c r="F33" s="179">
        <v>5000</v>
      </c>
      <c r="G33" s="12">
        <f t="shared" si="1"/>
        <v>0</v>
      </c>
      <c r="H33" s="265"/>
      <c r="I33" s="179">
        <v>5000</v>
      </c>
      <c r="J33" s="12">
        <f t="shared" si="2"/>
        <v>0</v>
      </c>
      <c r="K33" s="265"/>
      <c r="L33" s="179">
        <f t="shared" si="7"/>
        <v>5000</v>
      </c>
      <c r="M33" s="12">
        <f t="shared" si="3"/>
        <v>0</v>
      </c>
      <c r="N33" s="265"/>
      <c r="O33" s="179">
        <f t="shared" si="8"/>
        <v>5000</v>
      </c>
      <c r="P33" s="12">
        <f t="shared" si="4"/>
        <v>0</v>
      </c>
      <c r="Q33" s="265"/>
      <c r="R33" s="453">
        <f t="shared" si="9"/>
        <v>5000</v>
      </c>
      <c r="S33" s="454">
        <f t="shared" si="5"/>
        <v>0</v>
      </c>
      <c r="T33" s="265"/>
      <c r="U33" s="453">
        <f t="shared" si="10"/>
        <v>5000</v>
      </c>
      <c r="V33" s="454">
        <f t="shared" si="6"/>
        <v>0</v>
      </c>
      <c r="W33" s="265"/>
      <c r="X33" s="188">
        <v>2618.88</v>
      </c>
      <c r="Y33" s="340">
        <f t="shared" si="0"/>
        <v>0.52377600000000002</v>
      </c>
      <c r="Z33" s="188"/>
    </row>
    <row r="34" spans="1:26" ht="18" customHeight="1" x14ac:dyDescent="0.25">
      <c r="B34" s="3" t="s">
        <v>67</v>
      </c>
      <c r="C34" s="67" t="s">
        <v>68</v>
      </c>
      <c r="D34" s="68" t="s">
        <v>69</v>
      </c>
      <c r="E34" s="212">
        <v>130000</v>
      </c>
      <c r="F34" s="212">
        <v>130000</v>
      </c>
      <c r="G34" s="13">
        <f t="shared" si="1"/>
        <v>0</v>
      </c>
      <c r="H34" s="269"/>
      <c r="I34" s="212">
        <v>130000</v>
      </c>
      <c r="J34" s="13">
        <f t="shared" si="2"/>
        <v>0</v>
      </c>
      <c r="K34" s="269"/>
      <c r="L34" s="212">
        <f>L35+L36</f>
        <v>130000</v>
      </c>
      <c r="M34" s="13">
        <f t="shared" si="3"/>
        <v>0</v>
      </c>
      <c r="N34" s="269"/>
      <c r="O34" s="212">
        <f>O35+O36</f>
        <v>130000</v>
      </c>
      <c r="P34" s="13">
        <f t="shared" si="4"/>
        <v>0</v>
      </c>
      <c r="Q34" s="269"/>
      <c r="R34" s="455">
        <f>R35+R36</f>
        <v>130000</v>
      </c>
      <c r="S34" s="14">
        <f t="shared" si="5"/>
        <v>0</v>
      </c>
      <c r="T34" s="269"/>
      <c r="U34" s="455">
        <f>U35+U36</f>
        <v>130000</v>
      </c>
      <c r="V34" s="14">
        <f t="shared" si="6"/>
        <v>0</v>
      </c>
      <c r="W34" s="269"/>
      <c r="X34" s="193">
        <f>X35+X36</f>
        <v>163452.96000000002</v>
      </c>
      <c r="Y34" s="366">
        <f t="shared" si="0"/>
        <v>1.2573304615384617</v>
      </c>
      <c r="Z34" s="367"/>
    </row>
    <row r="35" spans="1:26" ht="16.5" customHeight="1" x14ac:dyDescent="0.3">
      <c r="B35" s="53" t="s">
        <v>70</v>
      </c>
      <c r="C35" s="65" t="s">
        <v>71</v>
      </c>
      <c r="D35" s="66" t="s">
        <v>69</v>
      </c>
      <c r="E35" s="179">
        <v>90000</v>
      </c>
      <c r="F35" s="179">
        <v>90000</v>
      </c>
      <c r="G35" s="12">
        <f t="shared" si="1"/>
        <v>0</v>
      </c>
      <c r="H35" s="253"/>
      <c r="I35" s="179">
        <v>90000</v>
      </c>
      <c r="J35" s="12">
        <f t="shared" si="2"/>
        <v>0</v>
      </c>
      <c r="K35" s="253"/>
      <c r="L35" s="179">
        <f>ROUND(I35,0)</f>
        <v>90000</v>
      </c>
      <c r="M35" s="12">
        <f t="shared" si="3"/>
        <v>0</v>
      </c>
      <c r="N35" s="253"/>
      <c r="O35" s="179">
        <f>ROUND(L35,0)</f>
        <v>90000</v>
      </c>
      <c r="P35" s="12">
        <f t="shared" si="4"/>
        <v>0</v>
      </c>
      <c r="Q35" s="253"/>
      <c r="R35" s="453">
        <f>ROUND(O35,0)</f>
        <v>90000</v>
      </c>
      <c r="S35" s="454">
        <f t="shared" si="5"/>
        <v>0</v>
      </c>
      <c r="T35" s="253"/>
      <c r="U35" s="453">
        <f>ROUND(R35,0)</f>
        <v>90000</v>
      </c>
      <c r="V35" s="454">
        <f t="shared" si="6"/>
        <v>0</v>
      </c>
      <c r="W35" s="253"/>
      <c r="X35" s="188">
        <v>127116.96</v>
      </c>
      <c r="Y35" s="340">
        <f t="shared" si="0"/>
        <v>1.4124106666666667</v>
      </c>
      <c r="Z35" s="188"/>
    </row>
    <row r="36" spans="1:26" ht="28.2" x14ac:dyDescent="0.3">
      <c r="B36" s="53" t="s">
        <v>72</v>
      </c>
      <c r="C36" s="65" t="s">
        <v>73</v>
      </c>
      <c r="D36" s="66" t="s">
        <v>74</v>
      </c>
      <c r="E36" s="179">
        <v>40000</v>
      </c>
      <c r="F36" s="179">
        <v>40000</v>
      </c>
      <c r="G36" s="12">
        <f t="shared" si="1"/>
        <v>0</v>
      </c>
      <c r="H36" s="253"/>
      <c r="I36" s="179">
        <v>40000</v>
      </c>
      <c r="J36" s="12">
        <f t="shared" si="2"/>
        <v>0</v>
      </c>
      <c r="K36" s="253"/>
      <c r="L36" s="179">
        <f>ROUND(I36,0)</f>
        <v>40000</v>
      </c>
      <c r="M36" s="12">
        <f t="shared" si="3"/>
        <v>0</v>
      </c>
      <c r="N36" s="253"/>
      <c r="O36" s="179">
        <f>ROUND(L36,0)</f>
        <v>40000</v>
      </c>
      <c r="P36" s="12">
        <f t="shared" si="4"/>
        <v>0</v>
      </c>
      <c r="Q36" s="253"/>
      <c r="R36" s="453">
        <f>ROUND(O36,0)</f>
        <v>40000</v>
      </c>
      <c r="S36" s="454">
        <f t="shared" si="5"/>
        <v>0</v>
      </c>
      <c r="T36" s="253"/>
      <c r="U36" s="453">
        <f>ROUND(R36,0)</f>
        <v>40000</v>
      </c>
      <c r="V36" s="454">
        <f t="shared" si="6"/>
        <v>0</v>
      </c>
      <c r="W36" s="253"/>
      <c r="X36" s="188">
        <v>36336</v>
      </c>
      <c r="Y36" s="340">
        <f t="shared" si="0"/>
        <v>0.90839999999999999</v>
      </c>
      <c r="Z36" s="188"/>
    </row>
    <row r="37" spans="1:26" ht="15" customHeight="1" x14ac:dyDescent="0.25">
      <c r="B37" s="3" t="s">
        <v>75</v>
      </c>
      <c r="C37" s="67" t="s">
        <v>76</v>
      </c>
      <c r="D37" s="68" t="s">
        <v>77</v>
      </c>
      <c r="E37" s="212">
        <v>35728</v>
      </c>
      <c r="F37" s="212">
        <v>35728</v>
      </c>
      <c r="G37" s="13">
        <f t="shared" si="1"/>
        <v>0</v>
      </c>
      <c r="H37" s="264"/>
      <c r="I37" s="212">
        <v>35728</v>
      </c>
      <c r="J37" s="13">
        <f t="shared" si="2"/>
        <v>0</v>
      </c>
      <c r="K37" s="264"/>
      <c r="L37" s="212">
        <f>L38+L39+L40</f>
        <v>35728</v>
      </c>
      <c r="M37" s="13">
        <f t="shared" si="3"/>
        <v>0</v>
      </c>
      <c r="N37" s="264"/>
      <c r="O37" s="212">
        <f>O38+O39+O40</f>
        <v>35728</v>
      </c>
      <c r="P37" s="13">
        <f t="shared" si="4"/>
        <v>0</v>
      </c>
      <c r="Q37" s="264"/>
      <c r="R37" s="455">
        <f>R38+R39+R40</f>
        <v>35728</v>
      </c>
      <c r="S37" s="14">
        <f t="shared" si="5"/>
        <v>0</v>
      </c>
      <c r="T37" s="264"/>
      <c r="U37" s="455">
        <f>U38+U39+U40</f>
        <v>35728</v>
      </c>
      <c r="V37" s="14">
        <f t="shared" si="6"/>
        <v>0</v>
      </c>
      <c r="W37" s="264"/>
      <c r="X37" s="193">
        <f>X38+X39+X40</f>
        <v>49449.120000000003</v>
      </c>
      <c r="Y37" s="366">
        <f t="shared" si="0"/>
        <v>1.3840438871473355</v>
      </c>
      <c r="Z37" s="193"/>
    </row>
    <row r="38" spans="1:26" ht="45.6" customHeight="1" x14ac:dyDescent="0.25">
      <c r="A38" s="3" t="s">
        <v>10</v>
      </c>
      <c r="B38" s="4" t="s">
        <v>574</v>
      </c>
      <c r="C38" s="65" t="s">
        <v>78</v>
      </c>
      <c r="D38" s="141" t="s">
        <v>79</v>
      </c>
      <c r="E38" s="179">
        <v>25728</v>
      </c>
      <c r="F38" s="179">
        <v>25728</v>
      </c>
      <c r="G38" s="12">
        <f t="shared" si="1"/>
        <v>0</v>
      </c>
      <c r="H38" s="251"/>
      <c r="I38" s="179">
        <v>25728</v>
      </c>
      <c r="J38" s="12">
        <f t="shared" si="2"/>
        <v>0</v>
      </c>
      <c r="K38" s="251"/>
      <c r="L38" s="179">
        <f>ROUND(I38,0)</f>
        <v>25728</v>
      </c>
      <c r="M38" s="12">
        <f t="shared" si="3"/>
        <v>0</v>
      </c>
      <c r="N38" s="251"/>
      <c r="O38" s="179">
        <f>ROUND(L38,0)</f>
        <v>25728</v>
      </c>
      <c r="P38" s="12">
        <f t="shared" si="4"/>
        <v>0</v>
      </c>
      <c r="Q38" s="251"/>
      <c r="R38" s="453">
        <f>ROUND(O38,0)</f>
        <v>25728</v>
      </c>
      <c r="S38" s="454">
        <f t="shared" si="5"/>
        <v>0</v>
      </c>
      <c r="T38" s="251"/>
      <c r="U38" s="453">
        <f>ROUND(R38,0)</f>
        <v>25728</v>
      </c>
      <c r="V38" s="454">
        <f t="shared" si="6"/>
        <v>0</v>
      </c>
      <c r="W38" s="251"/>
      <c r="X38" s="188">
        <f>26204.38+1621+5772</f>
        <v>33597.380000000005</v>
      </c>
      <c r="Y38" s="340">
        <f t="shared" si="0"/>
        <v>1.305868314676617</v>
      </c>
      <c r="Z38" s="338" t="s">
        <v>845</v>
      </c>
    </row>
    <row r="39" spans="1:26" ht="27.75" customHeight="1" x14ac:dyDescent="0.25">
      <c r="B39" s="3" t="s">
        <v>242</v>
      </c>
      <c r="C39" s="65" t="s">
        <v>80</v>
      </c>
      <c r="D39" s="66" t="s">
        <v>241</v>
      </c>
      <c r="E39" s="179">
        <v>0</v>
      </c>
      <c r="F39" s="179">
        <v>0</v>
      </c>
      <c r="G39" s="12">
        <f t="shared" si="1"/>
        <v>0</v>
      </c>
      <c r="H39" s="251"/>
      <c r="I39" s="179">
        <v>0</v>
      </c>
      <c r="J39" s="12">
        <f t="shared" si="2"/>
        <v>0</v>
      </c>
      <c r="K39" s="251"/>
      <c r="L39" s="179">
        <f>ROUND(I39,0)</f>
        <v>0</v>
      </c>
      <c r="M39" s="12">
        <f t="shared" si="3"/>
        <v>0</v>
      </c>
      <c r="N39" s="251"/>
      <c r="O39" s="179">
        <f>ROUND(L39,0)</f>
        <v>0</v>
      </c>
      <c r="P39" s="12">
        <f t="shared" si="4"/>
        <v>0</v>
      </c>
      <c r="Q39" s="251"/>
      <c r="R39" s="453">
        <f>ROUND(O39,0)</f>
        <v>0</v>
      </c>
      <c r="S39" s="454">
        <f t="shared" si="5"/>
        <v>0</v>
      </c>
      <c r="T39" s="251"/>
      <c r="U39" s="453">
        <f>ROUND(R39,0)</f>
        <v>0</v>
      </c>
      <c r="V39" s="454">
        <f t="shared" si="6"/>
        <v>0</v>
      </c>
      <c r="W39" s="251"/>
      <c r="X39" s="188">
        <v>1288</v>
      </c>
      <c r="Y39" s="340"/>
      <c r="Z39" s="428"/>
    </row>
    <row r="40" spans="1:26" x14ac:dyDescent="0.25">
      <c r="B40" s="3" t="s">
        <v>538</v>
      </c>
      <c r="C40" s="65" t="s">
        <v>81</v>
      </c>
      <c r="D40" s="66" t="s">
        <v>299</v>
      </c>
      <c r="E40" s="179">
        <v>10000</v>
      </c>
      <c r="F40" s="179">
        <v>10000</v>
      </c>
      <c r="G40" s="51">
        <f t="shared" si="1"/>
        <v>0</v>
      </c>
      <c r="H40" s="270"/>
      <c r="I40" s="179">
        <v>10000</v>
      </c>
      <c r="J40" s="51">
        <f t="shared" si="2"/>
        <v>0</v>
      </c>
      <c r="K40" s="270"/>
      <c r="L40" s="179">
        <f>ROUND(I40,0)</f>
        <v>10000</v>
      </c>
      <c r="M40" s="51">
        <f t="shared" si="3"/>
        <v>0</v>
      </c>
      <c r="N40" s="270"/>
      <c r="O40" s="179">
        <f>ROUND(L40,0)</f>
        <v>10000</v>
      </c>
      <c r="P40" s="51">
        <f t="shared" si="4"/>
        <v>0</v>
      </c>
      <c r="Q40" s="270"/>
      <c r="R40" s="453">
        <f>ROUND(O40,0)</f>
        <v>10000</v>
      </c>
      <c r="S40" s="456">
        <f t="shared" si="5"/>
        <v>0</v>
      </c>
      <c r="T40" s="270"/>
      <c r="U40" s="453">
        <f>ROUND(R40,0)</f>
        <v>10000</v>
      </c>
      <c r="V40" s="456">
        <f t="shared" si="6"/>
        <v>0</v>
      </c>
      <c r="W40" s="270"/>
      <c r="X40" s="188">
        <v>14563.74</v>
      </c>
      <c r="Y40" s="342">
        <f>X40/R40</f>
        <v>1.4563740000000001</v>
      </c>
      <c r="Z40" s="188"/>
    </row>
    <row r="41" spans="1:26" ht="18.75" customHeight="1" x14ac:dyDescent="0.25">
      <c r="B41" s="3" t="s">
        <v>237</v>
      </c>
      <c r="C41" s="71" t="s">
        <v>82</v>
      </c>
      <c r="D41" s="68" t="s">
        <v>83</v>
      </c>
      <c r="E41" s="212">
        <v>0</v>
      </c>
      <c r="F41" s="212">
        <v>0</v>
      </c>
      <c r="G41" s="13">
        <f t="shared" si="1"/>
        <v>0</v>
      </c>
      <c r="H41" s="269"/>
      <c r="I41" s="212">
        <v>0</v>
      </c>
      <c r="J41" s="13">
        <f t="shared" si="2"/>
        <v>0</v>
      </c>
      <c r="K41" s="269"/>
      <c r="L41" s="212">
        <f>ROUND(I41,0)</f>
        <v>0</v>
      </c>
      <c r="M41" s="13">
        <f t="shared" si="3"/>
        <v>0</v>
      </c>
      <c r="N41" s="269"/>
      <c r="O41" s="212">
        <f>ROUND(L41,0)+159278</f>
        <v>159278</v>
      </c>
      <c r="P41" s="13">
        <f t="shared" si="4"/>
        <v>159278</v>
      </c>
      <c r="Q41" s="269" t="s">
        <v>757</v>
      </c>
      <c r="R41" s="455">
        <f>ROUND(O41,0)</f>
        <v>159278</v>
      </c>
      <c r="S41" s="14">
        <f t="shared" si="5"/>
        <v>0</v>
      </c>
      <c r="T41" s="269"/>
      <c r="U41" s="455">
        <f>ROUND(R41,0)</f>
        <v>159278</v>
      </c>
      <c r="V41" s="14">
        <f t="shared" si="6"/>
        <v>0</v>
      </c>
      <c r="W41" s="269"/>
      <c r="X41" s="193">
        <f>342236.06+16922</f>
        <v>359158.06</v>
      </c>
      <c r="Y41" s="366"/>
      <c r="Z41" s="367"/>
    </row>
    <row r="42" spans="1:26" ht="31.5" customHeight="1" x14ac:dyDescent="0.25">
      <c r="C42" s="71" t="s">
        <v>86</v>
      </c>
      <c r="D42" s="68" t="s">
        <v>246</v>
      </c>
      <c r="E42" s="212">
        <v>17618701</v>
      </c>
      <c r="F42" s="212">
        <v>17672389</v>
      </c>
      <c r="G42" s="13">
        <f t="shared" si="1"/>
        <v>53688</v>
      </c>
      <c r="H42" s="13"/>
      <c r="I42" s="212">
        <v>18762241</v>
      </c>
      <c r="J42" s="13">
        <f t="shared" si="2"/>
        <v>1089852</v>
      </c>
      <c r="K42" s="13"/>
      <c r="L42" s="212">
        <f>L43+L67+L87</f>
        <v>18904660</v>
      </c>
      <c r="M42" s="13">
        <f t="shared" si="3"/>
        <v>142419</v>
      </c>
      <c r="N42" s="13"/>
      <c r="O42" s="212">
        <f>O43+O67+O87</f>
        <v>18933391</v>
      </c>
      <c r="P42" s="13">
        <f t="shared" si="4"/>
        <v>28731</v>
      </c>
      <c r="Q42" s="13"/>
      <c r="R42" s="455">
        <f>R43+R67+R87</f>
        <v>19335619</v>
      </c>
      <c r="S42" s="14">
        <f t="shared" si="5"/>
        <v>402228</v>
      </c>
      <c r="T42" s="13"/>
      <c r="U42" s="455">
        <f>U43+U67+U87</f>
        <v>19390884</v>
      </c>
      <c r="V42" s="14">
        <f t="shared" si="6"/>
        <v>55265</v>
      </c>
      <c r="W42" s="13"/>
      <c r="X42" s="560">
        <f>X43+X67+X87</f>
        <v>15613295.59</v>
      </c>
      <c r="Y42" s="366">
        <f>X42/R42</f>
        <v>0.80748878998908702</v>
      </c>
      <c r="Z42" s="193"/>
    </row>
    <row r="43" spans="1:26" ht="17.399999999999999" customHeight="1" x14ac:dyDescent="0.25">
      <c r="B43" s="11"/>
      <c r="C43" s="72" t="s">
        <v>90</v>
      </c>
      <c r="D43" s="143" t="s">
        <v>87</v>
      </c>
      <c r="E43" s="225">
        <v>9758404</v>
      </c>
      <c r="F43" s="225">
        <v>9781664</v>
      </c>
      <c r="G43" s="49">
        <f t="shared" si="1"/>
        <v>23260</v>
      </c>
      <c r="H43" s="49"/>
      <c r="I43" s="225">
        <v>9919247</v>
      </c>
      <c r="J43" s="49">
        <f t="shared" si="2"/>
        <v>137583</v>
      </c>
      <c r="K43" s="49"/>
      <c r="L43" s="225">
        <f>SUM(L44:L47)+L50+SUM(L54:L66)</f>
        <v>10023614</v>
      </c>
      <c r="M43" s="49">
        <f t="shared" si="3"/>
        <v>104367</v>
      </c>
      <c r="N43" s="49"/>
      <c r="O43" s="225">
        <f>SUM(O44:O47)+O50+SUM(O54:O66)</f>
        <v>10078697</v>
      </c>
      <c r="P43" s="49">
        <f t="shared" si="4"/>
        <v>55083</v>
      </c>
      <c r="Q43" s="49"/>
      <c r="R43" s="457">
        <f>SUM(R44:R47)+R50+SUM(R54:R66)</f>
        <v>10401710</v>
      </c>
      <c r="S43" s="458">
        <f t="shared" si="5"/>
        <v>323013</v>
      </c>
      <c r="T43" s="49"/>
      <c r="U43" s="457">
        <f>SUM(U44:U47)+U50+SUM(U54:U66)</f>
        <v>10456975</v>
      </c>
      <c r="V43" s="458">
        <f t="shared" si="6"/>
        <v>55265</v>
      </c>
      <c r="W43" s="49"/>
      <c r="X43" s="531">
        <f>SUM(X44:X47)+X50+SUM(X54:X66)</f>
        <v>11138955.880000001</v>
      </c>
      <c r="Y43" s="373">
        <f>X43/R43</f>
        <v>1.0708773730473162</v>
      </c>
      <c r="Z43" s="197"/>
    </row>
    <row r="44" spans="1:26" ht="16.95" customHeight="1" x14ac:dyDescent="0.25">
      <c r="A44" s="3" t="s">
        <v>88</v>
      </c>
      <c r="B44" s="3" t="s">
        <v>89</v>
      </c>
      <c r="C44" s="69" t="s">
        <v>358</v>
      </c>
      <c r="D44" s="66" t="s">
        <v>91</v>
      </c>
      <c r="E44" s="179">
        <v>718764</v>
      </c>
      <c r="F44" s="179">
        <v>718764</v>
      </c>
      <c r="G44" s="12">
        <f t="shared" si="1"/>
        <v>0</v>
      </c>
      <c r="H44" s="251"/>
      <c r="I44" s="179">
        <v>718764</v>
      </c>
      <c r="J44" s="12">
        <f t="shared" si="2"/>
        <v>0</v>
      </c>
      <c r="K44" s="251"/>
      <c r="L44" s="179">
        <f>ROUND(I44,0)</f>
        <v>718764</v>
      </c>
      <c r="M44" s="12">
        <f t="shared" si="3"/>
        <v>0</v>
      </c>
      <c r="N44" s="251"/>
      <c r="O44" s="179">
        <f>ROUND(L44,0)</f>
        <v>718764</v>
      </c>
      <c r="P44" s="12">
        <f t="shared" si="4"/>
        <v>0</v>
      </c>
      <c r="Q44" s="251"/>
      <c r="R44" s="453">
        <f>ROUND(O44,0)+114472</f>
        <v>833236</v>
      </c>
      <c r="S44" s="454">
        <f t="shared" si="5"/>
        <v>114472</v>
      </c>
      <c r="T44" s="251" t="s">
        <v>821</v>
      </c>
      <c r="U44" s="453">
        <f>ROUND(R44,0)</f>
        <v>833236</v>
      </c>
      <c r="V44" s="454">
        <f t="shared" si="6"/>
        <v>0</v>
      </c>
      <c r="W44" s="251"/>
      <c r="X44" s="188">
        <v>833236</v>
      </c>
      <c r="Y44" s="340">
        <f>X44/R44</f>
        <v>1</v>
      </c>
      <c r="Z44" s="188"/>
    </row>
    <row r="45" spans="1:26" ht="13.95" customHeight="1" x14ac:dyDescent="0.3">
      <c r="A45" s="3" t="s">
        <v>88</v>
      </c>
      <c r="B45" s="53" t="s">
        <v>92</v>
      </c>
      <c r="C45" s="69" t="s">
        <v>359</v>
      </c>
      <c r="D45" s="66" t="s">
        <v>94</v>
      </c>
      <c r="E45" s="179">
        <v>313180</v>
      </c>
      <c r="F45" s="179">
        <v>313180</v>
      </c>
      <c r="G45" s="12">
        <f t="shared" si="1"/>
        <v>0</v>
      </c>
      <c r="H45" s="253"/>
      <c r="I45" s="179">
        <v>313180</v>
      </c>
      <c r="J45" s="12">
        <f t="shared" si="2"/>
        <v>0</v>
      </c>
      <c r="K45" s="253"/>
      <c r="L45" s="179">
        <f>ROUND(I45,0)</f>
        <v>313180</v>
      </c>
      <c r="M45" s="12">
        <f t="shared" si="3"/>
        <v>0</v>
      </c>
      <c r="N45" s="253"/>
      <c r="O45" s="179">
        <f>ROUND(L45,0)</f>
        <v>313180</v>
      </c>
      <c r="P45" s="12">
        <f t="shared" si="4"/>
        <v>0</v>
      </c>
      <c r="Q45" s="253"/>
      <c r="R45" s="453">
        <f>ROUND(O45,0)</f>
        <v>313180</v>
      </c>
      <c r="S45" s="454">
        <f t="shared" si="5"/>
        <v>0</v>
      </c>
      <c r="T45" s="253"/>
      <c r="U45" s="453">
        <f>ROUND(R45,0)</f>
        <v>313180</v>
      </c>
      <c r="V45" s="454">
        <f t="shared" si="6"/>
        <v>0</v>
      </c>
      <c r="W45" s="253"/>
      <c r="X45" s="188">
        <v>339199</v>
      </c>
      <c r="Y45" s="340">
        <f>X45/R45</f>
        <v>1.0830800178810907</v>
      </c>
      <c r="Z45" s="188"/>
    </row>
    <row r="46" spans="1:26" ht="14.4" x14ac:dyDescent="0.3">
      <c r="B46" s="48" t="s">
        <v>261</v>
      </c>
      <c r="C46" s="69" t="s">
        <v>360</v>
      </c>
      <c r="D46" s="66" t="s">
        <v>95</v>
      </c>
      <c r="E46" s="179">
        <v>341692</v>
      </c>
      <c r="F46" s="179">
        <v>341692</v>
      </c>
      <c r="G46" s="12">
        <f t="shared" si="1"/>
        <v>0</v>
      </c>
      <c r="H46" s="251"/>
      <c r="I46" s="179">
        <v>341692</v>
      </c>
      <c r="J46" s="12">
        <f t="shared" si="2"/>
        <v>0</v>
      </c>
      <c r="K46" s="251"/>
      <c r="L46" s="179">
        <f>ROUND(I46,0)</f>
        <v>341692</v>
      </c>
      <c r="M46" s="12">
        <f t="shared" si="3"/>
        <v>0</v>
      </c>
      <c r="N46" s="251"/>
      <c r="O46" s="179">
        <f>ROUND(L46,0)</f>
        <v>341692</v>
      </c>
      <c r="P46" s="12">
        <f t="shared" si="4"/>
        <v>0</v>
      </c>
      <c r="Q46" s="251"/>
      <c r="R46" s="453">
        <f>ROUND(O46,0)</f>
        <v>341692</v>
      </c>
      <c r="S46" s="454">
        <f t="shared" si="5"/>
        <v>0</v>
      </c>
      <c r="T46" s="251"/>
      <c r="U46" s="453">
        <f>ROUND(R46,0)</f>
        <v>341692</v>
      </c>
      <c r="V46" s="454">
        <f t="shared" si="6"/>
        <v>0</v>
      </c>
      <c r="W46" s="251"/>
      <c r="X46" s="188">
        <v>313320</v>
      </c>
      <c r="Y46" s="340">
        <f>X46/R46</f>
        <v>0.91696615665570158</v>
      </c>
      <c r="Z46" s="188"/>
    </row>
    <row r="47" spans="1:26" ht="14.25" customHeight="1" x14ac:dyDescent="0.3">
      <c r="A47" s="3" t="s">
        <v>88</v>
      </c>
      <c r="B47" s="53" t="s">
        <v>96</v>
      </c>
      <c r="C47" s="69" t="s">
        <v>361</v>
      </c>
      <c r="D47" s="66" t="s">
        <v>405</v>
      </c>
      <c r="E47" s="12">
        <v>0</v>
      </c>
      <c r="F47" s="179">
        <v>0</v>
      </c>
      <c r="G47" s="12">
        <f t="shared" si="1"/>
        <v>0</v>
      </c>
      <c r="H47" s="12"/>
      <c r="I47" s="179">
        <v>117542</v>
      </c>
      <c r="J47" s="12">
        <f t="shared" si="2"/>
        <v>117542</v>
      </c>
      <c r="K47" s="12"/>
      <c r="L47" s="179">
        <f>L48+L49</f>
        <v>117542</v>
      </c>
      <c r="M47" s="12">
        <f t="shared" si="3"/>
        <v>0</v>
      </c>
      <c r="N47" s="12"/>
      <c r="O47" s="179">
        <f>O48+O49</f>
        <v>117542</v>
      </c>
      <c r="P47" s="12">
        <f t="shared" si="4"/>
        <v>0</v>
      </c>
      <c r="Q47" s="12"/>
      <c r="R47" s="453">
        <f>R48+R49</f>
        <v>120296</v>
      </c>
      <c r="S47" s="454">
        <f t="shared" si="5"/>
        <v>2754</v>
      </c>
      <c r="T47" s="12"/>
      <c r="U47" s="453">
        <f>U48+U49</f>
        <v>120296</v>
      </c>
      <c r="V47" s="454">
        <f t="shared" si="6"/>
        <v>0</v>
      </c>
      <c r="W47" s="12"/>
      <c r="X47" s="188">
        <f>X48+X49</f>
        <v>121179.72</v>
      </c>
      <c r="Y47" s="340">
        <f t="shared" ref="Y47:Y48" si="11">X47/R47</f>
        <v>1.0073462126754007</v>
      </c>
      <c r="Z47" s="188"/>
    </row>
    <row r="48" spans="1:26" ht="30" customHeight="1" x14ac:dyDescent="0.3">
      <c r="B48" s="53"/>
      <c r="C48" s="69" t="s">
        <v>402</v>
      </c>
      <c r="D48" s="70" t="s">
        <v>404</v>
      </c>
      <c r="E48" s="179">
        <v>0</v>
      </c>
      <c r="F48" s="213">
        <v>0</v>
      </c>
      <c r="G48" s="90">
        <f t="shared" si="1"/>
        <v>0</v>
      </c>
      <c r="H48" s="256"/>
      <c r="I48" s="213">
        <v>117542</v>
      </c>
      <c r="J48" s="90">
        <f t="shared" si="2"/>
        <v>117542</v>
      </c>
      <c r="K48" s="256" t="s">
        <v>725</v>
      </c>
      <c r="L48" s="213">
        <f>ROUND(I48,0)</f>
        <v>117542</v>
      </c>
      <c r="M48" s="90">
        <f t="shared" si="3"/>
        <v>0</v>
      </c>
      <c r="N48" s="256"/>
      <c r="O48" s="213">
        <f>ROUND(L48,0)</f>
        <v>117542</v>
      </c>
      <c r="P48" s="90">
        <f t="shared" si="4"/>
        <v>0</v>
      </c>
      <c r="Q48" s="256"/>
      <c r="R48" s="459">
        <f>ROUND(O48,0)+2754</f>
        <v>120296</v>
      </c>
      <c r="S48" s="460">
        <f t="shared" si="5"/>
        <v>2754</v>
      </c>
      <c r="T48" s="256" t="s">
        <v>807</v>
      </c>
      <c r="U48" s="459">
        <f>ROUND(R48,0)</f>
        <v>120296</v>
      </c>
      <c r="V48" s="460">
        <f t="shared" si="6"/>
        <v>0</v>
      </c>
      <c r="W48" s="256"/>
      <c r="X48" s="188">
        <v>121179.72</v>
      </c>
      <c r="Y48" s="340">
        <f t="shared" si="11"/>
        <v>1.0073462126754007</v>
      </c>
      <c r="Z48" s="188"/>
    </row>
    <row r="49" spans="1:26" ht="29.4" customHeight="1" x14ac:dyDescent="0.3">
      <c r="B49" s="53"/>
      <c r="C49" s="69" t="s">
        <v>403</v>
      </c>
      <c r="D49" s="70" t="s">
        <v>406</v>
      </c>
      <c r="E49" s="179">
        <v>0</v>
      </c>
      <c r="F49" s="213">
        <v>0</v>
      </c>
      <c r="G49" s="90">
        <f t="shared" si="1"/>
        <v>0</v>
      </c>
      <c r="H49" s="256"/>
      <c r="I49" s="213">
        <v>0</v>
      </c>
      <c r="J49" s="90">
        <f t="shared" si="2"/>
        <v>0</v>
      </c>
      <c r="K49" s="256"/>
      <c r="L49" s="213">
        <f>ROUND(I49,0)</f>
        <v>0</v>
      </c>
      <c r="M49" s="90">
        <f t="shared" si="3"/>
        <v>0</v>
      </c>
      <c r="N49" s="256"/>
      <c r="O49" s="213">
        <f>ROUND(L49,0)</f>
        <v>0</v>
      </c>
      <c r="P49" s="90">
        <f t="shared" si="4"/>
        <v>0</v>
      </c>
      <c r="Q49" s="256"/>
      <c r="R49" s="459">
        <f>ROUND(O49,0)</f>
        <v>0</v>
      </c>
      <c r="S49" s="460">
        <f t="shared" si="5"/>
        <v>0</v>
      </c>
      <c r="T49" s="256"/>
      <c r="U49" s="459">
        <f>ROUND(R49,0)</f>
        <v>0</v>
      </c>
      <c r="V49" s="460">
        <f t="shared" si="6"/>
        <v>0</v>
      </c>
      <c r="W49" s="256"/>
      <c r="X49" s="188">
        <v>0</v>
      </c>
      <c r="Y49" s="340"/>
      <c r="Z49" s="188"/>
    </row>
    <row r="50" spans="1:26" ht="13.95" customHeight="1" x14ac:dyDescent="0.25">
      <c r="B50" s="3" t="s">
        <v>97</v>
      </c>
      <c r="C50" s="69" t="s">
        <v>362</v>
      </c>
      <c r="D50" s="66" t="s">
        <v>98</v>
      </c>
      <c r="E50" s="214">
        <v>7121916</v>
      </c>
      <c r="F50" s="214">
        <v>7137676</v>
      </c>
      <c r="G50" s="45">
        <f t="shared" si="1"/>
        <v>15760</v>
      </c>
      <c r="H50" s="271"/>
      <c r="I50" s="214">
        <v>7137676</v>
      </c>
      <c r="J50" s="45">
        <f t="shared" si="2"/>
        <v>0</v>
      </c>
      <c r="K50" s="271"/>
      <c r="L50" s="214">
        <f>L51+L52+L53</f>
        <v>7137676</v>
      </c>
      <c r="M50" s="45">
        <f t="shared" si="3"/>
        <v>0</v>
      </c>
      <c r="N50" s="271"/>
      <c r="O50" s="214">
        <f>O51+O52+O53</f>
        <v>7137676</v>
      </c>
      <c r="P50" s="45">
        <f t="shared" si="4"/>
        <v>0</v>
      </c>
      <c r="Q50" s="271"/>
      <c r="R50" s="461">
        <f>R51+R52+R53</f>
        <v>7340502</v>
      </c>
      <c r="S50" s="462">
        <f t="shared" si="5"/>
        <v>202826</v>
      </c>
      <c r="T50" s="271"/>
      <c r="U50" s="461">
        <f>U51+U52+U53</f>
        <v>7340502</v>
      </c>
      <c r="V50" s="462">
        <f t="shared" si="6"/>
        <v>0</v>
      </c>
      <c r="W50" s="271"/>
      <c r="X50" s="561">
        <f>X51+X52+X53</f>
        <v>7340957</v>
      </c>
      <c r="Y50" s="374">
        <f>X50/R50</f>
        <v>1.0000619848615258</v>
      </c>
      <c r="Z50" s="339"/>
    </row>
    <row r="51" spans="1:26" s="17" customFormat="1" ht="14.4" x14ac:dyDescent="0.3">
      <c r="A51" s="3" t="s">
        <v>88</v>
      </c>
      <c r="B51" s="53" t="s">
        <v>99</v>
      </c>
      <c r="C51" s="69" t="s">
        <v>363</v>
      </c>
      <c r="D51" s="70" t="s">
        <v>100</v>
      </c>
      <c r="E51" s="215">
        <v>1065868</v>
      </c>
      <c r="F51" s="215">
        <v>1065868</v>
      </c>
      <c r="G51" s="16">
        <f t="shared" si="1"/>
        <v>0</v>
      </c>
      <c r="H51" s="272"/>
      <c r="I51" s="215">
        <v>1065868</v>
      </c>
      <c r="J51" s="16">
        <f t="shared" si="2"/>
        <v>0</v>
      </c>
      <c r="K51" s="272"/>
      <c r="L51" s="215">
        <f t="shared" ref="L51:L64" si="12">ROUND(I51,0)</f>
        <v>1065868</v>
      </c>
      <c r="M51" s="16">
        <f t="shared" si="3"/>
        <v>0</v>
      </c>
      <c r="N51" s="272"/>
      <c r="O51" s="215">
        <f t="shared" ref="O51:O64" si="13">ROUND(L51,0)</f>
        <v>1065868</v>
      </c>
      <c r="P51" s="16">
        <f t="shared" si="4"/>
        <v>0</v>
      </c>
      <c r="Q51" s="272"/>
      <c r="R51" s="463">
        <f>ROUND(O51,0)-20148</f>
        <v>1045720</v>
      </c>
      <c r="S51" s="464">
        <f t="shared" si="5"/>
        <v>-20148</v>
      </c>
      <c r="T51" s="272" t="s">
        <v>784</v>
      </c>
      <c r="U51" s="463">
        <f>ROUND(R51,0)</f>
        <v>1045720</v>
      </c>
      <c r="V51" s="464">
        <f t="shared" si="6"/>
        <v>0</v>
      </c>
      <c r="W51" s="272"/>
      <c r="X51" s="337">
        <v>1045720</v>
      </c>
      <c r="Y51" s="375">
        <f>X51/R51</f>
        <v>1</v>
      </c>
      <c r="Z51" s="337"/>
    </row>
    <row r="52" spans="1:26" s="17" customFormat="1" ht="27" x14ac:dyDescent="0.3">
      <c r="A52" s="3" t="s">
        <v>88</v>
      </c>
      <c r="B52" s="53" t="s">
        <v>101</v>
      </c>
      <c r="C52" s="69" t="s">
        <v>364</v>
      </c>
      <c r="D52" s="70" t="s">
        <v>276</v>
      </c>
      <c r="E52" s="215">
        <v>5542646</v>
      </c>
      <c r="F52" s="215">
        <v>5542646</v>
      </c>
      <c r="G52" s="16">
        <f t="shared" si="1"/>
        <v>0</v>
      </c>
      <c r="H52" s="272"/>
      <c r="I52" s="215">
        <v>5542646</v>
      </c>
      <c r="J52" s="16">
        <f t="shared" si="2"/>
        <v>0</v>
      </c>
      <c r="K52" s="272"/>
      <c r="L52" s="215">
        <f t="shared" si="12"/>
        <v>5542646</v>
      </c>
      <c r="M52" s="16">
        <f t="shared" si="3"/>
        <v>0</v>
      </c>
      <c r="N52" s="272"/>
      <c r="O52" s="215">
        <f t="shared" si="13"/>
        <v>5542646</v>
      </c>
      <c r="P52" s="16">
        <f t="shared" si="4"/>
        <v>0</v>
      </c>
      <c r="Q52" s="272"/>
      <c r="R52" s="463">
        <f>ROUND(O52,0)+208859</f>
        <v>5751505</v>
      </c>
      <c r="S52" s="464">
        <f t="shared" si="5"/>
        <v>208859</v>
      </c>
      <c r="T52" s="272" t="s">
        <v>783</v>
      </c>
      <c r="U52" s="463">
        <f>ROUND(R52,0)</f>
        <v>5751505</v>
      </c>
      <c r="V52" s="464">
        <f t="shared" si="6"/>
        <v>0</v>
      </c>
      <c r="W52" s="272"/>
      <c r="X52" s="580">
        <v>6295237</v>
      </c>
      <c r="Y52" s="582">
        <f>X52/R52</f>
        <v>1.0945373428346146</v>
      </c>
      <c r="Z52" s="337"/>
    </row>
    <row r="53" spans="1:26" s="17" customFormat="1" ht="18" customHeight="1" x14ac:dyDescent="0.25">
      <c r="A53" s="3" t="s">
        <v>88</v>
      </c>
      <c r="B53" s="3"/>
      <c r="C53" s="69" t="s">
        <v>365</v>
      </c>
      <c r="D53" s="70" t="s">
        <v>277</v>
      </c>
      <c r="E53" s="215">
        <v>513402</v>
      </c>
      <c r="F53" s="215">
        <v>529162</v>
      </c>
      <c r="G53" s="16">
        <f t="shared" si="1"/>
        <v>15760</v>
      </c>
      <c r="H53" s="272" t="s">
        <v>680</v>
      </c>
      <c r="I53" s="215">
        <v>529162</v>
      </c>
      <c r="J53" s="16">
        <f t="shared" si="2"/>
        <v>0</v>
      </c>
      <c r="K53" s="272"/>
      <c r="L53" s="215">
        <f t="shared" si="12"/>
        <v>529162</v>
      </c>
      <c r="M53" s="16">
        <f t="shared" si="3"/>
        <v>0</v>
      </c>
      <c r="N53" s="272"/>
      <c r="O53" s="215">
        <f t="shared" si="13"/>
        <v>529162</v>
      </c>
      <c r="P53" s="16">
        <f t="shared" si="4"/>
        <v>0</v>
      </c>
      <c r="Q53" s="272"/>
      <c r="R53" s="463">
        <f>ROUND(O53,0)+14115</f>
        <v>543277</v>
      </c>
      <c r="S53" s="464">
        <f t="shared" si="5"/>
        <v>14115</v>
      </c>
      <c r="T53" s="272" t="s">
        <v>782</v>
      </c>
      <c r="U53" s="463">
        <f>ROUND(R53,0)</f>
        <v>543277</v>
      </c>
      <c r="V53" s="464">
        <f t="shared" si="6"/>
        <v>0</v>
      </c>
      <c r="W53" s="272"/>
      <c r="X53" s="581"/>
      <c r="Y53" s="583">
        <f>X53/F53</f>
        <v>0</v>
      </c>
      <c r="Z53" s="337"/>
    </row>
    <row r="54" spans="1:26" ht="31.5" customHeight="1" x14ac:dyDescent="0.25">
      <c r="A54" s="3" t="s">
        <v>88</v>
      </c>
      <c r="B54" s="3" t="s">
        <v>102</v>
      </c>
      <c r="C54" s="69" t="s">
        <v>366</v>
      </c>
      <c r="D54" s="66" t="s">
        <v>256</v>
      </c>
      <c r="E54" s="179">
        <v>26360</v>
      </c>
      <c r="F54" s="179">
        <v>26360</v>
      </c>
      <c r="G54" s="12">
        <f t="shared" si="1"/>
        <v>0</v>
      </c>
      <c r="H54" s="265"/>
      <c r="I54" s="179">
        <v>26360</v>
      </c>
      <c r="J54" s="12">
        <f t="shared" si="2"/>
        <v>0</v>
      </c>
      <c r="K54" s="265"/>
      <c r="L54" s="179">
        <f t="shared" si="12"/>
        <v>26360</v>
      </c>
      <c r="M54" s="12">
        <f t="shared" si="3"/>
        <v>0</v>
      </c>
      <c r="N54" s="265"/>
      <c r="O54" s="179">
        <f t="shared" si="13"/>
        <v>26360</v>
      </c>
      <c r="P54" s="12">
        <f t="shared" si="4"/>
        <v>0</v>
      </c>
      <c r="Q54" s="265"/>
      <c r="R54" s="453">
        <f t="shared" ref="R54:R64" si="14">ROUND(O54,0)</f>
        <v>26360</v>
      </c>
      <c r="S54" s="454">
        <f t="shared" si="5"/>
        <v>0</v>
      </c>
      <c r="T54" s="265"/>
      <c r="U54" s="453">
        <f t="shared" ref="U54" si="15">ROUND(R54,0)</f>
        <v>26360</v>
      </c>
      <c r="V54" s="454">
        <f t="shared" si="6"/>
        <v>0</v>
      </c>
      <c r="W54" s="265"/>
      <c r="X54" s="188">
        <v>26350</v>
      </c>
      <c r="Y54" s="340">
        <f>X54/R54</f>
        <v>0.99962063732928674</v>
      </c>
      <c r="Z54" s="188"/>
    </row>
    <row r="55" spans="1:26" ht="19.2" customHeight="1" x14ac:dyDescent="0.3">
      <c r="A55" s="3" t="s">
        <v>88</v>
      </c>
      <c r="B55" s="208" t="s">
        <v>539</v>
      </c>
      <c r="C55" s="69" t="s">
        <v>367</v>
      </c>
      <c r="D55" s="66" t="s">
        <v>291</v>
      </c>
      <c r="E55" s="179">
        <v>37535</v>
      </c>
      <c r="F55" s="179">
        <v>37535</v>
      </c>
      <c r="G55" s="12">
        <f t="shared" si="1"/>
        <v>0</v>
      </c>
      <c r="H55" s="253"/>
      <c r="I55" s="179">
        <v>37535</v>
      </c>
      <c r="J55" s="12">
        <f t="shared" si="2"/>
        <v>0</v>
      </c>
      <c r="K55" s="253"/>
      <c r="L55" s="179">
        <f t="shared" si="12"/>
        <v>37535</v>
      </c>
      <c r="M55" s="12">
        <f t="shared" si="3"/>
        <v>0</v>
      </c>
      <c r="N55" s="253"/>
      <c r="O55" s="179">
        <f t="shared" si="13"/>
        <v>37535</v>
      </c>
      <c r="P55" s="12">
        <f t="shared" si="4"/>
        <v>0</v>
      </c>
      <c r="Q55" s="253"/>
      <c r="R55" s="453">
        <f>ROUND(O55,0)+221</f>
        <v>37756</v>
      </c>
      <c r="S55" s="454">
        <f t="shared" si="5"/>
        <v>221</v>
      </c>
      <c r="T55" s="253" t="s">
        <v>806</v>
      </c>
      <c r="U55" s="453">
        <f>ROUND(R55,0)</f>
        <v>37756</v>
      </c>
      <c r="V55" s="454">
        <f t="shared" si="6"/>
        <v>0</v>
      </c>
      <c r="W55" s="253"/>
      <c r="X55" s="584">
        <v>51637.5</v>
      </c>
      <c r="Y55" s="576">
        <f>X55/(R55+R56)</f>
        <v>0.99999031720825748</v>
      </c>
      <c r="Z55" s="194"/>
    </row>
    <row r="56" spans="1:26" ht="19.2" customHeight="1" x14ac:dyDescent="0.3">
      <c r="B56" s="208" t="s">
        <v>539</v>
      </c>
      <c r="C56" s="69" t="s">
        <v>368</v>
      </c>
      <c r="D56" s="66" t="s">
        <v>325</v>
      </c>
      <c r="E56" s="179">
        <v>11142</v>
      </c>
      <c r="F56" s="179">
        <v>11142</v>
      </c>
      <c r="G56" s="90">
        <f t="shared" si="1"/>
        <v>0</v>
      </c>
      <c r="H56" s="253"/>
      <c r="I56" s="179">
        <v>11142</v>
      </c>
      <c r="J56" s="90">
        <f t="shared" si="2"/>
        <v>0</v>
      </c>
      <c r="K56" s="253"/>
      <c r="L56" s="179">
        <f t="shared" si="12"/>
        <v>11142</v>
      </c>
      <c r="M56" s="90">
        <f t="shared" si="3"/>
        <v>0</v>
      </c>
      <c r="N56" s="253"/>
      <c r="O56" s="179">
        <f t="shared" si="13"/>
        <v>11142</v>
      </c>
      <c r="P56" s="90">
        <f t="shared" si="4"/>
        <v>0</v>
      </c>
      <c r="Q56" s="253"/>
      <c r="R56" s="453">
        <f>ROUND(O56,0)+2740</f>
        <v>13882</v>
      </c>
      <c r="S56" s="460">
        <f t="shared" si="5"/>
        <v>2740</v>
      </c>
      <c r="T56" s="253" t="s">
        <v>806</v>
      </c>
      <c r="U56" s="453">
        <f>ROUND(R56,0)</f>
        <v>13882</v>
      </c>
      <c r="V56" s="460">
        <f t="shared" si="6"/>
        <v>0</v>
      </c>
      <c r="W56" s="253"/>
      <c r="X56" s="585"/>
      <c r="Y56" s="577">
        <f>X56/F56</f>
        <v>0</v>
      </c>
      <c r="Z56" s="194"/>
    </row>
    <row r="57" spans="1:26" ht="30.6" customHeight="1" x14ac:dyDescent="0.25">
      <c r="B57" s="3" t="s">
        <v>103</v>
      </c>
      <c r="C57" s="69" t="s">
        <v>369</v>
      </c>
      <c r="D57" s="66" t="s">
        <v>104</v>
      </c>
      <c r="E57" s="179">
        <v>580000</v>
      </c>
      <c r="F57" s="179">
        <v>580000</v>
      </c>
      <c r="G57" s="12">
        <f t="shared" si="1"/>
        <v>0</v>
      </c>
      <c r="H57" s="251"/>
      <c r="I57" s="179">
        <v>580000</v>
      </c>
      <c r="J57" s="12">
        <f t="shared" si="2"/>
        <v>0</v>
      </c>
      <c r="K57" s="251"/>
      <c r="L57" s="179">
        <f t="shared" si="12"/>
        <v>580000</v>
      </c>
      <c r="M57" s="12">
        <f t="shared" si="3"/>
        <v>0</v>
      </c>
      <c r="N57" s="251"/>
      <c r="O57" s="179">
        <f t="shared" si="13"/>
        <v>580000</v>
      </c>
      <c r="P57" s="12">
        <f t="shared" si="4"/>
        <v>0</v>
      </c>
      <c r="Q57" s="251"/>
      <c r="R57" s="453">
        <f t="shared" si="14"/>
        <v>580000</v>
      </c>
      <c r="S57" s="454">
        <f t="shared" si="5"/>
        <v>0</v>
      </c>
      <c r="T57" s="251"/>
      <c r="U57" s="453">
        <f>ROUND(R57,0)+55265</f>
        <v>635265</v>
      </c>
      <c r="V57" s="454">
        <f t="shared" si="6"/>
        <v>55265</v>
      </c>
      <c r="W57" s="251" t="s">
        <v>833</v>
      </c>
      <c r="X57" s="188">
        <v>615133.16</v>
      </c>
      <c r="Y57" s="340">
        <f>X57/R57</f>
        <v>1.0605744137931035</v>
      </c>
      <c r="Z57" s="188"/>
    </row>
    <row r="58" spans="1:26" ht="31.5" customHeight="1" x14ac:dyDescent="0.25">
      <c r="C58" s="69" t="s">
        <v>370</v>
      </c>
      <c r="D58" s="66" t="s">
        <v>251</v>
      </c>
      <c r="E58" s="179">
        <v>0</v>
      </c>
      <c r="F58" s="179">
        <v>0</v>
      </c>
      <c r="G58" s="12">
        <f t="shared" si="1"/>
        <v>0</v>
      </c>
      <c r="H58" s="273"/>
      <c r="I58" s="179">
        <v>0</v>
      </c>
      <c r="J58" s="12">
        <f t="shared" si="2"/>
        <v>0</v>
      </c>
      <c r="K58" s="273"/>
      <c r="L58" s="179">
        <f t="shared" si="12"/>
        <v>0</v>
      </c>
      <c r="M58" s="12">
        <f t="shared" si="3"/>
        <v>0</v>
      </c>
      <c r="N58" s="273"/>
      <c r="O58" s="179">
        <f t="shared" si="13"/>
        <v>0</v>
      </c>
      <c r="P58" s="12">
        <f t="shared" si="4"/>
        <v>0</v>
      </c>
      <c r="Q58" s="273"/>
      <c r="R58" s="453">
        <f t="shared" si="14"/>
        <v>0</v>
      </c>
      <c r="S58" s="454">
        <f t="shared" si="5"/>
        <v>0</v>
      </c>
      <c r="T58" s="273"/>
      <c r="U58" s="453">
        <f t="shared" ref="U58:U64" si="16">ROUND(R58,0)</f>
        <v>0</v>
      </c>
      <c r="V58" s="454">
        <f t="shared" si="6"/>
        <v>0</v>
      </c>
      <c r="W58" s="273"/>
      <c r="X58" s="529"/>
      <c r="Y58" s="340"/>
      <c r="Z58" s="188"/>
    </row>
    <row r="59" spans="1:26" ht="31.5" customHeight="1" x14ac:dyDescent="0.25">
      <c r="C59" s="111"/>
      <c r="D59" s="96" t="s">
        <v>524</v>
      </c>
      <c r="E59" s="179">
        <v>0</v>
      </c>
      <c r="F59" s="224">
        <v>0</v>
      </c>
      <c r="G59" s="12">
        <f t="shared" si="1"/>
        <v>0</v>
      </c>
      <c r="H59" s="274"/>
      <c r="I59" s="224">
        <v>0</v>
      </c>
      <c r="J59" s="12">
        <f t="shared" si="2"/>
        <v>0</v>
      </c>
      <c r="K59" s="274"/>
      <c r="L59" s="224">
        <f t="shared" si="12"/>
        <v>0</v>
      </c>
      <c r="M59" s="12">
        <f t="shared" si="3"/>
        <v>0</v>
      </c>
      <c r="N59" s="274"/>
      <c r="O59" s="224">
        <f t="shared" si="13"/>
        <v>0</v>
      </c>
      <c r="P59" s="12">
        <f t="shared" si="4"/>
        <v>0</v>
      </c>
      <c r="Q59" s="274"/>
      <c r="R59" s="465">
        <f t="shared" si="14"/>
        <v>0</v>
      </c>
      <c r="S59" s="454">
        <f t="shared" si="5"/>
        <v>0</v>
      </c>
      <c r="T59" s="274"/>
      <c r="U59" s="465">
        <f t="shared" si="16"/>
        <v>0</v>
      </c>
      <c r="V59" s="454">
        <f t="shared" si="6"/>
        <v>0</v>
      </c>
      <c r="W59" s="274"/>
      <c r="X59" s="529"/>
      <c r="Y59" s="376"/>
      <c r="Z59" s="188"/>
    </row>
    <row r="60" spans="1:26" ht="28.2" customHeight="1" x14ac:dyDescent="0.25">
      <c r="B60" s="56" t="s">
        <v>388</v>
      </c>
      <c r="C60" s="69" t="s">
        <v>371</v>
      </c>
      <c r="D60" s="147" t="s">
        <v>264</v>
      </c>
      <c r="E60" s="179">
        <v>406576</v>
      </c>
      <c r="F60" s="216">
        <v>406576</v>
      </c>
      <c r="G60" s="12">
        <f t="shared" si="1"/>
        <v>0</v>
      </c>
      <c r="H60" s="275"/>
      <c r="I60" s="216">
        <v>406576</v>
      </c>
      <c r="J60" s="12">
        <f t="shared" si="2"/>
        <v>0</v>
      </c>
      <c r="K60" s="275"/>
      <c r="L60" s="216">
        <f t="shared" si="12"/>
        <v>406576</v>
      </c>
      <c r="M60" s="12">
        <f t="shared" si="3"/>
        <v>0</v>
      </c>
      <c r="N60" s="275"/>
      <c r="O60" s="216">
        <f t="shared" si="13"/>
        <v>406576</v>
      </c>
      <c r="P60" s="12">
        <f t="shared" si="4"/>
        <v>0</v>
      </c>
      <c r="Q60" s="275"/>
      <c r="R60" s="466">
        <f t="shared" si="14"/>
        <v>406576</v>
      </c>
      <c r="S60" s="454">
        <f t="shared" si="5"/>
        <v>0</v>
      </c>
      <c r="T60" s="275"/>
      <c r="U60" s="466">
        <f t="shared" si="16"/>
        <v>406576</v>
      </c>
      <c r="V60" s="454">
        <f t="shared" si="6"/>
        <v>0</v>
      </c>
      <c r="W60" s="275"/>
      <c r="X60" s="188">
        <v>406576</v>
      </c>
      <c r="Y60" s="369">
        <f>X60/R60</f>
        <v>1</v>
      </c>
      <c r="Z60" s="188" t="s">
        <v>453</v>
      </c>
    </row>
    <row r="61" spans="1:26" ht="58.95" customHeight="1" x14ac:dyDescent="0.25">
      <c r="C61" s="69"/>
      <c r="D61" s="165" t="s">
        <v>521</v>
      </c>
      <c r="E61" s="179">
        <v>0</v>
      </c>
      <c r="F61" s="213">
        <v>0</v>
      </c>
      <c r="G61" s="90">
        <f t="shared" si="1"/>
        <v>0</v>
      </c>
      <c r="H61" s="256"/>
      <c r="I61" s="213">
        <v>0</v>
      </c>
      <c r="J61" s="90">
        <f t="shared" si="2"/>
        <v>0</v>
      </c>
      <c r="K61" s="256"/>
      <c r="L61" s="213">
        <f t="shared" si="12"/>
        <v>0</v>
      </c>
      <c r="M61" s="90">
        <f t="shared" si="3"/>
        <v>0</v>
      </c>
      <c r="N61" s="256"/>
      <c r="O61" s="213">
        <f t="shared" si="13"/>
        <v>0</v>
      </c>
      <c r="P61" s="90">
        <f t="shared" si="4"/>
        <v>0</v>
      </c>
      <c r="Q61" s="256"/>
      <c r="R61" s="459">
        <f t="shared" si="14"/>
        <v>0</v>
      </c>
      <c r="S61" s="460">
        <f t="shared" si="5"/>
        <v>0</v>
      </c>
      <c r="T61" s="256"/>
      <c r="U61" s="459">
        <f t="shared" si="16"/>
        <v>0</v>
      </c>
      <c r="V61" s="460">
        <f t="shared" si="6"/>
        <v>0</v>
      </c>
      <c r="W61" s="256"/>
      <c r="X61" s="529"/>
      <c r="Y61" s="370"/>
      <c r="Z61" s="194"/>
    </row>
    <row r="62" spans="1:26" ht="33.75" customHeight="1" x14ac:dyDescent="0.25">
      <c r="B62" s="3" t="s">
        <v>540</v>
      </c>
      <c r="C62" s="69" t="s">
        <v>449</v>
      </c>
      <c r="D62" s="149" t="s">
        <v>401</v>
      </c>
      <c r="E62" s="179">
        <v>70000</v>
      </c>
      <c r="F62" s="213">
        <v>70000</v>
      </c>
      <c r="G62" s="90">
        <f t="shared" si="1"/>
        <v>0</v>
      </c>
      <c r="H62" s="256"/>
      <c r="I62" s="213">
        <v>70000</v>
      </c>
      <c r="J62" s="90">
        <f t="shared" si="2"/>
        <v>0</v>
      </c>
      <c r="K62" s="256"/>
      <c r="L62" s="213">
        <f t="shared" si="12"/>
        <v>70000</v>
      </c>
      <c r="M62" s="90">
        <f t="shared" si="3"/>
        <v>0</v>
      </c>
      <c r="N62" s="256"/>
      <c r="O62" s="213">
        <f t="shared" si="13"/>
        <v>70000</v>
      </c>
      <c r="P62" s="90">
        <f t="shared" si="4"/>
        <v>0</v>
      </c>
      <c r="Q62" s="256"/>
      <c r="R62" s="459">
        <f t="shared" si="14"/>
        <v>70000</v>
      </c>
      <c r="S62" s="460">
        <f t="shared" si="5"/>
        <v>0</v>
      </c>
      <c r="T62" s="256"/>
      <c r="U62" s="459">
        <f t="shared" si="16"/>
        <v>70000</v>
      </c>
      <c r="V62" s="460">
        <f t="shared" si="6"/>
        <v>0</v>
      </c>
      <c r="W62" s="256"/>
      <c r="X62" s="188">
        <v>48089.5</v>
      </c>
      <c r="Y62" s="370">
        <f>X62/R62</f>
        <v>0.68699285714285718</v>
      </c>
      <c r="Z62" s="194" t="s">
        <v>486</v>
      </c>
    </row>
    <row r="63" spans="1:26" ht="17.399999999999999" customHeight="1" x14ac:dyDescent="0.25">
      <c r="B63" s="3" t="s">
        <v>97</v>
      </c>
      <c r="C63" s="95" t="s">
        <v>450</v>
      </c>
      <c r="D63" s="96" t="s">
        <v>412</v>
      </c>
      <c r="E63" s="179">
        <v>0</v>
      </c>
      <c r="F63" s="213">
        <v>0</v>
      </c>
      <c r="G63" s="90">
        <f t="shared" si="1"/>
        <v>0</v>
      </c>
      <c r="H63" s="256"/>
      <c r="I63" s="213">
        <v>0</v>
      </c>
      <c r="J63" s="90">
        <f t="shared" si="2"/>
        <v>0</v>
      </c>
      <c r="K63" s="256"/>
      <c r="L63" s="213">
        <f t="shared" si="12"/>
        <v>0</v>
      </c>
      <c r="M63" s="90">
        <f t="shared" si="3"/>
        <v>0</v>
      </c>
      <c r="N63" s="256"/>
      <c r="O63" s="213">
        <f t="shared" si="13"/>
        <v>0</v>
      </c>
      <c r="P63" s="90">
        <f t="shared" si="4"/>
        <v>0</v>
      </c>
      <c r="Q63" s="256"/>
      <c r="R63" s="459">
        <f t="shared" si="14"/>
        <v>0</v>
      </c>
      <c r="S63" s="460">
        <f t="shared" si="5"/>
        <v>0</v>
      </c>
      <c r="T63" s="256"/>
      <c r="U63" s="459">
        <f t="shared" si="16"/>
        <v>0</v>
      </c>
      <c r="V63" s="460">
        <f t="shared" si="6"/>
        <v>0</v>
      </c>
      <c r="W63" s="256"/>
      <c r="X63" s="529"/>
      <c r="Y63" s="370"/>
      <c r="Z63" s="194"/>
    </row>
    <row r="64" spans="1:26" ht="14.4" x14ac:dyDescent="0.3">
      <c r="A64" s="3" t="s">
        <v>88</v>
      </c>
      <c r="B64" s="47" t="s">
        <v>257</v>
      </c>
      <c r="C64" s="69" t="s">
        <v>451</v>
      </c>
      <c r="D64" s="157" t="s">
        <v>424</v>
      </c>
      <c r="E64" s="179">
        <v>12607</v>
      </c>
      <c r="F64" s="179">
        <v>12607</v>
      </c>
      <c r="G64" s="12">
        <f t="shared" si="1"/>
        <v>0</v>
      </c>
      <c r="H64" s="276"/>
      <c r="I64" s="179">
        <v>12607</v>
      </c>
      <c r="J64" s="12">
        <f t="shared" si="2"/>
        <v>0</v>
      </c>
      <c r="K64" s="276"/>
      <c r="L64" s="179">
        <f t="shared" si="12"/>
        <v>12607</v>
      </c>
      <c r="M64" s="12">
        <f t="shared" si="3"/>
        <v>0</v>
      </c>
      <c r="N64" s="276"/>
      <c r="O64" s="179">
        <f t="shared" si="13"/>
        <v>12607</v>
      </c>
      <c r="P64" s="12">
        <f t="shared" si="4"/>
        <v>0</v>
      </c>
      <c r="Q64" s="276"/>
      <c r="R64" s="453">
        <f t="shared" si="14"/>
        <v>12607</v>
      </c>
      <c r="S64" s="454">
        <f t="shared" si="5"/>
        <v>0</v>
      </c>
      <c r="T64" s="276"/>
      <c r="U64" s="453">
        <f t="shared" si="16"/>
        <v>12607</v>
      </c>
      <c r="V64" s="454">
        <f t="shared" si="6"/>
        <v>0</v>
      </c>
      <c r="W64" s="276"/>
      <c r="X64" s="188">
        <v>0</v>
      </c>
      <c r="Y64" s="340">
        <f>X64/R64</f>
        <v>0</v>
      </c>
      <c r="Z64" s="188"/>
    </row>
    <row r="65" spans="1:26" ht="14.4" x14ac:dyDescent="0.3">
      <c r="B65" s="47"/>
      <c r="C65" s="69" t="s">
        <v>527</v>
      </c>
      <c r="D65" s="157" t="s">
        <v>675</v>
      </c>
      <c r="E65" s="436"/>
      <c r="F65" s="436"/>
      <c r="G65" s="435"/>
      <c r="H65" s="440"/>
      <c r="I65" s="436"/>
      <c r="J65" s="435"/>
      <c r="K65" s="440"/>
      <c r="L65" s="436"/>
      <c r="M65" s="435"/>
      <c r="N65" s="440"/>
      <c r="O65" s="179">
        <f>ROUND(L65,0)+38052</f>
        <v>38052</v>
      </c>
      <c r="P65" s="435"/>
      <c r="Q65" s="283" t="s">
        <v>770</v>
      </c>
      <c r="R65" s="453">
        <f>ROUND(O65,0)</f>
        <v>38052</v>
      </c>
      <c r="S65" s="454">
        <f t="shared" si="5"/>
        <v>0</v>
      </c>
      <c r="T65" s="283"/>
      <c r="U65" s="453">
        <f>ROUND(R65,0)</f>
        <v>38052</v>
      </c>
      <c r="V65" s="454">
        <f t="shared" si="6"/>
        <v>0</v>
      </c>
      <c r="W65" s="283"/>
      <c r="X65" s="435">
        <v>38051.64</v>
      </c>
      <c r="Y65" s="340">
        <f>X65/R65</f>
        <v>0.99999053926206238</v>
      </c>
      <c r="Z65" s="435"/>
    </row>
    <row r="66" spans="1:26" ht="106.5" customHeight="1" x14ac:dyDescent="0.25">
      <c r="A66" s="56" t="s">
        <v>215</v>
      </c>
      <c r="B66" s="3" t="s">
        <v>673</v>
      </c>
      <c r="C66" s="69" t="s">
        <v>769</v>
      </c>
      <c r="D66" s="66" t="s">
        <v>105</v>
      </c>
      <c r="E66" s="179">
        <v>118632</v>
      </c>
      <c r="F66" s="179">
        <v>126132</v>
      </c>
      <c r="G66" s="12">
        <f t="shared" si="1"/>
        <v>7500</v>
      </c>
      <c r="H66" s="276" t="s">
        <v>698</v>
      </c>
      <c r="I66" s="179">
        <v>146173</v>
      </c>
      <c r="J66" s="12">
        <f t="shared" si="2"/>
        <v>20041</v>
      </c>
      <c r="K66" s="276" t="s">
        <v>728</v>
      </c>
      <c r="L66" s="179">
        <f>ROUND(I66,0)+35581+8781+38003+5643+16359</f>
        <v>250540</v>
      </c>
      <c r="M66" s="12">
        <f t="shared" si="3"/>
        <v>104367</v>
      </c>
      <c r="N66" s="276" t="s">
        <v>749</v>
      </c>
      <c r="O66" s="179">
        <f>ROUND(L66,0)+14838+2193</f>
        <v>267571</v>
      </c>
      <c r="P66" s="12">
        <f t="shared" si="4"/>
        <v>17031</v>
      </c>
      <c r="Q66" s="276" t="s">
        <v>760</v>
      </c>
      <c r="R66" s="453">
        <f>ROUND(O66,0)</f>
        <v>267571</v>
      </c>
      <c r="S66" s="454">
        <f t="shared" ref="S66:S121" si="17">R66-O66</f>
        <v>0</v>
      </c>
      <c r="T66" s="276"/>
      <c r="U66" s="453">
        <f>ROUND(R66,0)</f>
        <v>267571</v>
      </c>
      <c r="V66" s="454">
        <f t="shared" si="6"/>
        <v>0</v>
      </c>
      <c r="W66" s="276"/>
      <c r="X66" s="188">
        <f>23710+664433+888703-X54-X60-X65-X79</f>
        <v>1005226.3600000001</v>
      </c>
      <c r="Y66" s="340">
        <f>X66/R66</f>
        <v>3.7568584039376467</v>
      </c>
      <c r="Z66" s="338" t="s">
        <v>846</v>
      </c>
    </row>
    <row r="67" spans="1:26" ht="33" customHeight="1" x14ac:dyDescent="0.25">
      <c r="C67" s="72" t="s">
        <v>93</v>
      </c>
      <c r="D67" s="143" t="s">
        <v>245</v>
      </c>
      <c r="E67" s="37">
        <v>7860297</v>
      </c>
      <c r="F67" s="37">
        <v>7890725</v>
      </c>
      <c r="G67" s="37">
        <f t="shared" ref="G67:N67" si="18">SUM(G68:G86)</f>
        <v>30428</v>
      </c>
      <c r="H67" s="37">
        <f t="shared" si="18"/>
        <v>0</v>
      </c>
      <c r="I67" s="37">
        <v>7890725</v>
      </c>
      <c r="J67" s="37">
        <f t="shared" si="18"/>
        <v>0</v>
      </c>
      <c r="K67" s="37">
        <f t="shared" si="18"/>
        <v>0</v>
      </c>
      <c r="L67" s="37">
        <f t="shared" si="18"/>
        <v>7928777</v>
      </c>
      <c r="M67" s="37">
        <f t="shared" si="18"/>
        <v>38052</v>
      </c>
      <c r="N67" s="37">
        <f t="shared" si="18"/>
        <v>0</v>
      </c>
      <c r="O67" s="37">
        <f>SUM(O68:O86)</f>
        <v>7902425</v>
      </c>
      <c r="P67" s="19">
        <f t="shared" si="4"/>
        <v>-26352</v>
      </c>
      <c r="Q67" s="277"/>
      <c r="R67" s="467">
        <f>SUM(R68:R86)</f>
        <v>7981640</v>
      </c>
      <c r="S67" s="88">
        <f t="shared" si="17"/>
        <v>79215</v>
      </c>
      <c r="T67" s="277"/>
      <c r="U67" s="467">
        <f>SUM(U68:U86)</f>
        <v>7981640</v>
      </c>
      <c r="V67" s="88">
        <f t="shared" si="6"/>
        <v>0</v>
      </c>
      <c r="W67" s="277"/>
      <c r="X67" s="532">
        <f>SUM(X68:X86)+123516-66500</f>
        <v>3522070.71</v>
      </c>
      <c r="Y67" s="353">
        <f>X67/R67</f>
        <v>0.4412715569732536</v>
      </c>
      <c r="Z67" s="192" t="s">
        <v>707</v>
      </c>
    </row>
    <row r="68" spans="1:26" x14ac:dyDescent="0.25">
      <c r="A68" s="3" t="s">
        <v>385</v>
      </c>
      <c r="B68" s="3" t="s">
        <v>106</v>
      </c>
      <c r="C68" s="69" t="s">
        <v>372</v>
      </c>
      <c r="D68" s="157" t="s">
        <v>423</v>
      </c>
      <c r="E68" s="179">
        <v>0</v>
      </c>
      <c r="F68" s="179">
        <v>0</v>
      </c>
      <c r="G68" s="12">
        <f t="shared" si="1"/>
        <v>0</v>
      </c>
      <c r="H68" s="266"/>
      <c r="I68" s="179">
        <v>0</v>
      </c>
      <c r="J68" s="12">
        <f t="shared" si="2"/>
        <v>0</v>
      </c>
      <c r="K68" s="266"/>
      <c r="L68" s="179">
        <f t="shared" ref="L68:L84" si="19">ROUND(I68,0)</f>
        <v>0</v>
      </c>
      <c r="M68" s="12">
        <f t="shared" si="3"/>
        <v>0</v>
      </c>
      <c r="N68" s="266"/>
      <c r="O68" s="179">
        <f t="shared" ref="O68:O79" si="20">ROUND(L68,0)</f>
        <v>0</v>
      </c>
      <c r="P68" s="12">
        <f t="shared" si="4"/>
        <v>0</v>
      </c>
      <c r="Q68" s="266"/>
      <c r="R68" s="453">
        <f t="shared" ref="R68:R79" si="21">ROUND(O68,0)</f>
        <v>0</v>
      </c>
      <c r="S68" s="454">
        <f t="shared" si="17"/>
        <v>0</v>
      </c>
      <c r="T68" s="266"/>
      <c r="U68" s="453">
        <f t="shared" ref="U68:U71" si="22">ROUND(R68,0)</f>
        <v>0</v>
      </c>
      <c r="V68" s="454">
        <f t="shared" si="6"/>
        <v>0</v>
      </c>
      <c r="W68" s="266"/>
      <c r="X68" s="529">
        <v>0</v>
      </c>
      <c r="Y68" s="340"/>
      <c r="Z68" s="188"/>
    </row>
    <row r="69" spans="1:26" ht="28.5" customHeight="1" x14ac:dyDescent="0.25">
      <c r="B69" s="56" t="s">
        <v>417</v>
      </c>
      <c r="C69" s="69" t="s">
        <v>373</v>
      </c>
      <c r="D69" s="414" t="s">
        <v>415</v>
      </c>
      <c r="E69" s="179">
        <v>0</v>
      </c>
      <c r="F69" s="179">
        <v>0</v>
      </c>
      <c r="G69" s="12">
        <f t="shared" si="1"/>
        <v>0</v>
      </c>
      <c r="H69" s="251"/>
      <c r="I69" s="179">
        <v>0</v>
      </c>
      <c r="J69" s="12">
        <f t="shared" si="2"/>
        <v>0</v>
      </c>
      <c r="K69" s="251"/>
      <c r="L69" s="179">
        <f t="shared" si="19"/>
        <v>0</v>
      </c>
      <c r="M69" s="12">
        <f t="shared" si="3"/>
        <v>0</v>
      </c>
      <c r="N69" s="251"/>
      <c r="O69" s="179">
        <f t="shared" si="20"/>
        <v>0</v>
      </c>
      <c r="P69" s="12">
        <f t="shared" si="4"/>
        <v>0</v>
      </c>
      <c r="Q69" s="251"/>
      <c r="R69" s="453">
        <f t="shared" si="21"/>
        <v>0</v>
      </c>
      <c r="S69" s="454">
        <f t="shared" si="17"/>
        <v>0</v>
      </c>
      <c r="T69" s="251"/>
      <c r="U69" s="453">
        <f t="shared" si="22"/>
        <v>0</v>
      </c>
      <c r="V69" s="454">
        <f t="shared" si="6"/>
        <v>0</v>
      </c>
      <c r="W69" s="251"/>
      <c r="X69" s="529">
        <v>0</v>
      </c>
      <c r="Y69" s="340"/>
      <c r="Z69" s="188"/>
    </row>
    <row r="70" spans="1:26" ht="30" customHeight="1" x14ac:dyDescent="0.25">
      <c r="B70" s="3" t="s">
        <v>656</v>
      </c>
      <c r="C70" s="69" t="s">
        <v>374</v>
      </c>
      <c r="D70" s="416" t="s">
        <v>657</v>
      </c>
      <c r="E70" s="179">
        <v>638646</v>
      </c>
      <c r="F70" s="179">
        <v>638646</v>
      </c>
      <c r="G70" s="12">
        <f t="shared" si="1"/>
        <v>0</v>
      </c>
      <c r="H70" s="278"/>
      <c r="I70" s="179">
        <v>638646</v>
      </c>
      <c r="J70" s="12">
        <f t="shared" si="2"/>
        <v>0</v>
      </c>
      <c r="K70" s="278"/>
      <c r="L70" s="179">
        <f t="shared" si="19"/>
        <v>638646</v>
      </c>
      <c r="M70" s="12">
        <f t="shared" si="3"/>
        <v>0</v>
      </c>
      <c r="N70" s="278"/>
      <c r="O70" s="179">
        <f t="shared" si="20"/>
        <v>638646</v>
      </c>
      <c r="P70" s="12">
        <f t="shared" si="4"/>
        <v>0</v>
      </c>
      <c r="Q70" s="278"/>
      <c r="R70" s="453">
        <f t="shared" si="21"/>
        <v>638646</v>
      </c>
      <c r="S70" s="454">
        <f t="shared" si="17"/>
        <v>0</v>
      </c>
      <c r="T70" s="278"/>
      <c r="U70" s="453">
        <f t="shared" si="22"/>
        <v>638646</v>
      </c>
      <c r="V70" s="454">
        <f t="shared" si="6"/>
        <v>0</v>
      </c>
      <c r="W70" s="278"/>
      <c r="X70" s="529">
        <v>0</v>
      </c>
      <c r="Y70" s="340">
        <f>X70/R70</f>
        <v>0</v>
      </c>
      <c r="Z70" s="188"/>
    </row>
    <row r="71" spans="1:26" ht="27.6" x14ac:dyDescent="0.25">
      <c r="B71" s="3" t="s">
        <v>570</v>
      </c>
      <c r="C71" s="69" t="s">
        <v>786</v>
      </c>
      <c r="D71" s="420" t="s">
        <v>519</v>
      </c>
      <c r="E71" s="179">
        <v>103070</v>
      </c>
      <c r="F71" s="179">
        <v>103070</v>
      </c>
      <c r="G71" s="12">
        <f t="shared" si="1"/>
        <v>0</v>
      </c>
      <c r="H71" s="279"/>
      <c r="I71" s="179">
        <v>103070</v>
      </c>
      <c r="J71" s="12">
        <f t="shared" si="2"/>
        <v>0</v>
      </c>
      <c r="K71" s="279"/>
      <c r="L71" s="179">
        <f t="shared" si="19"/>
        <v>103070</v>
      </c>
      <c r="M71" s="12">
        <f t="shared" si="3"/>
        <v>0</v>
      </c>
      <c r="N71" s="279"/>
      <c r="O71" s="179">
        <f t="shared" si="20"/>
        <v>103070</v>
      </c>
      <c r="P71" s="12">
        <f t="shared" si="4"/>
        <v>0</v>
      </c>
      <c r="Q71" s="279"/>
      <c r="R71" s="453">
        <f t="shared" si="21"/>
        <v>103070</v>
      </c>
      <c r="S71" s="454">
        <f t="shared" si="17"/>
        <v>0</v>
      </c>
      <c r="T71" s="279"/>
      <c r="U71" s="453">
        <f t="shared" si="22"/>
        <v>103070</v>
      </c>
      <c r="V71" s="454">
        <f t="shared" ref="V71:V121" si="23">U71-R71</f>
        <v>0</v>
      </c>
      <c r="W71" s="279"/>
      <c r="X71" s="188">
        <v>66588.62</v>
      </c>
      <c r="Y71" s="376">
        <f>X71/R71</f>
        <v>0.64605239157853878</v>
      </c>
      <c r="Z71" s="188"/>
    </row>
    <row r="72" spans="1:26" ht="41.4" x14ac:dyDescent="0.25">
      <c r="B72" s="18"/>
      <c r="C72" s="69" t="s">
        <v>375</v>
      </c>
      <c r="D72" s="159" t="s">
        <v>788</v>
      </c>
      <c r="E72" s="179">
        <v>0</v>
      </c>
      <c r="F72" s="179">
        <v>0</v>
      </c>
      <c r="G72" s="12">
        <f t="shared" ref="G72:G121" si="24">F72-E72</f>
        <v>0</v>
      </c>
      <c r="H72" s="279"/>
      <c r="I72" s="179">
        <v>0</v>
      </c>
      <c r="J72" s="12">
        <f t="shared" ref="J72:J121" si="25">I72-F72</f>
        <v>0</v>
      </c>
      <c r="K72" s="279"/>
      <c r="L72" s="179">
        <f t="shared" si="19"/>
        <v>0</v>
      </c>
      <c r="M72" s="12">
        <f t="shared" ref="M72:M121" si="26">L72-I72</f>
        <v>0</v>
      </c>
      <c r="N72" s="279"/>
      <c r="O72" s="179">
        <f t="shared" si="20"/>
        <v>0</v>
      </c>
      <c r="P72" s="12">
        <f t="shared" ref="P72:P121" si="27">O72-L72</f>
        <v>0</v>
      </c>
      <c r="Q72" s="279"/>
      <c r="R72" s="453">
        <f>ROUND(O72,0)+45754+1221+15473+2331+4307+1643+3086</f>
        <v>73815</v>
      </c>
      <c r="S72" s="454">
        <f t="shared" si="17"/>
        <v>73815</v>
      </c>
      <c r="T72" s="279" t="s">
        <v>789</v>
      </c>
      <c r="U72" s="453">
        <f>ROUND(R72,0)</f>
        <v>73815</v>
      </c>
      <c r="V72" s="454">
        <f t="shared" si="23"/>
        <v>0</v>
      </c>
      <c r="W72" s="279"/>
      <c r="X72" s="188">
        <v>66500</v>
      </c>
      <c r="Y72" s="376">
        <f>X72/R72</f>
        <v>0.90090090090090091</v>
      </c>
      <c r="Z72" s="188"/>
    </row>
    <row r="73" spans="1:26" ht="55.2" outlineLevel="1" x14ac:dyDescent="0.25">
      <c r="B73" s="3">
        <v>632.70000000000005</v>
      </c>
      <c r="C73" s="69" t="s">
        <v>376</v>
      </c>
      <c r="D73" s="159" t="s">
        <v>849</v>
      </c>
      <c r="E73" s="179">
        <v>0</v>
      </c>
      <c r="F73" s="179">
        <v>0</v>
      </c>
      <c r="G73" s="12">
        <f t="shared" si="24"/>
        <v>0</v>
      </c>
      <c r="H73" s="279"/>
      <c r="I73" s="179">
        <v>0</v>
      </c>
      <c r="J73" s="12">
        <f t="shared" si="25"/>
        <v>0</v>
      </c>
      <c r="K73" s="279"/>
      <c r="L73" s="179">
        <f t="shared" si="19"/>
        <v>0</v>
      </c>
      <c r="M73" s="12">
        <f t="shared" si="26"/>
        <v>0</v>
      </c>
      <c r="N73" s="279"/>
      <c r="O73" s="179">
        <f t="shared" si="20"/>
        <v>0</v>
      </c>
      <c r="P73" s="12">
        <f t="shared" si="27"/>
        <v>0</v>
      </c>
      <c r="Q73" s="279"/>
      <c r="R73" s="453">
        <f t="shared" si="21"/>
        <v>0</v>
      </c>
      <c r="S73" s="454">
        <f t="shared" si="17"/>
        <v>0</v>
      </c>
      <c r="T73" s="279"/>
      <c r="U73" s="453">
        <f t="shared" ref="U73:U79" si="28">ROUND(R73,0)</f>
        <v>0</v>
      </c>
      <c r="V73" s="454">
        <f t="shared" si="23"/>
        <v>0</v>
      </c>
      <c r="W73" s="279"/>
      <c r="X73" s="188">
        <v>3649.5</v>
      </c>
      <c r="Y73" s="376"/>
      <c r="Z73" s="188"/>
    </row>
    <row r="74" spans="1:26" ht="41.4" outlineLevel="1" x14ac:dyDescent="0.25">
      <c r="B74" s="18"/>
      <c r="C74" s="69" t="s">
        <v>531</v>
      </c>
      <c r="D74" s="159" t="s">
        <v>850</v>
      </c>
      <c r="E74" s="179">
        <v>0</v>
      </c>
      <c r="F74" s="179">
        <v>0</v>
      </c>
      <c r="G74" s="12">
        <f t="shared" si="24"/>
        <v>0</v>
      </c>
      <c r="H74" s="279"/>
      <c r="I74" s="179">
        <v>0</v>
      </c>
      <c r="J74" s="12">
        <f t="shared" si="25"/>
        <v>0</v>
      </c>
      <c r="K74" s="279"/>
      <c r="L74" s="179">
        <f t="shared" si="19"/>
        <v>0</v>
      </c>
      <c r="M74" s="12">
        <f t="shared" si="26"/>
        <v>0</v>
      </c>
      <c r="N74" s="279"/>
      <c r="O74" s="179">
        <f t="shared" si="20"/>
        <v>0</v>
      </c>
      <c r="P74" s="12">
        <f t="shared" si="27"/>
        <v>0</v>
      </c>
      <c r="Q74" s="279"/>
      <c r="R74" s="453">
        <f t="shared" si="21"/>
        <v>0</v>
      </c>
      <c r="S74" s="454">
        <f t="shared" si="17"/>
        <v>0</v>
      </c>
      <c r="T74" s="279"/>
      <c r="U74" s="453">
        <f t="shared" si="28"/>
        <v>0</v>
      </c>
      <c r="V74" s="454">
        <f t="shared" si="23"/>
        <v>0</v>
      </c>
      <c r="W74" s="279"/>
      <c r="X74" s="188">
        <f>96286.29+2815</f>
        <v>99101.29</v>
      </c>
      <c r="Y74" s="376"/>
      <c r="Z74" s="188"/>
    </row>
    <row r="75" spans="1:26" x14ac:dyDescent="0.25">
      <c r="A75" s="56" t="s">
        <v>514</v>
      </c>
      <c r="B75" s="18"/>
      <c r="C75" s="69" t="s">
        <v>376</v>
      </c>
      <c r="D75" s="420" t="s">
        <v>515</v>
      </c>
      <c r="E75" s="179">
        <v>267455</v>
      </c>
      <c r="F75" s="179">
        <v>267455</v>
      </c>
      <c r="G75" s="12">
        <f t="shared" si="24"/>
        <v>0</v>
      </c>
      <c r="H75" s="279"/>
      <c r="I75" s="179">
        <v>267455</v>
      </c>
      <c r="J75" s="12">
        <f t="shared" si="25"/>
        <v>0</v>
      </c>
      <c r="K75" s="279"/>
      <c r="L75" s="179">
        <f t="shared" si="19"/>
        <v>267455</v>
      </c>
      <c r="M75" s="12">
        <f t="shared" si="26"/>
        <v>0</v>
      </c>
      <c r="N75" s="279"/>
      <c r="O75" s="179">
        <f t="shared" si="20"/>
        <v>267455</v>
      </c>
      <c r="P75" s="12">
        <f t="shared" si="27"/>
        <v>0</v>
      </c>
      <c r="Q75" s="279"/>
      <c r="R75" s="453">
        <f t="shared" si="21"/>
        <v>267455</v>
      </c>
      <c r="S75" s="454">
        <f t="shared" si="17"/>
        <v>0</v>
      </c>
      <c r="T75" s="279"/>
      <c r="U75" s="453">
        <f t="shared" si="28"/>
        <v>267455</v>
      </c>
      <c r="V75" s="454">
        <f t="shared" si="23"/>
        <v>0</v>
      </c>
      <c r="W75" s="279"/>
      <c r="X75" s="188">
        <v>62900</v>
      </c>
      <c r="Y75" s="376">
        <f>X75/R75</f>
        <v>0.23517974986446319</v>
      </c>
      <c r="Z75" s="188"/>
    </row>
    <row r="76" spans="1:26" ht="17.25" customHeight="1" x14ac:dyDescent="0.25">
      <c r="A76" s="56" t="s">
        <v>748</v>
      </c>
      <c r="B76" s="18"/>
      <c r="C76" s="69" t="s">
        <v>425</v>
      </c>
      <c r="D76" s="159" t="s">
        <v>847</v>
      </c>
      <c r="E76" s="179">
        <v>0</v>
      </c>
      <c r="F76" s="179">
        <v>0</v>
      </c>
      <c r="G76" s="12">
        <f t="shared" si="24"/>
        <v>0</v>
      </c>
      <c r="H76" s="279"/>
      <c r="I76" s="179">
        <v>0</v>
      </c>
      <c r="J76" s="12">
        <f t="shared" si="25"/>
        <v>0</v>
      </c>
      <c r="K76" s="279"/>
      <c r="L76" s="179">
        <f t="shared" si="19"/>
        <v>0</v>
      </c>
      <c r="M76" s="12">
        <f t="shared" si="26"/>
        <v>0</v>
      </c>
      <c r="N76" s="279"/>
      <c r="O76" s="179">
        <f t="shared" si="20"/>
        <v>0</v>
      </c>
      <c r="P76" s="12">
        <f t="shared" si="27"/>
        <v>0</v>
      </c>
      <c r="Q76" s="279"/>
      <c r="R76" s="453">
        <f t="shared" si="21"/>
        <v>0</v>
      </c>
      <c r="S76" s="454">
        <f t="shared" si="17"/>
        <v>0</v>
      </c>
      <c r="T76" s="279"/>
      <c r="U76" s="453">
        <f t="shared" si="28"/>
        <v>0</v>
      </c>
      <c r="V76" s="454">
        <f t="shared" si="23"/>
        <v>0</v>
      </c>
      <c r="W76" s="279"/>
      <c r="X76" s="188">
        <v>44618</v>
      </c>
      <c r="Y76" s="376"/>
      <c r="Z76" s="188"/>
    </row>
    <row r="77" spans="1:26" ht="41.4" x14ac:dyDescent="0.25">
      <c r="B77" s="3" t="s">
        <v>252</v>
      </c>
      <c r="C77" s="69" t="s">
        <v>378</v>
      </c>
      <c r="D77" s="157" t="s">
        <v>238</v>
      </c>
      <c r="E77" s="179">
        <v>0</v>
      </c>
      <c r="F77" s="179">
        <v>0</v>
      </c>
      <c r="G77" s="12">
        <f t="shared" si="24"/>
        <v>0</v>
      </c>
      <c r="H77" s="280"/>
      <c r="I77" s="179">
        <v>0</v>
      </c>
      <c r="J77" s="12">
        <f t="shared" si="25"/>
        <v>0</v>
      </c>
      <c r="K77" s="280"/>
      <c r="L77" s="179">
        <f t="shared" si="19"/>
        <v>0</v>
      </c>
      <c r="M77" s="12">
        <f t="shared" si="26"/>
        <v>0</v>
      </c>
      <c r="N77" s="280"/>
      <c r="O77" s="179">
        <f t="shared" si="20"/>
        <v>0</v>
      </c>
      <c r="P77" s="12">
        <f t="shared" si="27"/>
        <v>0</v>
      </c>
      <c r="Q77" s="280"/>
      <c r="R77" s="453">
        <f t="shared" si="21"/>
        <v>0</v>
      </c>
      <c r="S77" s="454">
        <f t="shared" si="17"/>
        <v>0</v>
      </c>
      <c r="T77" s="280"/>
      <c r="U77" s="453">
        <f t="shared" si="28"/>
        <v>0</v>
      </c>
      <c r="V77" s="454">
        <f t="shared" si="23"/>
        <v>0</v>
      </c>
      <c r="W77" s="280"/>
      <c r="X77" s="188">
        <f>16443+6686</f>
        <v>23129</v>
      </c>
      <c r="Y77" s="340"/>
      <c r="Z77" s="188"/>
    </row>
    <row r="78" spans="1:26" ht="42" x14ac:dyDescent="0.3">
      <c r="B78" s="53" t="s">
        <v>558</v>
      </c>
      <c r="C78" s="69" t="s">
        <v>531</v>
      </c>
      <c r="D78" s="157" t="s">
        <v>559</v>
      </c>
      <c r="E78" s="179">
        <v>217332</v>
      </c>
      <c r="F78" s="179">
        <v>217332</v>
      </c>
      <c r="G78" s="12">
        <f t="shared" si="24"/>
        <v>0</v>
      </c>
      <c r="H78" s="281"/>
      <c r="I78" s="179">
        <v>217332</v>
      </c>
      <c r="J78" s="12">
        <f t="shared" si="25"/>
        <v>0</v>
      </c>
      <c r="K78" s="281"/>
      <c r="L78" s="179">
        <f t="shared" si="19"/>
        <v>217332</v>
      </c>
      <c r="M78" s="12">
        <f t="shared" si="26"/>
        <v>0</v>
      </c>
      <c r="N78" s="281"/>
      <c r="O78" s="179">
        <f t="shared" si="20"/>
        <v>217332</v>
      </c>
      <c r="P78" s="12">
        <f t="shared" si="27"/>
        <v>0</v>
      </c>
      <c r="Q78" s="281"/>
      <c r="R78" s="453">
        <f t="shared" si="21"/>
        <v>217332</v>
      </c>
      <c r="S78" s="454">
        <f t="shared" si="17"/>
        <v>0</v>
      </c>
      <c r="T78" s="281"/>
      <c r="U78" s="453">
        <f t="shared" si="28"/>
        <v>217332</v>
      </c>
      <c r="V78" s="454">
        <f t="shared" si="23"/>
        <v>0</v>
      </c>
      <c r="W78" s="281"/>
      <c r="X78" s="188">
        <v>0</v>
      </c>
      <c r="Y78" s="340">
        <f>X78/R78</f>
        <v>0</v>
      </c>
      <c r="Z78" s="188"/>
    </row>
    <row r="79" spans="1:26" ht="14.4" x14ac:dyDescent="0.3">
      <c r="B79" s="53" t="s">
        <v>557</v>
      </c>
      <c r="C79" s="69" t="s">
        <v>377</v>
      </c>
      <c r="D79" s="157" t="s">
        <v>516</v>
      </c>
      <c r="E79" s="179">
        <v>308659</v>
      </c>
      <c r="F79" s="179">
        <v>308659</v>
      </c>
      <c r="G79" s="12">
        <f t="shared" si="24"/>
        <v>0</v>
      </c>
      <c r="H79" s="282"/>
      <c r="I79" s="179">
        <v>308659</v>
      </c>
      <c r="J79" s="12">
        <f t="shared" si="25"/>
        <v>0</v>
      </c>
      <c r="K79" s="282"/>
      <c r="L79" s="179">
        <f t="shared" si="19"/>
        <v>308659</v>
      </c>
      <c r="M79" s="12">
        <f t="shared" si="26"/>
        <v>0</v>
      </c>
      <c r="N79" s="282"/>
      <c r="O79" s="179">
        <f t="shared" si="20"/>
        <v>308659</v>
      </c>
      <c r="P79" s="12">
        <f t="shared" si="27"/>
        <v>0</v>
      </c>
      <c r="Q79" s="282"/>
      <c r="R79" s="453">
        <f t="shared" si="21"/>
        <v>308659</v>
      </c>
      <c r="S79" s="454">
        <f t="shared" si="17"/>
        <v>0</v>
      </c>
      <c r="T79" s="282"/>
      <c r="U79" s="453">
        <f t="shared" si="28"/>
        <v>308659</v>
      </c>
      <c r="V79" s="454">
        <f t="shared" si="23"/>
        <v>0</v>
      </c>
      <c r="W79" s="282"/>
      <c r="X79" s="188">
        <v>100642</v>
      </c>
      <c r="Y79" s="340">
        <f>X79/R79</f>
        <v>0.32606209441487205</v>
      </c>
      <c r="Z79" s="188"/>
    </row>
    <row r="80" spans="1:26" ht="14.4" x14ac:dyDescent="0.3">
      <c r="B80" s="53"/>
      <c r="C80" s="69" t="s">
        <v>425</v>
      </c>
      <c r="D80" s="157" t="s">
        <v>848</v>
      </c>
      <c r="E80" s="179">
        <v>0</v>
      </c>
      <c r="F80" s="179">
        <v>0</v>
      </c>
      <c r="G80" s="42">
        <f t="shared" si="24"/>
        <v>0</v>
      </c>
      <c r="H80" s="283"/>
      <c r="I80" s="179">
        <v>0</v>
      </c>
      <c r="J80" s="42">
        <f t="shared" si="25"/>
        <v>0</v>
      </c>
      <c r="K80" s="283"/>
      <c r="L80" s="179">
        <f>ROUND(I80,0)+38052</f>
        <v>38052</v>
      </c>
      <c r="M80" s="42">
        <f t="shared" si="26"/>
        <v>38052</v>
      </c>
      <c r="N80" s="283" t="s">
        <v>746</v>
      </c>
      <c r="O80" s="179">
        <f>ROUND(L80,0)-38052</f>
        <v>0</v>
      </c>
      <c r="P80" s="42">
        <f t="shared" si="27"/>
        <v>-38052</v>
      </c>
      <c r="Q80" s="283" t="s">
        <v>770</v>
      </c>
      <c r="R80" s="453">
        <f>ROUND(O80,0)</f>
        <v>0</v>
      </c>
      <c r="S80" s="468">
        <f t="shared" si="17"/>
        <v>0</v>
      </c>
      <c r="T80" s="283"/>
      <c r="U80" s="453">
        <f>ROUND(R80,0)</f>
        <v>0</v>
      </c>
      <c r="V80" s="468">
        <f t="shared" si="23"/>
        <v>0</v>
      </c>
      <c r="W80" s="283"/>
      <c r="X80" s="188">
        <v>14943</v>
      </c>
      <c r="Y80" s="340"/>
      <c r="Z80" s="188"/>
    </row>
    <row r="81" spans="1:26" ht="28.2" x14ac:dyDescent="0.3">
      <c r="B81" s="53" t="s">
        <v>537</v>
      </c>
      <c r="C81" s="69" t="s">
        <v>378</v>
      </c>
      <c r="D81" s="414" t="s">
        <v>536</v>
      </c>
      <c r="E81" s="179">
        <v>2500000</v>
      </c>
      <c r="F81" s="217">
        <v>2500000</v>
      </c>
      <c r="G81" s="51">
        <f t="shared" si="24"/>
        <v>0</v>
      </c>
      <c r="H81" s="283"/>
      <c r="I81" s="217">
        <v>2500000</v>
      </c>
      <c r="J81" s="51">
        <f t="shared" si="25"/>
        <v>0</v>
      </c>
      <c r="K81" s="283"/>
      <c r="L81" s="217">
        <f t="shared" si="19"/>
        <v>2500000</v>
      </c>
      <c r="M81" s="51">
        <f t="shared" si="26"/>
        <v>0</v>
      </c>
      <c r="N81" s="283"/>
      <c r="O81" s="217">
        <f t="shared" ref="O81:O87" si="29">ROUND(L81,0)</f>
        <v>2500000</v>
      </c>
      <c r="P81" s="51">
        <f t="shared" si="27"/>
        <v>0</v>
      </c>
      <c r="Q81" s="283"/>
      <c r="R81" s="469">
        <f t="shared" ref="R81:R85" si="30">ROUND(O81,0)</f>
        <v>2500000</v>
      </c>
      <c r="S81" s="456">
        <f t="shared" si="17"/>
        <v>0</v>
      </c>
      <c r="T81" s="283"/>
      <c r="U81" s="469">
        <f t="shared" ref="U81:U85" si="31">ROUND(R81,0)</f>
        <v>2500000</v>
      </c>
      <c r="V81" s="456">
        <f t="shared" si="23"/>
        <v>0</v>
      </c>
      <c r="W81" s="283"/>
      <c r="X81" s="188">
        <f>1165767.6+96286</f>
        <v>1262053.6000000001</v>
      </c>
      <c r="Y81" s="342">
        <f t="shared" ref="Y81:Y89" si="32">X81/R81</f>
        <v>0.50482144000000007</v>
      </c>
      <c r="Z81" s="188"/>
    </row>
    <row r="82" spans="1:26" ht="30.75" customHeight="1" x14ac:dyDescent="0.3">
      <c r="B82" s="332" t="s">
        <v>318</v>
      </c>
      <c r="C82" s="69" t="s">
        <v>379</v>
      </c>
      <c r="D82" s="157" t="s">
        <v>690</v>
      </c>
      <c r="E82" s="179">
        <v>0</v>
      </c>
      <c r="F82" s="217">
        <v>30428</v>
      </c>
      <c r="G82" s="51">
        <f t="shared" si="24"/>
        <v>30428</v>
      </c>
      <c r="H82" s="331" t="s">
        <v>691</v>
      </c>
      <c r="I82" s="217">
        <v>30428</v>
      </c>
      <c r="J82" s="51">
        <f t="shared" si="25"/>
        <v>0</v>
      </c>
      <c r="K82" s="331"/>
      <c r="L82" s="217">
        <f t="shared" si="19"/>
        <v>30428</v>
      </c>
      <c r="M82" s="51">
        <f t="shared" si="26"/>
        <v>0</v>
      </c>
      <c r="N82" s="331"/>
      <c r="O82" s="217">
        <f t="shared" si="29"/>
        <v>30428</v>
      </c>
      <c r="P82" s="51">
        <f t="shared" si="27"/>
        <v>0</v>
      </c>
      <c r="Q82" s="331"/>
      <c r="R82" s="469">
        <f t="shared" si="30"/>
        <v>30428</v>
      </c>
      <c r="S82" s="456">
        <f t="shared" si="17"/>
        <v>0</v>
      </c>
      <c r="T82" s="331"/>
      <c r="U82" s="469">
        <f t="shared" si="31"/>
        <v>30428</v>
      </c>
      <c r="V82" s="456">
        <f t="shared" si="23"/>
        <v>0</v>
      </c>
      <c r="W82" s="331"/>
      <c r="X82" s="188">
        <v>26372.58</v>
      </c>
      <c r="Y82" s="342">
        <f t="shared" si="32"/>
        <v>0.86672078348889192</v>
      </c>
      <c r="Z82" s="338"/>
    </row>
    <row r="83" spans="1:26" ht="48.6" customHeight="1" x14ac:dyDescent="0.3">
      <c r="B83" s="53" t="s">
        <v>410</v>
      </c>
      <c r="C83" s="69" t="s">
        <v>426</v>
      </c>
      <c r="D83" s="414" t="s">
        <v>411</v>
      </c>
      <c r="E83" s="179">
        <v>830550</v>
      </c>
      <c r="F83" s="217">
        <v>830550</v>
      </c>
      <c r="G83" s="51">
        <f t="shared" si="24"/>
        <v>0</v>
      </c>
      <c r="H83" s="284"/>
      <c r="I83" s="217">
        <v>830550</v>
      </c>
      <c r="J83" s="51">
        <f t="shared" si="25"/>
        <v>0</v>
      </c>
      <c r="K83" s="419"/>
      <c r="L83" s="217">
        <f t="shared" si="19"/>
        <v>830550</v>
      </c>
      <c r="M83" s="51">
        <f t="shared" si="26"/>
        <v>0</v>
      </c>
      <c r="N83" s="419"/>
      <c r="O83" s="217">
        <f t="shared" si="29"/>
        <v>830550</v>
      </c>
      <c r="P83" s="51">
        <f t="shared" si="27"/>
        <v>0</v>
      </c>
      <c r="Q83" s="419"/>
      <c r="R83" s="469">
        <f t="shared" si="30"/>
        <v>830550</v>
      </c>
      <c r="S83" s="456">
        <f t="shared" si="17"/>
        <v>0</v>
      </c>
      <c r="T83" s="419"/>
      <c r="U83" s="469">
        <f t="shared" si="31"/>
        <v>830550</v>
      </c>
      <c r="V83" s="456">
        <f t="shared" si="23"/>
        <v>0</v>
      </c>
      <c r="W83" s="419"/>
      <c r="X83" s="188">
        <v>684618.12</v>
      </c>
      <c r="Y83" s="355">
        <f t="shared" si="32"/>
        <v>0.82429488892902292</v>
      </c>
      <c r="Z83" s="338"/>
    </row>
    <row r="84" spans="1:26" ht="28.2" x14ac:dyDescent="0.3">
      <c r="B84" s="199" t="s">
        <v>350</v>
      </c>
      <c r="C84" s="69" t="s">
        <v>397</v>
      </c>
      <c r="D84" s="414" t="s">
        <v>334</v>
      </c>
      <c r="E84" s="179">
        <v>2661252</v>
      </c>
      <c r="F84" s="217">
        <v>2661252</v>
      </c>
      <c r="G84" s="51">
        <f t="shared" si="24"/>
        <v>0</v>
      </c>
      <c r="H84" s="284"/>
      <c r="I84" s="217">
        <v>2661252</v>
      </c>
      <c r="J84" s="51">
        <f t="shared" si="25"/>
        <v>0</v>
      </c>
      <c r="K84" s="284"/>
      <c r="L84" s="217">
        <f t="shared" si="19"/>
        <v>2661252</v>
      </c>
      <c r="M84" s="51">
        <f t="shared" si="26"/>
        <v>0</v>
      </c>
      <c r="N84" s="284"/>
      <c r="O84" s="217">
        <f t="shared" si="29"/>
        <v>2661252</v>
      </c>
      <c r="P84" s="51">
        <f t="shared" si="27"/>
        <v>0</v>
      </c>
      <c r="Q84" s="284"/>
      <c r="R84" s="469">
        <f t="shared" si="30"/>
        <v>2661252</v>
      </c>
      <c r="S84" s="456">
        <f t="shared" si="17"/>
        <v>0</v>
      </c>
      <c r="T84" s="284"/>
      <c r="U84" s="469">
        <f t="shared" si="31"/>
        <v>2661252</v>
      </c>
      <c r="V84" s="456">
        <f t="shared" si="23"/>
        <v>0</v>
      </c>
      <c r="W84" s="284"/>
      <c r="X84" s="188">
        <v>918392</v>
      </c>
      <c r="Y84" s="355">
        <f t="shared" si="32"/>
        <v>0.34509772092233282</v>
      </c>
      <c r="Z84" s="338"/>
    </row>
    <row r="85" spans="1:26" ht="27.6" x14ac:dyDescent="0.25">
      <c r="B85" s="56" t="s">
        <v>215</v>
      </c>
      <c r="C85" s="69" t="s">
        <v>398</v>
      </c>
      <c r="D85" s="157" t="s">
        <v>663</v>
      </c>
      <c r="E85" s="179">
        <v>333333</v>
      </c>
      <c r="F85" s="217">
        <v>333333</v>
      </c>
      <c r="G85" s="51">
        <f t="shared" si="24"/>
        <v>0</v>
      </c>
      <c r="H85" s="285"/>
      <c r="I85" s="217">
        <v>333333</v>
      </c>
      <c r="J85" s="51">
        <f t="shared" si="25"/>
        <v>0</v>
      </c>
      <c r="K85" s="285"/>
      <c r="L85" s="217">
        <f>ROUND(I85,0)</f>
        <v>333333</v>
      </c>
      <c r="M85" s="51">
        <f t="shared" si="26"/>
        <v>0</v>
      </c>
      <c r="N85" s="285"/>
      <c r="O85" s="217">
        <f t="shared" si="29"/>
        <v>333333</v>
      </c>
      <c r="P85" s="51">
        <f t="shared" si="27"/>
        <v>0</v>
      </c>
      <c r="Q85" s="285"/>
      <c r="R85" s="469">
        <f t="shared" si="30"/>
        <v>333333</v>
      </c>
      <c r="S85" s="456">
        <f t="shared" si="17"/>
        <v>0</v>
      </c>
      <c r="T85" s="285"/>
      <c r="U85" s="469">
        <f t="shared" si="31"/>
        <v>333333</v>
      </c>
      <c r="V85" s="456">
        <f t="shared" si="23"/>
        <v>0</v>
      </c>
      <c r="W85" s="285"/>
      <c r="X85" s="188">
        <v>76125</v>
      </c>
      <c r="Y85" s="355">
        <f t="shared" si="32"/>
        <v>0.22837522837522836</v>
      </c>
      <c r="Z85" s="338"/>
    </row>
    <row r="86" spans="1:26" ht="22.5" customHeight="1" x14ac:dyDescent="0.25">
      <c r="B86" s="56"/>
      <c r="C86" s="69" t="s">
        <v>787</v>
      </c>
      <c r="D86" s="434" t="s">
        <v>762</v>
      </c>
      <c r="E86" s="436"/>
      <c r="F86" s="436"/>
      <c r="G86" s="435"/>
      <c r="H86" s="285"/>
      <c r="I86" s="436"/>
      <c r="J86" s="435"/>
      <c r="K86" s="285"/>
      <c r="L86" s="436"/>
      <c r="M86" s="435"/>
      <c r="N86" s="285"/>
      <c r="O86" s="217">
        <f>ROUND(L86,0)+3600+5400+900+1800</f>
        <v>11700</v>
      </c>
      <c r="P86" s="51">
        <f t="shared" si="27"/>
        <v>11700</v>
      </c>
      <c r="Q86" s="439" t="s">
        <v>773</v>
      </c>
      <c r="R86" s="469">
        <f>ROUND(O86,0)+5400</f>
        <v>17100</v>
      </c>
      <c r="S86" s="456">
        <f t="shared" si="17"/>
        <v>5400</v>
      </c>
      <c r="T86" s="439" t="s">
        <v>774</v>
      </c>
      <c r="U86" s="469">
        <f>ROUND(R86,0)</f>
        <v>17100</v>
      </c>
      <c r="V86" s="456">
        <f t="shared" si="23"/>
        <v>0</v>
      </c>
      <c r="W86" s="439"/>
      <c r="X86" s="435">
        <f>91547-X85</f>
        <v>15422</v>
      </c>
      <c r="Y86" s="355">
        <f t="shared" si="32"/>
        <v>0.90187134502923971</v>
      </c>
      <c r="Z86" s="438"/>
    </row>
    <row r="87" spans="1:26" ht="27.6" x14ac:dyDescent="0.25">
      <c r="B87" s="11" t="s">
        <v>380</v>
      </c>
      <c r="C87" s="72" t="s">
        <v>382</v>
      </c>
      <c r="D87" s="143" t="s">
        <v>381</v>
      </c>
      <c r="E87" s="37">
        <v>0</v>
      </c>
      <c r="F87" s="37">
        <v>0</v>
      </c>
      <c r="G87" s="19">
        <f t="shared" si="24"/>
        <v>0</v>
      </c>
      <c r="H87" s="277"/>
      <c r="I87" s="37">
        <v>952269</v>
      </c>
      <c r="J87" s="19">
        <f t="shared" si="25"/>
        <v>952269</v>
      </c>
      <c r="K87" s="277" t="s">
        <v>716</v>
      </c>
      <c r="L87" s="37">
        <f>ROUND(I87,0)</f>
        <v>952269</v>
      </c>
      <c r="M87" s="19">
        <f t="shared" si="26"/>
        <v>0</v>
      </c>
      <c r="N87" s="277"/>
      <c r="O87" s="37">
        <f t="shared" si="29"/>
        <v>952269</v>
      </c>
      <c r="P87" s="19">
        <f t="shared" si="27"/>
        <v>0</v>
      </c>
      <c r="Q87" s="277"/>
      <c r="R87" s="467">
        <f t="shared" ref="R87" si="33">ROUND(O87,0)</f>
        <v>952269</v>
      </c>
      <c r="S87" s="88">
        <f t="shared" si="17"/>
        <v>0</v>
      </c>
      <c r="T87" s="277"/>
      <c r="U87" s="467">
        <f t="shared" ref="U87" si="34">ROUND(R87,0)</f>
        <v>952269</v>
      </c>
      <c r="V87" s="88">
        <f t="shared" si="23"/>
        <v>0</v>
      </c>
      <c r="W87" s="277"/>
      <c r="X87" s="192">
        <v>952269</v>
      </c>
      <c r="Y87" s="353">
        <f t="shared" si="32"/>
        <v>1</v>
      </c>
      <c r="Z87" s="192"/>
    </row>
    <row r="88" spans="1:26" x14ac:dyDescent="0.25">
      <c r="C88" s="71" t="s">
        <v>107</v>
      </c>
      <c r="D88" s="68" t="s">
        <v>108</v>
      </c>
      <c r="E88" s="212">
        <v>350000</v>
      </c>
      <c r="F88" s="212">
        <v>350000</v>
      </c>
      <c r="G88" s="13">
        <f t="shared" si="24"/>
        <v>0</v>
      </c>
      <c r="H88" s="264"/>
      <c r="I88" s="212">
        <v>350000</v>
      </c>
      <c r="J88" s="13">
        <f t="shared" si="25"/>
        <v>0</v>
      </c>
      <c r="K88" s="264"/>
      <c r="L88" s="212">
        <f>L89+L90</f>
        <v>350000</v>
      </c>
      <c r="M88" s="13">
        <f t="shared" si="26"/>
        <v>0</v>
      </c>
      <c r="N88" s="264"/>
      <c r="O88" s="212">
        <f>O89+O90</f>
        <v>350000</v>
      </c>
      <c r="P88" s="13">
        <f t="shared" si="27"/>
        <v>0</v>
      </c>
      <c r="Q88" s="264"/>
      <c r="R88" s="455">
        <f>R89+R90</f>
        <v>350000</v>
      </c>
      <c r="S88" s="14">
        <f t="shared" si="17"/>
        <v>0</v>
      </c>
      <c r="T88" s="264"/>
      <c r="U88" s="455">
        <f>U89+U90</f>
        <v>350000</v>
      </c>
      <c r="V88" s="14">
        <f t="shared" si="23"/>
        <v>0</v>
      </c>
      <c r="W88" s="264"/>
      <c r="X88" s="193">
        <f>X89+X90</f>
        <v>355772.19</v>
      </c>
      <c r="Y88" s="366">
        <f t="shared" si="32"/>
        <v>1.0164919714285714</v>
      </c>
      <c r="Z88" s="193"/>
    </row>
    <row r="89" spans="1:26" ht="32.25" customHeight="1" x14ac:dyDescent="0.25">
      <c r="B89" s="3" t="s">
        <v>109</v>
      </c>
      <c r="C89" s="65" t="s">
        <v>110</v>
      </c>
      <c r="D89" s="66" t="s">
        <v>111</v>
      </c>
      <c r="E89" s="179">
        <v>350000</v>
      </c>
      <c r="F89" s="179">
        <v>350000</v>
      </c>
      <c r="G89" s="12">
        <f t="shared" si="24"/>
        <v>0</v>
      </c>
      <c r="H89" s="251"/>
      <c r="I89" s="179">
        <v>350000</v>
      </c>
      <c r="J89" s="12">
        <f t="shared" si="25"/>
        <v>0</v>
      </c>
      <c r="K89" s="251"/>
      <c r="L89" s="179">
        <f>ROUND(I89,0)</f>
        <v>350000</v>
      </c>
      <c r="M89" s="12">
        <f t="shared" si="26"/>
        <v>0</v>
      </c>
      <c r="N89" s="251"/>
      <c r="O89" s="179">
        <f>ROUND(L89,0)</f>
        <v>350000</v>
      </c>
      <c r="P89" s="12">
        <f t="shared" si="27"/>
        <v>0</v>
      </c>
      <c r="Q89" s="251"/>
      <c r="R89" s="453">
        <f>ROUND(O89,0)</f>
        <v>350000</v>
      </c>
      <c r="S89" s="454">
        <f t="shared" si="17"/>
        <v>0</v>
      </c>
      <c r="T89" s="251"/>
      <c r="U89" s="453">
        <f>ROUND(R89,0)</f>
        <v>350000</v>
      </c>
      <c r="V89" s="454">
        <f t="shared" si="23"/>
        <v>0</v>
      </c>
      <c r="W89" s="251"/>
      <c r="X89" s="188">
        <v>355772.19</v>
      </c>
      <c r="Y89" s="340">
        <f t="shared" si="32"/>
        <v>1.0164919714285714</v>
      </c>
      <c r="Z89" s="188" t="s">
        <v>750</v>
      </c>
    </row>
    <row r="90" spans="1:26" ht="16.2" customHeight="1" x14ac:dyDescent="0.25">
      <c r="B90" s="3" t="s">
        <v>243</v>
      </c>
      <c r="C90" s="65" t="s">
        <v>112</v>
      </c>
      <c r="D90" s="66" t="s">
        <v>244</v>
      </c>
      <c r="E90" s="179">
        <v>0</v>
      </c>
      <c r="F90" s="179">
        <v>0</v>
      </c>
      <c r="G90" s="12">
        <f t="shared" si="24"/>
        <v>0</v>
      </c>
      <c r="H90" s="253"/>
      <c r="I90" s="179">
        <v>0</v>
      </c>
      <c r="J90" s="12">
        <f t="shared" si="25"/>
        <v>0</v>
      </c>
      <c r="K90" s="253"/>
      <c r="L90" s="179">
        <f>ROUND(I90,0)</f>
        <v>0</v>
      </c>
      <c r="M90" s="12">
        <f t="shared" si="26"/>
        <v>0</v>
      </c>
      <c r="N90" s="253"/>
      <c r="O90" s="179">
        <f>ROUND(L90,0)</f>
        <v>0</v>
      </c>
      <c r="P90" s="12">
        <f t="shared" si="27"/>
        <v>0</v>
      </c>
      <c r="Q90" s="253"/>
      <c r="R90" s="453">
        <f>ROUND(O90,0)</f>
        <v>0</v>
      </c>
      <c r="S90" s="454">
        <f t="shared" si="17"/>
        <v>0</v>
      </c>
      <c r="T90" s="253"/>
      <c r="U90" s="453">
        <f>ROUND(R90,0)</f>
        <v>0</v>
      </c>
      <c r="V90" s="454">
        <f t="shared" si="23"/>
        <v>0</v>
      </c>
      <c r="W90" s="253"/>
      <c r="X90" s="188">
        <v>0</v>
      </c>
      <c r="Y90" s="340"/>
      <c r="Z90" s="188"/>
    </row>
    <row r="91" spans="1:26" ht="35.4" customHeight="1" x14ac:dyDescent="0.25">
      <c r="C91" s="71" t="s">
        <v>113</v>
      </c>
      <c r="D91" s="68" t="s">
        <v>114</v>
      </c>
      <c r="E91" s="212">
        <v>800455</v>
      </c>
      <c r="F91" s="212">
        <v>801955</v>
      </c>
      <c r="G91" s="13">
        <f t="shared" si="24"/>
        <v>1500</v>
      </c>
      <c r="H91" s="341"/>
      <c r="I91" s="212">
        <v>801955</v>
      </c>
      <c r="J91" s="13">
        <f t="shared" si="25"/>
        <v>0</v>
      </c>
      <c r="K91" s="341"/>
      <c r="L91" s="212">
        <f>L92+L95+L98+L102+L105</f>
        <v>811955</v>
      </c>
      <c r="M91" s="13">
        <f t="shared" si="26"/>
        <v>10000</v>
      </c>
      <c r="N91" s="341"/>
      <c r="O91" s="212">
        <f>O92+O95+O98+O102+O105</f>
        <v>811955</v>
      </c>
      <c r="P91" s="13">
        <f t="shared" si="27"/>
        <v>0</v>
      </c>
      <c r="Q91" s="341"/>
      <c r="R91" s="455">
        <f>R92+R95+R98+R102+R105</f>
        <v>887329</v>
      </c>
      <c r="S91" s="14">
        <f t="shared" si="17"/>
        <v>75374</v>
      </c>
      <c r="T91" s="341"/>
      <c r="U91" s="455">
        <f>U92+U95+U98+U102+U105</f>
        <v>887329</v>
      </c>
      <c r="V91" s="14">
        <f t="shared" si="23"/>
        <v>0</v>
      </c>
      <c r="W91" s="341"/>
      <c r="X91" s="193">
        <f>X92+X95+X98+X102+X105</f>
        <v>885977.26000000013</v>
      </c>
      <c r="Y91" s="366">
        <f t="shared" ref="Y91:Y96" si="35">X91/R91</f>
        <v>0.99847661915704333</v>
      </c>
      <c r="Z91" s="396"/>
    </row>
    <row r="92" spans="1:26" x14ac:dyDescent="0.25">
      <c r="A92" s="3" t="s">
        <v>10</v>
      </c>
      <c r="B92" s="3" t="s">
        <v>115</v>
      </c>
      <c r="C92" s="65" t="s">
        <v>116</v>
      </c>
      <c r="D92" s="66" t="s">
        <v>435</v>
      </c>
      <c r="E92" s="179">
        <v>219800</v>
      </c>
      <c r="F92" s="179">
        <v>219800</v>
      </c>
      <c r="G92" s="12">
        <f t="shared" si="24"/>
        <v>0</v>
      </c>
      <c r="H92" s="253"/>
      <c r="I92" s="179">
        <v>219800</v>
      </c>
      <c r="J92" s="12">
        <f t="shared" si="25"/>
        <v>0</v>
      </c>
      <c r="K92" s="253"/>
      <c r="L92" s="179">
        <f>SUM(L93:L94)</f>
        <v>219800</v>
      </c>
      <c r="M92" s="12">
        <f t="shared" si="26"/>
        <v>0</v>
      </c>
      <c r="N92" s="253"/>
      <c r="O92" s="179">
        <f>SUM(O93:O94)</f>
        <v>219800</v>
      </c>
      <c r="P92" s="12">
        <f t="shared" si="27"/>
        <v>0</v>
      </c>
      <c r="Q92" s="253"/>
      <c r="R92" s="453">
        <f>SUM(R93:R94)</f>
        <v>219800</v>
      </c>
      <c r="S92" s="454">
        <f t="shared" si="17"/>
        <v>0</v>
      </c>
      <c r="T92" s="253"/>
      <c r="U92" s="453">
        <f>SUM(U93:U94)</f>
        <v>219800</v>
      </c>
      <c r="V92" s="454">
        <f t="shared" si="23"/>
        <v>0</v>
      </c>
      <c r="W92" s="253"/>
      <c r="X92" s="188">
        <v>145559.07999999999</v>
      </c>
      <c r="Y92" s="340">
        <f t="shared" si="35"/>
        <v>0.66223421292083706</v>
      </c>
      <c r="Z92" s="188"/>
    </row>
    <row r="93" spans="1:26" ht="14.25" customHeight="1" x14ac:dyDescent="0.25">
      <c r="B93" s="3" t="s">
        <v>118</v>
      </c>
      <c r="C93" s="73" t="s">
        <v>117</v>
      </c>
      <c r="D93" s="74" t="s">
        <v>431</v>
      </c>
      <c r="E93" s="179">
        <v>61000</v>
      </c>
      <c r="F93" s="179">
        <v>61000</v>
      </c>
      <c r="G93" s="12">
        <f t="shared" si="24"/>
        <v>0</v>
      </c>
      <c r="H93" s="265"/>
      <c r="I93" s="179">
        <v>61000</v>
      </c>
      <c r="J93" s="12">
        <f t="shared" si="25"/>
        <v>0</v>
      </c>
      <c r="K93" s="265"/>
      <c r="L93" s="179">
        <f>ROUND(I93,0)</f>
        <v>61000</v>
      </c>
      <c r="M93" s="12">
        <f t="shared" si="26"/>
        <v>0</v>
      </c>
      <c r="N93" s="265"/>
      <c r="O93" s="179">
        <f>ROUND(L93,0)</f>
        <v>61000</v>
      </c>
      <c r="P93" s="12">
        <f t="shared" si="27"/>
        <v>0</v>
      </c>
      <c r="Q93" s="265"/>
      <c r="R93" s="453">
        <f>ROUND(O93,0)</f>
        <v>61000</v>
      </c>
      <c r="S93" s="454">
        <f t="shared" si="17"/>
        <v>0</v>
      </c>
      <c r="T93" s="265"/>
      <c r="U93" s="453">
        <f>ROUND(R93,0)</f>
        <v>61000</v>
      </c>
      <c r="V93" s="454">
        <f t="shared" si="23"/>
        <v>0</v>
      </c>
      <c r="W93" s="265"/>
      <c r="X93" s="188">
        <v>63236.13</v>
      </c>
      <c r="Y93" s="340">
        <f t="shared" si="35"/>
        <v>1.036657868852459</v>
      </c>
      <c r="Z93" s="188"/>
    </row>
    <row r="94" spans="1:26" ht="18" customHeight="1" x14ac:dyDescent="0.25">
      <c r="B94" s="3" t="s">
        <v>120</v>
      </c>
      <c r="C94" s="73" t="s">
        <v>119</v>
      </c>
      <c r="D94" s="106" t="s">
        <v>432</v>
      </c>
      <c r="E94" s="179">
        <v>158800</v>
      </c>
      <c r="F94" s="179">
        <v>158800</v>
      </c>
      <c r="G94" s="12">
        <f t="shared" si="24"/>
        <v>0</v>
      </c>
      <c r="H94" s="265"/>
      <c r="I94" s="179">
        <v>158800</v>
      </c>
      <c r="J94" s="12">
        <f t="shared" si="25"/>
        <v>0</v>
      </c>
      <c r="K94" s="265"/>
      <c r="L94" s="179">
        <f>ROUND(I94,0)</f>
        <v>158800</v>
      </c>
      <c r="M94" s="12">
        <f t="shared" si="26"/>
        <v>0</v>
      </c>
      <c r="N94" s="265"/>
      <c r="O94" s="179">
        <f>ROUND(L94,0)</f>
        <v>158800</v>
      </c>
      <c r="P94" s="12">
        <f t="shared" si="27"/>
        <v>0</v>
      </c>
      <c r="Q94" s="265"/>
      <c r="R94" s="453">
        <f>ROUND(O94,0)</f>
        <v>158800</v>
      </c>
      <c r="S94" s="454">
        <f t="shared" si="17"/>
        <v>0</v>
      </c>
      <c r="T94" s="265"/>
      <c r="U94" s="453">
        <f>ROUND(R94,0)</f>
        <v>158800</v>
      </c>
      <c r="V94" s="454">
        <f t="shared" si="23"/>
        <v>0</v>
      </c>
      <c r="W94" s="265"/>
      <c r="X94" s="188">
        <v>165151.35</v>
      </c>
      <c r="Y94" s="340">
        <f t="shared" si="35"/>
        <v>1.0399959068010076</v>
      </c>
      <c r="Z94" s="188"/>
    </row>
    <row r="95" spans="1:26" ht="13.95" customHeight="1" x14ac:dyDescent="0.25">
      <c r="C95" s="65" t="s">
        <v>122</v>
      </c>
      <c r="D95" s="66" t="s">
        <v>575</v>
      </c>
      <c r="E95" s="217">
        <v>59312</v>
      </c>
      <c r="F95" s="217">
        <v>60812</v>
      </c>
      <c r="G95" s="51">
        <f t="shared" si="24"/>
        <v>1500</v>
      </c>
      <c r="H95" s="286"/>
      <c r="I95" s="217">
        <v>60812</v>
      </c>
      <c r="J95" s="51">
        <f t="shared" si="25"/>
        <v>0</v>
      </c>
      <c r="K95" s="286"/>
      <c r="L95" s="217">
        <f>L96+L97</f>
        <v>60812</v>
      </c>
      <c r="M95" s="51">
        <f t="shared" si="26"/>
        <v>0</v>
      </c>
      <c r="N95" s="286"/>
      <c r="O95" s="217">
        <f>O96+O97</f>
        <v>60812</v>
      </c>
      <c r="P95" s="51">
        <f t="shared" si="27"/>
        <v>0</v>
      </c>
      <c r="Q95" s="286"/>
      <c r="R95" s="469">
        <f>R96+R97</f>
        <v>136186</v>
      </c>
      <c r="S95" s="456">
        <f t="shared" si="17"/>
        <v>75374</v>
      </c>
      <c r="T95" s="286"/>
      <c r="U95" s="469">
        <f>U96+U97</f>
        <v>136186</v>
      </c>
      <c r="V95" s="456">
        <f t="shared" si="23"/>
        <v>0</v>
      </c>
      <c r="W95" s="286"/>
      <c r="X95" s="188">
        <f>X96+X97</f>
        <v>149725.20000000001</v>
      </c>
      <c r="Y95" s="342">
        <f t="shared" si="35"/>
        <v>1.0994169738445949</v>
      </c>
      <c r="Z95" s="188"/>
    </row>
    <row r="96" spans="1:26" ht="16.5" customHeight="1" x14ac:dyDescent="0.25">
      <c r="B96" s="3" t="s">
        <v>573</v>
      </c>
      <c r="C96" s="73" t="s">
        <v>125</v>
      </c>
      <c r="D96" s="74" t="s">
        <v>306</v>
      </c>
      <c r="E96" s="179">
        <v>59312</v>
      </c>
      <c r="F96" s="179">
        <v>60812</v>
      </c>
      <c r="G96" s="51">
        <f>F96-E96</f>
        <v>1500</v>
      </c>
      <c r="H96" s="276" t="s">
        <v>682</v>
      </c>
      <c r="I96" s="179">
        <v>60812</v>
      </c>
      <c r="J96" s="51">
        <f t="shared" si="25"/>
        <v>0</v>
      </c>
      <c r="K96" s="276"/>
      <c r="L96" s="179">
        <f>ROUND(I96,0)</f>
        <v>60812</v>
      </c>
      <c r="M96" s="51">
        <f t="shared" si="26"/>
        <v>0</v>
      </c>
      <c r="N96" s="276"/>
      <c r="O96" s="179">
        <f>ROUND(L96,0)</f>
        <v>60812</v>
      </c>
      <c r="P96" s="51">
        <f t="shared" si="27"/>
        <v>0</v>
      </c>
      <c r="Q96" s="276"/>
      <c r="R96" s="453">
        <f>ROUND(O96,0)+39130+18754+17490</f>
        <v>136186</v>
      </c>
      <c r="S96" s="456">
        <f t="shared" si="17"/>
        <v>75374</v>
      </c>
      <c r="T96" s="276" t="s">
        <v>823</v>
      </c>
      <c r="U96" s="453">
        <f>ROUND(R96,0)</f>
        <v>136186</v>
      </c>
      <c r="V96" s="456">
        <f t="shared" si="23"/>
        <v>0</v>
      </c>
      <c r="W96" s="276"/>
      <c r="X96" s="188">
        <f>10390+139335.2</f>
        <v>149725.20000000001</v>
      </c>
      <c r="Y96" s="342">
        <f t="shared" si="35"/>
        <v>1.0994169738445949</v>
      </c>
      <c r="Z96" s="188"/>
    </row>
    <row r="97" spans="1:26" ht="15.75" customHeight="1" x14ac:dyDescent="0.25">
      <c r="B97" s="201" t="s">
        <v>399</v>
      </c>
      <c r="C97" s="73" t="s">
        <v>127</v>
      </c>
      <c r="D97" s="157" t="s">
        <v>655</v>
      </c>
      <c r="E97" s="179">
        <v>0</v>
      </c>
      <c r="F97" s="179">
        <v>0</v>
      </c>
      <c r="G97" s="51">
        <f t="shared" si="24"/>
        <v>0</v>
      </c>
      <c r="H97" s="268"/>
      <c r="I97" s="179">
        <v>0</v>
      </c>
      <c r="J97" s="51">
        <f t="shared" si="25"/>
        <v>0</v>
      </c>
      <c r="K97" s="268"/>
      <c r="L97" s="179">
        <f>ROUND(I97,0)</f>
        <v>0</v>
      </c>
      <c r="M97" s="51">
        <f t="shared" si="26"/>
        <v>0</v>
      </c>
      <c r="N97" s="268"/>
      <c r="O97" s="179">
        <f>ROUND(L97,0)</f>
        <v>0</v>
      </c>
      <c r="P97" s="51">
        <f t="shared" si="27"/>
        <v>0</v>
      </c>
      <c r="Q97" s="268"/>
      <c r="R97" s="453">
        <f>ROUND(O97,0)</f>
        <v>0</v>
      </c>
      <c r="S97" s="456">
        <f t="shared" si="17"/>
        <v>0</v>
      </c>
      <c r="T97" s="268"/>
      <c r="U97" s="453">
        <f>ROUND(R97,0)</f>
        <v>0</v>
      </c>
      <c r="V97" s="456">
        <f t="shared" si="23"/>
        <v>0</v>
      </c>
      <c r="W97" s="268"/>
      <c r="X97" s="188"/>
      <c r="Y97" s="342"/>
      <c r="Z97" s="188"/>
    </row>
    <row r="98" spans="1:26" x14ac:dyDescent="0.25">
      <c r="A98" s="3" t="s">
        <v>10</v>
      </c>
      <c r="B98" s="3" t="s">
        <v>121</v>
      </c>
      <c r="C98" s="65" t="s">
        <v>129</v>
      </c>
      <c r="D98" s="66" t="s">
        <v>123</v>
      </c>
      <c r="E98" s="179">
        <v>322370</v>
      </c>
      <c r="F98" s="179">
        <v>322370</v>
      </c>
      <c r="G98" s="12">
        <f t="shared" si="24"/>
        <v>0</v>
      </c>
      <c r="H98" s="253"/>
      <c r="I98" s="179">
        <v>322370</v>
      </c>
      <c r="J98" s="12">
        <f t="shared" si="25"/>
        <v>0</v>
      </c>
      <c r="K98" s="253"/>
      <c r="L98" s="179">
        <f>SUM(L99:L101)</f>
        <v>332370</v>
      </c>
      <c r="M98" s="12">
        <f t="shared" si="26"/>
        <v>10000</v>
      </c>
      <c r="N98" s="253"/>
      <c r="O98" s="179">
        <f>SUM(O99:O101)</f>
        <v>332370</v>
      </c>
      <c r="P98" s="12">
        <f t="shared" si="27"/>
        <v>0</v>
      </c>
      <c r="Q98" s="253"/>
      <c r="R98" s="453">
        <f>SUM(R99:R101)</f>
        <v>332370</v>
      </c>
      <c r="S98" s="454">
        <f t="shared" si="17"/>
        <v>0</v>
      </c>
      <c r="T98" s="253"/>
      <c r="U98" s="453">
        <f>SUM(U99:U101)</f>
        <v>332370</v>
      </c>
      <c r="V98" s="454">
        <f t="shared" si="23"/>
        <v>0</v>
      </c>
      <c r="W98" s="253"/>
      <c r="X98" s="188">
        <f>SUM(X99:X101)</f>
        <v>372177.06</v>
      </c>
      <c r="Y98" s="340">
        <f>X98/R98</f>
        <v>1.1197673075187291</v>
      </c>
      <c r="Z98" s="188"/>
    </row>
    <row r="99" spans="1:26" ht="16.5" customHeight="1" x14ac:dyDescent="0.25">
      <c r="B99" s="3" t="s">
        <v>124</v>
      </c>
      <c r="C99" s="73" t="s">
        <v>293</v>
      </c>
      <c r="D99" s="74" t="s">
        <v>295</v>
      </c>
      <c r="E99" s="179">
        <v>236370</v>
      </c>
      <c r="F99" s="179">
        <v>236370</v>
      </c>
      <c r="G99" s="12">
        <f t="shared" si="24"/>
        <v>0</v>
      </c>
      <c r="H99" s="251"/>
      <c r="I99" s="179">
        <v>236370</v>
      </c>
      <c r="J99" s="12">
        <f t="shared" si="25"/>
        <v>0</v>
      </c>
      <c r="K99" s="251"/>
      <c r="L99" s="179">
        <f>ROUND(I99,0)</f>
        <v>236370</v>
      </c>
      <c r="M99" s="12">
        <f t="shared" si="26"/>
        <v>0</v>
      </c>
      <c r="N99" s="251"/>
      <c r="O99" s="179">
        <f>ROUND(L99,0)</f>
        <v>236370</v>
      </c>
      <c r="P99" s="12">
        <f t="shared" si="27"/>
        <v>0</v>
      </c>
      <c r="Q99" s="251"/>
      <c r="R99" s="453">
        <f>ROUND(O99,0)</f>
        <v>236370</v>
      </c>
      <c r="S99" s="454">
        <f t="shared" si="17"/>
        <v>0</v>
      </c>
      <c r="T99" s="251"/>
      <c r="U99" s="453">
        <f>ROUND(R99,0)</f>
        <v>236370</v>
      </c>
      <c r="V99" s="454">
        <f t="shared" si="23"/>
        <v>0</v>
      </c>
      <c r="W99" s="251"/>
      <c r="X99" s="188">
        <f>249078.38+269</f>
        <v>249347.38</v>
      </c>
      <c r="Y99" s="340">
        <f>X99/R99</f>
        <v>1.0549028218471042</v>
      </c>
      <c r="Z99" s="188"/>
    </row>
    <row r="100" spans="1:26" x14ac:dyDescent="0.25">
      <c r="B100" s="3" t="s">
        <v>126</v>
      </c>
      <c r="C100" s="73" t="s">
        <v>294</v>
      </c>
      <c r="D100" s="74" t="s">
        <v>296</v>
      </c>
      <c r="E100" s="179">
        <v>86000</v>
      </c>
      <c r="F100" s="179">
        <v>86000</v>
      </c>
      <c r="G100" s="12">
        <f t="shared" si="24"/>
        <v>0</v>
      </c>
      <c r="H100" s="253"/>
      <c r="I100" s="179">
        <v>86000</v>
      </c>
      <c r="J100" s="12">
        <f t="shared" si="25"/>
        <v>0</v>
      </c>
      <c r="K100" s="253"/>
      <c r="L100" s="179">
        <f>ROUND(I100,0)+10000</f>
        <v>96000</v>
      </c>
      <c r="M100" s="12">
        <f t="shared" si="26"/>
        <v>10000</v>
      </c>
      <c r="N100" s="253" t="s">
        <v>744</v>
      </c>
      <c r="O100" s="179">
        <f>ROUND(L100,0)</f>
        <v>96000</v>
      </c>
      <c r="P100" s="12">
        <f t="shared" si="27"/>
        <v>0</v>
      </c>
      <c r="Q100" s="253"/>
      <c r="R100" s="453">
        <f>ROUND(O100,0)</f>
        <v>96000</v>
      </c>
      <c r="S100" s="454">
        <f t="shared" si="17"/>
        <v>0</v>
      </c>
      <c r="T100" s="253"/>
      <c r="U100" s="453">
        <f>ROUND(R100,0)</f>
        <v>96000</v>
      </c>
      <c r="V100" s="454">
        <f t="shared" si="23"/>
        <v>0</v>
      </c>
      <c r="W100" s="253"/>
      <c r="X100" s="188">
        <f>122793.68+36</f>
        <v>122829.68</v>
      </c>
      <c r="Y100" s="340">
        <f>X100/R100</f>
        <v>1.2794758333333334</v>
      </c>
      <c r="Z100" s="188"/>
    </row>
    <row r="101" spans="1:26" x14ac:dyDescent="0.25">
      <c r="B101" s="3" t="s">
        <v>407</v>
      </c>
      <c r="C101" s="73" t="s">
        <v>297</v>
      </c>
      <c r="D101" s="157" t="s">
        <v>298</v>
      </c>
      <c r="E101" s="179">
        <v>0</v>
      </c>
      <c r="F101" s="179">
        <v>0</v>
      </c>
      <c r="G101" s="51">
        <f t="shared" si="24"/>
        <v>0</v>
      </c>
      <c r="H101" s="270"/>
      <c r="I101" s="179">
        <v>0</v>
      </c>
      <c r="J101" s="51">
        <f t="shared" si="25"/>
        <v>0</v>
      </c>
      <c r="K101" s="270"/>
      <c r="L101" s="179">
        <f>ROUND(I101,0)</f>
        <v>0</v>
      </c>
      <c r="M101" s="51">
        <f t="shared" si="26"/>
        <v>0</v>
      </c>
      <c r="N101" s="270"/>
      <c r="O101" s="179">
        <f>ROUND(L101,0)</f>
        <v>0</v>
      </c>
      <c r="P101" s="51">
        <f t="shared" si="27"/>
        <v>0</v>
      </c>
      <c r="Q101" s="270"/>
      <c r="R101" s="453">
        <f>ROUND(O101,0)</f>
        <v>0</v>
      </c>
      <c r="S101" s="456">
        <f t="shared" si="17"/>
        <v>0</v>
      </c>
      <c r="T101" s="270"/>
      <c r="U101" s="453">
        <f>ROUND(R101,0)</f>
        <v>0</v>
      </c>
      <c r="V101" s="456">
        <f t="shared" si="23"/>
        <v>0</v>
      </c>
      <c r="W101" s="270"/>
      <c r="X101" s="188"/>
      <c r="Y101" s="342"/>
      <c r="Z101" s="188"/>
    </row>
    <row r="102" spans="1:26" ht="25.2" customHeight="1" x14ac:dyDescent="0.25">
      <c r="A102" s="3" t="s">
        <v>10</v>
      </c>
      <c r="B102" s="3" t="s">
        <v>128</v>
      </c>
      <c r="C102" s="65" t="s">
        <v>131</v>
      </c>
      <c r="D102" s="66" t="s">
        <v>130</v>
      </c>
      <c r="E102" s="179">
        <v>98350</v>
      </c>
      <c r="F102" s="179">
        <v>98350</v>
      </c>
      <c r="G102" s="12">
        <f t="shared" si="24"/>
        <v>0</v>
      </c>
      <c r="H102" s="287"/>
      <c r="I102" s="179">
        <v>98350</v>
      </c>
      <c r="J102" s="12">
        <f t="shared" si="25"/>
        <v>0</v>
      </c>
      <c r="K102" s="287"/>
      <c r="L102" s="179">
        <f>SUM(L103:L104)</f>
        <v>98350</v>
      </c>
      <c r="M102" s="12">
        <f t="shared" si="26"/>
        <v>0</v>
      </c>
      <c r="N102" s="287"/>
      <c r="O102" s="179">
        <f>SUM(O103:O104)</f>
        <v>98350</v>
      </c>
      <c r="P102" s="12">
        <f t="shared" si="27"/>
        <v>0</v>
      </c>
      <c r="Q102" s="287"/>
      <c r="R102" s="453">
        <f>SUM(R103:R104)</f>
        <v>98350</v>
      </c>
      <c r="S102" s="454">
        <f t="shared" si="17"/>
        <v>0</v>
      </c>
      <c r="T102" s="287"/>
      <c r="U102" s="453">
        <f>SUM(U103:U104)</f>
        <v>98350</v>
      </c>
      <c r="V102" s="454">
        <f t="shared" si="23"/>
        <v>0</v>
      </c>
      <c r="W102" s="287"/>
      <c r="X102" s="188">
        <f>SUM(X103:X104)</f>
        <v>54425.920000000013</v>
      </c>
      <c r="Y102" s="340">
        <f>X102/R102</f>
        <v>0.55339013726487052</v>
      </c>
      <c r="Z102" s="188"/>
    </row>
    <row r="103" spans="1:26" ht="28.2" customHeight="1" x14ac:dyDescent="0.25">
      <c r="A103" s="56" t="s">
        <v>216</v>
      </c>
      <c r="C103" s="73" t="s">
        <v>279</v>
      </c>
      <c r="D103" s="74" t="s">
        <v>130</v>
      </c>
      <c r="E103" s="179">
        <v>98350</v>
      </c>
      <c r="F103" s="179">
        <v>98350</v>
      </c>
      <c r="G103" s="51">
        <f t="shared" si="24"/>
        <v>0</v>
      </c>
      <c r="H103" s="270"/>
      <c r="I103" s="179">
        <v>98350</v>
      </c>
      <c r="J103" s="51">
        <f t="shared" si="25"/>
        <v>0</v>
      </c>
      <c r="K103" s="270"/>
      <c r="L103" s="179">
        <f>ROUND(I103,0)</f>
        <v>98350</v>
      </c>
      <c r="M103" s="51">
        <f t="shared" si="26"/>
        <v>0</v>
      </c>
      <c r="N103" s="270"/>
      <c r="O103" s="179">
        <f>ROUND(L103,0)</f>
        <v>98350</v>
      </c>
      <c r="P103" s="51">
        <f t="shared" si="27"/>
        <v>0</v>
      </c>
      <c r="Q103" s="270"/>
      <c r="R103" s="453">
        <f>ROUND(O103,0)</f>
        <v>98350</v>
      </c>
      <c r="S103" s="456">
        <f t="shared" si="17"/>
        <v>0</v>
      </c>
      <c r="T103" s="270"/>
      <c r="U103" s="453">
        <f>ROUND(R103,0)</f>
        <v>98350</v>
      </c>
      <c r="V103" s="456">
        <f t="shared" si="23"/>
        <v>0</v>
      </c>
      <c r="W103" s="270"/>
      <c r="X103" s="188">
        <f>198396.92-X105+20119</f>
        <v>54425.920000000013</v>
      </c>
      <c r="Y103" s="342">
        <f>X103/R103</f>
        <v>0.55339013726487052</v>
      </c>
      <c r="Z103" s="188"/>
    </row>
    <row r="104" spans="1:26" ht="16.5" customHeight="1" x14ac:dyDescent="0.25">
      <c r="B104" s="3" t="s">
        <v>433</v>
      </c>
      <c r="C104" s="73" t="s">
        <v>280</v>
      </c>
      <c r="D104" s="74" t="s">
        <v>434</v>
      </c>
      <c r="E104" s="179">
        <v>0</v>
      </c>
      <c r="F104" s="179">
        <v>0</v>
      </c>
      <c r="G104" s="51">
        <f t="shared" si="24"/>
        <v>0</v>
      </c>
      <c r="H104" s="270"/>
      <c r="I104" s="179">
        <v>0</v>
      </c>
      <c r="J104" s="51">
        <f t="shared" si="25"/>
        <v>0</v>
      </c>
      <c r="K104" s="270"/>
      <c r="L104" s="179">
        <f>ROUND(I104,0)</f>
        <v>0</v>
      </c>
      <c r="M104" s="51">
        <f t="shared" si="26"/>
        <v>0</v>
      </c>
      <c r="N104" s="270"/>
      <c r="O104" s="179">
        <f>ROUND(L104,0)</f>
        <v>0</v>
      </c>
      <c r="P104" s="51">
        <f t="shared" si="27"/>
        <v>0</v>
      </c>
      <c r="Q104" s="270"/>
      <c r="R104" s="453">
        <f>ROUND(O104,0)</f>
        <v>0</v>
      </c>
      <c r="S104" s="456">
        <f t="shared" si="17"/>
        <v>0</v>
      </c>
      <c r="T104" s="270"/>
      <c r="U104" s="453">
        <f>ROUND(R104,0)</f>
        <v>0</v>
      </c>
      <c r="V104" s="456">
        <f t="shared" si="23"/>
        <v>0</v>
      </c>
      <c r="W104" s="270"/>
      <c r="X104" s="188">
        <v>0</v>
      </c>
      <c r="Y104" s="342"/>
      <c r="Z104" s="188"/>
    </row>
    <row r="105" spans="1:26" ht="17.25" customHeight="1" thickBot="1" x14ac:dyDescent="0.35">
      <c r="A105" s="3" t="s">
        <v>10</v>
      </c>
      <c r="B105" s="208" t="s">
        <v>523</v>
      </c>
      <c r="C105" s="65" t="s">
        <v>281</v>
      </c>
      <c r="D105" s="66" t="s">
        <v>436</v>
      </c>
      <c r="E105" s="179">
        <v>100623</v>
      </c>
      <c r="F105" s="179">
        <v>100623</v>
      </c>
      <c r="G105" s="12">
        <f t="shared" si="24"/>
        <v>0</v>
      </c>
      <c r="H105" s="251"/>
      <c r="I105" s="179">
        <v>100623</v>
      </c>
      <c r="J105" s="12">
        <f t="shared" si="25"/>
        <v>0</v>
      </c>
      <c r="K105" s="251"/>
      <c r="L105" s="179">
        <f>ROUND(I105,0)</f>
        <v>100623</v>
      </c>
      <c r="M105" s="12">
        <f t="shared" si="26"/>
        <v>0</v>
      </c>
      <c r="N105" s="251"/>
      <c r="O105" s="179">
        <f>ROUND(L105,0)</f>
        <v>100623</v>
      </c>
      <c r="P105" s="12">
        <f t="shared" si="27"/>
        <v>0</v>
      </c>
      <c r="Q105" s="251"/>
      <c r="R105" s="453">
        <f>ROUND(O105,0)</f>
        <v>100623</v>
      </c>
      <c r="S105" s="454">
        <f t="shared" si="17"/>
        <v>0</v>
      </c>
      <c r="T105" s="251"/>
      <c r="U105" s="453">
        <f>ROUND(R105,0)</f>
        <v>100623</v>
      </c>
      <c r="V105" s="454">
        <f t="shared" si="23"/>
        <v>0</v>
      </c>
      <c r="W105" s="251"/>
      <c r="X105" s="188">
        <f>66730+85750+11610</f>
        <v>164090</v>
      </c>
      <c r="Y105" s="340">
        <f t="shared" ref="Y105:Y121" si="36">X105/R105</f>
        <v>1.6307404867674389</v>
      </c>
      <c r="Z105" s="338" t="s">
        <v>751</v>
      </c>
    </row>
    <row r="106" spans="1:26" ht="15" customHeight="1" thickBot="1" x14ac:dyDescent="0.3">
      <c r="C106" s="21"/>
      <c r="D106" s="22" t="s">
        <v>132</v>
      </c>
      <c r="E106" s="218">
        <v>61794402</v>
      </c>
      <c r="F106" s="218">
        <v>61849590</v>
      </c>
      <c r="G106" s="40">
        <f t="shared" si="24"/>
        <v>55188</v>
      </c>
      <c r="H106" s="288"/>
      <c r="I106" s="218">
        <v>61987173</v>
      </c>
      <c r="J106" s="40">
        <f t="shared" si="25"/>
        <v>137583</v>
      </c>
      <c r="K106" s="288"/>
      <c r="L106" s="218">
        <f>L7+L10+L13+L16+L19+L22+L34+L37+L41+L42+L88+L91</f>
        <v>62139592</v>
      </c>
      <c r="M106" s="40">
        <f t="shared" si="26"/>
        <v>152419</v>
      </c>
      <c r="N106" s="288"/>
      <c r="O106" s="218">
        <f>O7+O10+O13+O16+O19+O22+O34+O37+O41+O42+O88+O91</f>
        <v>62327601</v>
      </c>
      <c r="P106" s="40">
        <f t="shared" si="27"/>
        <v>188009</v>
      </c>
      <c r="Q106" s="288"/>
      <c r="R106" s="470">
        <f>R7+R10+R13+R16+R19+R22+R34+R37+R41+R42+R88+R91</f>
        <v>62835203</v>
      </c>
      <c r="S106" s="471">
        <f t="shared" si="17"/>
        <v>507602</v>
      </c>
      <c r="T106" s="288"/>
      <c r="U106" s="470">
        <f>U7+U10+U13+U16+U19+U22+U34+U37+U41+U42+U88+U91</f>
        <v>62890468</v>
      </c>
      <c r="V106" s="471">
        <f t="shared" si="23"/>
        <v>55265</v>
      </c>
      <c r="W106" s="288"/>
      <c r="X106" s="40">
        <f>X7+X10+X13+X16+X19+X22+X34+X37+X41+X42+X88+X91</f>
        <v>60064488.499999993</v>
      </c>
      <c r="Y106" s="377">
        <f t="shared" si="36"/>
        <v>0.95590506009823817</v>
      </c>
      <c r="Z106" s="397"/>
    </row>
    <row r="107" spans="1:26" ht="14.4" thickBot="1" x14ac:dyDescent="0.3">
      <c r="C107" s="75" t="s">
        <v>133</v>
      </c>
      <c r="D107" s="180" t="s">
        <v>134</v>
      </c>
      <c r="E107" s="219">
        <v>6694243.2000000002</v>
      </c>
      <c r="F107" s="219">
        <v>6694243</v>
      </c>
      <c r="G107" s="41">
        <f t="shared" si="24"/>
        <v>-0.20000000018626451</v>
      </c>
      <c r="H107" s="289"/>
      <c r="I107" s="219">
        <v>6694243</v>
      </c>
      <c r="J107" s="41">
        <f t="shared" si="25"/>
        <v>0</v>
      </c>
      <c r="K107" s="289"/>
      <c r="L107" s="219">
        <f>SUM(L108:L109)</f>
        <v>6694243</v>
      </c>
      <c r="M107" s="41">
        <f t="shared" si="26"/>
        <v>0</v>
      </c>
      <c r="N107" s="289"/>
      <c r="O107" s="219">
        <f>SUM(O108:O109)</f>
        <v>6694243</v>
      </c>
      <c r="P107" s="41">
        <f t="shared" si="27"/>
        <v>0</v>
      </c>
      <c r="Q107" s="289"/>
      <c r="R107" s="472">
        <f>SUM(R108:R109)</f>
        <v>6694243</v>
      </c>
      <c r="S107" s="473">
        <f t="shared" si="17"/>
        <v>0</v>
      </c>
      <c r="T107" s="289"/>
      <c r="U107" s="472">
        <f>SUM(U108:U109)</f>
        <v>6694243</v>
      </c>
      <c r="V107" s="473">
        <f t="shared" si="23"/>
        <v>0</v>
      </c>
      <c r="W107" s="289"/>
      <c r="X107" s="41">
        <f>SUM(X108:X109)</f>
        <v>6694243</v>
      </c>
      <c r="Y107" s="344">
        <f t="shared" si="36"/>
        <v>1</v>
      </c>
      <c r="Z107" s="41"/>
    </row>
    <row r="108" spans="1:26" ht="14.4" customHeight="1" x14ac:dyDescent="0.25">
      <c r="C108" s="65" t="s">
        <v>135</v>
      </c>
      <c r="D108" s="66" t="s">
        <v>136</v>
      </c>
      <c r="E108" s="179">
        <v>1040957</v>
      </c>
      <c r="F108" s="179">
        <v>1040957</v>
      </c>
      <c r="G108" s="12">
        <f t="shared" si="24"/>
        <v>0</v>
      </c>
      <c r="H108" s="249"/>
      <c r="I108" s="179">
        <v>1040957</v>
      </c>
      <c r="J108" s="12">
        <f t="shared" si="25"/>
        <v>0</v>
      </c>
      <c r="K108" s="249"/>
      <c r="L108" s="179">
        <f>ROUND(I108,0)</f>
        <v>1040957</v>
      </c>
      <c r="M108" s="12">
        <f t="shared" si="26"/>
        <v>0</v>
      </c>
      <c r="N108" s="249"/>
      <c r="O108" s="179">
        <f>ROUND(L108,0)</f>
        <v>1040957</v>
      </c>
      <c r="P108" s="12">
        <f t="shared" si="27"/>
        <v>0</v>
      </c>
      <c r="Q108" s="249"/>
      <c r="R108" s="453">
        <f>ROUND(O108,0)</f>
        <v>1040957</v>
      </c>
      <c r="S108" s="454">
        <f t="shared" si="17"/>
        <v>0</v>
      </c>
      <c r="T108" s="249"/>
      <c r="U108" s="453">
        <f>ROUND(R108,0)</f>
        <v>1040957</v>
      </c>
      <c r="V108" s="454">
        <f t="shared" si="23"/>
        <v>0</v>
      </c>
      <c r="W108" s="249"/>
      <c r="X108" s="188">
        <v>1040957</v>
      </c>
      <c r="Y108" s="340">
        <f t="shared" si="36"/>
        <v>1</v>
      </c>
      <c r="Z108" s="188"/>
    </row>
    <row r="109" spans="1:26" x14ac:dyDescent="0.25">
      <c r="C109" s="65" t="s">
        <v>137</v>
      </c>
      <c r="D109" s="66" t="s">
        <v>138</v>
      </c>
      <c r="E109" s="179">
        <v>5653286</v>
      </c>
      <c r="F109" s="179">
        <v>5653286</v>
      </c>
      <c r="G109" s="12">
        <f t="shared" si="24"/>
        <v>0</v>
      </c>
      <c r="H109" s="253"/>
      <c r="I109" s="179">
        <v>5653286</v>
      </c>
      <c r="J109" s="12">
        <f t="shared" si="25"/>
        <v>0</v>
      </c>
      <c r="K109" s="253"/>
      <c r="L109" s="179">
        <f>ROUND(I109,0)</f>
        <v>5653286</v>
      </c>
      <c r="M109" s="12">
        <f t="shared" si="26"/>
        <v>0</v>
      </c>
      <c r="N109" s="253"/>
      <c r="O109" s="179">
        <f>ROUND(L109,0)</f>
        <v>5653286</v>
      </c>
      <c r="P109" s="12">
        <f t="shared" si="27"/>
        <v>0</v>
      </c>
      <c r="Q109" s="253"/>
      <c r="R109" s="453">
        <f>ROUND(O109,0)</f>
        <v>5653286</v>
      </c>
      <c r="S109" s="454">
        <f t="shared" si="17"/>
        <v>0</v>
      </c>
      <c r="T109" s="253"/>
      <c r="U109" s="453">
        <f>ROUND(R109,0)</f>
        <v>5653286</v>
      </c>
      <c r="V109" s="454">
        <f t="shared" si="23"/>
        <v>0</v>
      </c>
      <c r="W109" s="253"/>
      <c r="X109" s="188">
        <v>5653286</v>
      </c>
      <c r="Y109" s="340">
        <f t="shared" si="36"/>
        <v>1</v>
      </c>
      <c r="Z109" s="188"/>
    </row>
    <row r="110" spans="1:26" x14ac:dyDescent="0.25">
      <c r="C110" s="71" t="s">
        <v>139</v>
      </c>
      <c r="D110" s="172" t="s">
        <v>140</v>
      </c>
      <c r="E110" s="220">
        <v>6608118</v>
      </c>
      <c r="F110" s="220">
        <v>6608118</v>
      </c>
      <c r="G110" s="13">
        <f t="shared" si="24"/>
        <v>0</v>
      </c>
      <c r="H110" s="264"/>
      <c r="I110" s="220">
        <v>6668106</v>
      </c>
      <c r="J110" s="13">
        <f t="shared" si="25"/>
        <v>59988</v>
      </c>
      <c r="K110" s="264"/>
      <c r="L110" s="220">
        <f>SUM(L111:L120)</f>
        <v>6668106</v>
      </c>
      <c r="M110" s="13">
        <f t="shared" si="26"/>
        <v>0</v>
      </c>
      <c r="N110" s="264"/>
      <c r="O110" s="220">
        <f>SUM(O111:O120)</f>
        <v>6668106</v>
      </c>
      <c r="P110" s="13">
        <f t="shared" si="27"/>
        <v>0</v>
      </c>
      <c r="Q110" s="264"/>
      <c r="R110" s="474">
        <f>SUM(R111:R120)</f>
        <v>6668106</v>
      </c>
      <c r="S110" s="14">
        <f t="shared" si="17"/>
        <v>0</v>
      </c>
      <c r="T110" s="264"/>
      <c r="U110" s="474">
        <f>SUM(U111:U120)</f>
        <v>6668106</v>
      </c>
      <c r="V110" s="14">
        <f t="shared" si="23"/>
        <v>0</v>
      </c>
      <c r="W110" s="264"/>
      <c r="X110" s="345">
        <f>SUM(X111:X120)</f>
        <v>1730069.81</v>
      </c>
      <c r="Y110" s="346">
        <f t="shared" si="36"/>
        <v>0.2594544552831044</v>
      </c>
      <c r="Z110" s="345" t="s">
        <v>487</v>
      </c>
    </row>
    <row r="111" spans="1:26" outlineLevel="1" x14ac:dyDescent="0.25">
      <c r="A111" s="56"/>
      <c r="B111" s="56"/>
      <c r="C111" s="104" t="s">
        <v>418</v>
      </c>
      <c r="D111" s="161" t="s">
        <v>711</v>
      </c>
      <c r="E111" s="235">
        <v>85000</v>
      </c>
      <c r="F111" s="406">
        <v>85000</v>
      </c>
      <c r="G111" s="290">
        <f t="shared" si="24"/>
        <v>0</v>
      </c>
      <c r="H111" s="291"/>
      <c r="I111" s="406">
        <v>85000</v>
      </c>
      <c r="J111" s="290">
        <f t="shared" si="25"/>
        <v>0</v>
      </c>
      <c r="K111" s="291"/>
      <c r="L111" s="406">
        <f t="shared" ref="L111:L118" si="37">ROUND(I111,0)</f>
        <v>85000</v>
      </c>
      <c r="M111" s="290">
        <f t="shared" si="26"/>
        <v>0</v>
      </c>
      <c r="N111" s="291"/>
      <c r="O111" s="406">
        <f t="shared" ref="O111:O118" si="38">ROUND(L111,0)</f>
        <v>85000</v>
      </c>
      <c r="P111" s="290">
        <f t="shared" si="27"/>
        <v>0</v>
      </c>
      <c r="Q111" s="291"/>
      <c r="R111" s="475">
        <f t="shared" ref="R111:R118" si="39">ROUND(O111,0)</f>
        <v>85000</v>
      </c>
      <c r="S111" s="476">
        <f t="shared" si="17"/>
        <v>0</v>
      </c>
      <c r="T111" s="291"/>
      <c r="U111" s="475">
        <f t="shared" ref="U111:U118" si="40">ROUND(R111,0)</f>
        <v>85000</v>
      </c>
      <c r="V111" s="476">
        <f t="shared" si="23"/>
        <v>0</v>
      </c>
      <c r="W111" s="291"/>
      <c r="X111" s="90">
        <f>ROUND(H111,0)</f>
        <v>0</v>
      </c>
      <c r="Y111" s="347">
        <f t="shared" si="36"/>
        <v>0</v>
      </c>
      <c r="Z111" s="398"/>
    </row>
    <row r="112" spans="1:26" ht="30" customHeight="1" x14ac:dyDescent="0.25">
      <c r="A112" s="56" t="s">
        <v>537</v>
      </c>
      <c r="B112" s="56"/>
      <c r="C112" s="104" t="s">
        <v>419</v>
      </c>
      <c r="D112" s="161" t="s">
        <v>536</v>
      </c>
      <c r="E112" s="235">
        <v>3100179</v>
      </c>
      <c r="F112" s="406">
        <v>3100179</v>
      </c>
      <c r="G112" s="290">
        <f t="shared" si="24"/>
        <v>0</v>
      </c>
      <c r="H112" s="291"/>
      <c r="I112" s="406">
        <v>3100179</v>
      </c>
      <c r="J112" s="290">
        <f t="shared" si="25"/>
        <v>0</v>
      </c>
      <c r="K112" s="291"/>
      <c r="L112" s="406">
        <f t="shared" si="37"/>
        <v>3100179</v>
      </c>
      <c r="M112" s="290">
        <f t="shared" si="26"/>
        <v>0</v>
      </c>
      <c r="N112" s="291"/>
      <c r="O112" s="406">
        <f t="shared" si="38"/>
        <v>3100179</v>
      </c>
      <c r="P112" s="290">
        <f t="shared" si="27"/>
        <v>0</v>
      </c>
      <c r="Q112" s="291"/>
      <c r="R112" s="475">
        <f t="shared" si="39"/>
        <v>3100179</v>
      </c>
      <c r="S112" s="476">
        <f t="shared" si="17"/>
        <v>0</v>
      </c>
      <c r="T112" s="291"/>
      <c r="U112" s="475">
        <f t="shared" si="40"/>
        <v>3100179</v>
      </c>
      <c r="V112" s="476">
        <f t="shared" si="23"/>
        <v>0</v>
      </c>
      <c r="W112" s="291"/>
      <c r="X112" s="188">
        <v>0</v>
      </c>
      <c r="Y112" s="347">
        <f t="shared" si="36"/>
        <v>0</v>
      </c>
      <c r="Z112" s="398"/>
    </row>
    <row r="113" spans="1:26" x14ac:dyDescent="0.25">
      <c r="A113" s="56" t="s">
        <v>385</v>
      </c>
      <c r="B113" s="56" t="s">
        <v>389</v>
      </c>
      <c r="C113" s="104" t="s">
        <v>736</v>
      </c>
      <c r="D113" s="206" t="s">
        <v>567</v>
      </c>
      <c r="E113" s="235">
        <v>85000</v>
      </c>
      <c r="F113" s="410">
        <v>85000</v>
      </c>
      <c r="G113" s="292">
        <f t="shared" si="24"/>
        <v>0</v>
      </c>
      <c r="H113" s="293"/>
      <c r="I113" s="410">
        <v>85000</v>
      </c>
      <c r="J113" s="292">
        <f t="shared" si="25"/>
        <v>0</v>
      </c>
      <c r="K113" s="293"/>
      <c r="L113" s="410">
        <f t="shared" si="37"/>
        <v>85000</v>
      </c>
      <c r="M113" s="292">
        <f t="shared" si="26"/>
        <v>0</v>
      </c>
      <c r="N113" s="293"/>
      <c r="O113" s="410">
        <f t="shared" si="38"/>
        <v>85000</v>
      </c>
      <c r="P113" s="292">
        <f t="shared" si="27"/>
        <v>0</v>
      </c>
      <c r="Q113" s="293"/>
      <c r="R113" s="477">
        <f t="shared" si="39"/>
        <v>85000</v>
      </c>
      <c r="S113" s="478">
        <f t="shared" si="17"/>
        <v>0</v>
      </c>
      <c r="T113" s="293"/>
      <c r="U113" s="477">
        <f t="shared" si="40"/>
        <v>85000</v>
      </c>
      <c r="V113" s="478">
        <f t="shared" si="23"/>
        <v>0</v>
      </c>
      <c r="W113" s="293"/>
      <c r="X113" s="188">
        <v>0</v>
      </c>
      <c r="Y113" s="348">
        <f t="shared" si="36"/>
        <v>0</v>
      </c>
      <c r="Z113" s="399"/>
    </row>
    <row r="114" spans="1:26" ht="32.4" customHeight="1" x14ac:dyDescent="0.25">
      <c r="A114" s="56"/>
      <c r="B114" s="56"/>
      <c r="C114" s="104" t="s">
        <v>420</v>
      </c>
      <c r="D114" s="206" t="s">
        <v>568</v>
      </c>
      <c r="E114" s="235">
        <v>255000</v>
      </c>
      <c r="F114" s="406">
        <v>255000</v>
      </c>
      <c r="G114" s="290">
        <f t="shared" si="24"/>
        <v>0</v>
      </c>
      <c r="H114" s="294"/>
      <c r="I114" s="406">
        <v>255000</v>
      </c>
      <c r="J114" s="290">
        <f t="shared" si="25"/>
        <v>0</v>
      </c>
      <c r="K114" s="294"/>
      <c r="L114" s="406">
        <f t="shared" si="37"/>
        <v>255000</v>
      </c>
      <c r="M114" s="290">
        <f t="shared" si="26"/>
        <v>0</v>
      </c>
      <c r="N114" s="294"/>
      <c r="O114" s="406">
        <f t="shared" si="38"/>
        <v>255000</v>
      </c>
      <c r="P114" s="290">
        <f t="shared" si="27"/>
        <v>0</v>
      </c>
      <c r="Q114" s="294"/>
      <c r="R114" s="475">
        <f t="shared" si="39"/>
        <v>255000</v>
      </c>
      <c r="S114" s="476">
        <f t="shared" si="17"/>
        <v>0</v>
      </c>
      <c r="T114" s="294"/>
      <c r="U114" s="475">
        <f t="shared" si="40"/>
        <v>255000</v>
      </c>
      <c r="V114" s="476">
        <f t="shared" si="23"/>
        <v>0</v>
      </c>
      <c r="W114" s="294"/>
      <c r="X114" s="188">
        <v>90657</v>
      </c>
      <c r="Y114" s="348">
        <f t="shared" si="36"/>
        <v>0.35551764705882355</v>
      </c>
      <c r="Z114" s="399" t="s">
        <v>775</v>
      </c>
    </row>
    <row r="115" spans="1:26" ht="67.95" customHeight="1" x14ac:dyDescent="0.25">
      <c r="A115" s="56"/>
      <c r="B115" s="56"/>
      <c r="C115" s="104" t="s">
        <v>421</v>
      </c>
      <c r="D115" s="162" t="s">
        <v>513</v>
      </c>
      <c r="E115" s="239">
        <v>474147</v>
      </c>
      <c r="F115" s="409">
        <v>474147</v>
      </c>
      <c r="G115" s="295">
        <f t="shared" si="24"/>
        <v>0</v>
      </c>
      <c r="H115" s="279"/>
      <c r="I115" s="409">
        <v>474147</v>
      </c>
      <c r="J115" s="295">
        <f t="shared" si="25"/>
        <v>0</v>
      </c>
      <c r="K115" s="279"/>
      <c r="L115" s="409">
        <f t="shared" si="37"/>
        <v>474147</v>
      </c>
      <c r="M115" s="295">
        <f t="shared" si="26"/>
        <v>0</v>
      </c>
      <c r="N115" s="418"/>
      <c r="O115" s="409">
        <f t="shared" si="38"/>
        <v>474147</v>
      </c>
      <c r="P115" s="295">
        <f t="shared" si="27"/>
        <v>0</v>
      </c>
      <c r="Q115" s="418"/>
      <c r="R115" s="479">
        <f t="shared" si="39"/>
        <v>474147</v>
      </c>
      <c r="S115" s="480">
        <f t="shared" si="17"/>
        <v>0</v>
      </c>
      <c r="T115" s="418"/>
      <c r="U115" s="479">
        <f t="shared" si="40"/>
        <v>474147</v>
      </c>
      <c r="V115" s="480">
        <f t="shared" si="23"/>
        <v>0</v>
      </c>
      <c r="W115" s="418"/>
      <c r="X115" s="188">
        <f>70469+50538+50720+75873+43096+56460+70790+43150+13051</f>
        <v>474147</v>
      </c>
      <c r="Y115" s="348">
        <f t="shared" si="36"/>
        <v>1</v>
      </c>
      <c r="Z115" s="114"/>
    </row>
    <row r="116" spans="1:26" ht="16.95" customHeight="1" x14ac:dyDescent="0.25">
      <c r="B116" s="56"/>
      <c r="C116" s="104" t="s">
        <v>422</v>
      </c>
      <c r="D116" s="206" t="s">
        <v>672</v>
      </c>
      <c r="E116" s="235">
        <v>510000</v>
      </c>
      <c r="F116" s="408">
        <v>510000</v>
      </c>
      <c r="G116" s="296">
        <f t="shared" si="24"/>
        <v>0</v>
      </c>
      <c r="H116" s="279"/>
      <c r="I116" s="408">
        <v>510000</v>
      </c>
      <c r="J116" s="296">
        <f t="shared" si="25"/>
        <v>0</v>
      </c>
      <c r="K116" s="279"/>
      <c r="L116" s="408">
        <f t="shared" si="37"/>
        <v>510000</v>
      </c>
      <c r="M116" s="296">
        <f t="shared" si="26"/>
        <v>0</v>
      </c>
      <c r="N116" s="279"/>
      <c r="O116" s="408">
        <f t="shared" si="38"/>
        <v>510000</v>
      </c>
      <c r="P116" s="296">
        <f t="shared" si="27"/>
        <v>0</v>
      </c>
      <c r="Q116" s="279"/>
      <c r="R116" s="481">
        <f t="shared" si="39"/>
        <v>510000</v>
      </c>
      <c r="S116" s="482">
        <f t="shared" si="17"/>
        <v>0</v>
      </c>
      <c r="T116" s="279"/>
      <c r="U116" s="481">
        <f t="shared" si="40"/>
        <v>510000</v>
      </c>
      <c r="V116" s="482">
        <f t="shared" si="23"/>
        <v>0</v>
      </c>
      <c r="W116" s="279"/>
      <c r="X116" s="188">
        <f>32080+1200</f>
        <v>33280</v>
      </c>
      <c r="Y116" s="348">
        <f t="shared" si="36"/>
        <v>6.5254901960784317E-2</v>
      </c>
      <c r="Z116" s="399" t="s">
        <v>775</v>
      </c>
    </row>
    <row r="117" spans="1:26" ht="29.25" customHeight="1" x14ac:dyDescent="0.25">
      <c r="B117" s="56" t="s">
        <v>656</v>
      </c>
      <c r="C117" s="104" t="s">
        <v>737</v>
      </c>
      <c r="D117" s="162" t="s">
        <v>657</v>
      </c>
      <c r="E117" s="239">
        <v>295238</v>
      </c>
      <c r="F117" s="409">
        <v>295238</v>
      </c>
      <c r="G117" s="112">
        <f t="shared" si="24"/>
        <v>0</v>
      </c>
      <c r="H117" s="297"/>
      <c r="I117" s="409">
        <v>295238</v>
      </c>
      <c r="J117" s="112">
        <f t="shared" si="25"/>
        <v>0</v>
      </c>
      <c r="K117" s="297"/>
      <c r="L117" s="409">
        <f t="shared" si="37"/>
        <v>295238</v>
      </c>
      <c r="M117" s="112">
        <f t="shared" si="26"/>
        <v>0</v>
      </c>
      <c r="N117" s="297"/>
      <c r="O117" s="409">
        <f t="shared" si="38"/>
        <v>295238</v>
      </c>
      <c r="P117" s="112">
        <f t="shared" si="27"/>
        <v>0</v>
      </c>
      <c r="Q117" s="297"/>
      <c r="R117" s="479">
        <f t="shared" si="39"/>
        <v>295238</v>
      </c>
      <c r="S117" s="483">
        <f t="shared" si="17"/>
        <v>0</v>
      </c>
      <c r="T117" s="297"/>
      <c r="U117" s="479">
        <f t="shared" si="40"/>
        <v>295238</v>
      </c>
      <c r="V117" s="483">
        <f t="shared" si="23"/>
        <v>0</v>
      </c>
      <c r="W117" s="297"/>
      <c r="X117" s="188">
        <v>0</v>
      </c>
      <c r="Y117" s="348">
        <f t="shared" si="36"/>
        <v>0</v>
      </c>
      <c r="Z117" s="114"/>
    </row>
    <row r="118" spans="1:26" ht="18.600000000000001" customHeight="1" outlineLevel="1" x14ac:dyDescent="0.25">
      <c r="B118" s="56" t="s">
        <v>557</v>
      </c>
      <c r="C118" s="109" t="s">
        <v>738</v>
      </c>
      <c r="D118" s="162" t="s">
        <v>516</v>
      </c>
      <c r="E118" s="239">
        <v>70622</v>
      </c>
      <c r="F118" s="207">
        <v>70622</v>
      </c>
      <c r="G118" s="298">
        <f t="shared" si="24"/>
        <v>0</v>
      </c>
      <c r="H118" s="279"/>
      <c r="I118" s="207">
        <v>70622</v>
      </c>
      <c r="J118" s="298">
        <f t="shared" si="25"/>
        <v>0</v>
      </c>
      <c r="K118" s="279"/>
      <c r="L118" s="207">
        <f t="shared" si="37"/>
        <v>70622</v>
      </c>
      <c r="M118" s="298">
        <f t="shared" si="26"/>
        <v>0</v>
      </c>
      <c r="N118" s="279"/>
      <c r="O118" s="207">
        <f t="shared" si="38"/>
        <v>70622</v>
      </c>
      <c r="P118" s="298">
        <f t="shared" si="27"/>
        <v>0</v>
      </c>
      <c r="Q118" s="279"/>
      <c r="R118" s="484">
        <f t="shared" si="39"/>
        <v>70622</v>
      </c>
      <c r="S118" s="485">
        <f t="shared" si="17"/>
        <v>0</v>
      </c>
      <c r="T118" s="279"/>
      <c r="U118" s="484">
        <f t="shared" si="40"/>
        <v>70622</v>
      </c>
      <c r="V118" s="485">
        <f t="shared" si="23"/>
        <v>0</v>
      </c>
      <c r="W118" s="279"/>
      <c r="X118" s="12">
        <f>ROUND(H118,0)</f>
        <v>0</v>
      </c>
      <c r="Y118" s="348">
        <f t="shared" si="36"/>
        <v>0</v>
      </c>
      <c r="Z118" s="399"/>
    </row>
    <row r="119" spans="1:26" ht="27.6" customHeight="1" outlineLevel="1" x14ac:dyDescent="0.25">
      <c r="B119" s="56" t="s">
        <v>410</v>
      </c>
      <c r="C119" s="113" t="s">
        <v>739</v>
      </c>
      <c r="D119" s="162" t="s">
        <v>411</v>
      </c>
      <c r="E119" s="239">
        <v>123536</v>
      </c>
      <c r="F119" s="407">
        <v>123536</v>
      </c>
      <c r="G119" s="296">
        <f t="shared" si="24"/>
        <v>0</v>
      </c>
      <c r="H119" s="279"/>
      <c r="I119" s="407">
        <v>183524</v>
      </c>
      <c r="J119" s="296">
        <f t="shared" si="25"/>
        <v>59988</v>
      </c>
      <c r="K119" s="418" t="s">
        <v>726</v>
      </c>
      <c r="L119" s="407">
        <f>ROUND(I119,0)</f>
        <v>183524</v>
      </c>
      <c r="M119" s="296">
        <f t="shared" si="26"/>
        <v>0</v>
      </c>
      <c r="N119" s="418"/>
      <c r="O119" s="407">
        <f>ROUND(L119,0)</f>
        <v>183524</v>
      </c>
      <c r="P119" s="296">
        <f t="shared" si="27"/>
        <v>0</v>
      </c>
      <c r="Q119" s="418"/>
      <c r="R119" s="486">
        <f>ROUND(O119,0)</f>
        <v>183524</v>
      </c>
      <c r="S119" s="482">
        <f t="shared" si="17"/>
        <v>0</v>
      </c>
      <c r="T119" s="418"/>
      <c r="U119" s="486">
        <f>ROUND(R119,0)</f>
        <v>183524</v>
      </c>
      <c r="V119" s="482">
        <f t="shared" si="23"/>
        <v>0</v>
      </c>
      <c r="W119" s="418"/>
      <c r="X119" s="12">
        <f>61789.81+105848+47358</f>
        <v>214995.81</v>
      </c>
      <c r="Y119" s="348">
        <f t="shared" si="36"/>
        <v>1.1714860726662453</v>
      </c>
      <c r="Z119" s="399"/>
    </row>
    <row r="120" spans="1:26" ht="26.4" customHeight="1" outlineLevel="1" x14ac:dyDescent="0.25">
      <c r="B120" s="56" t="s">
        <v>350</v>
      </c>
      <c r="C120" s="113" t="s">
        <v>443</v>
      </c>
      <c r="D120" s="196" t="s">
        <v>334</v>
      </c>
      <c r="E120" s="239">
        <v>1609396</v>
      </c>
      <c r="F120" s="407">
        <v>1609396</v>
      </c>
      <c r="G120" s="188">
        <f t="shared" si="24"/>
        <v>0</v>
      </c>
      <c r="H120" s="297"/>
      <c r="I120" s="407">
        <v>1609396</v>
      </c>
      <c r="J120" s="188">
        <f t="shared" si="25"/>
        <v>0</v>
      </c>
      <c r="K120" s="297"/>
      <c r="L120" s="407">
        <f>ROUND(I120,0)</f>
        <v>1609396</v>
      </c>
      <c r="M120" s="188">
        <f t="shared" si="26"/>
        <v>0</v>
      </c>
      <c r="N120" s="297"/>
      <c r="O120" s="407">
        <f>ROUND(L120,0)</f>
        <v>1609396</v>
      </c>
      <c r="P120" s="188">
        <f t="shared" si="27"/>
        <v>0</v>
      </c>
      <c r="Q120" s="297"/>
      <c r="R120" s="486">
        <f>ROUND(O120,0)</f>
        <v>1609396</v>
      </c>
      <c r="S120" s="487">
        <f t="shared" si="17"/>
        <v>0</v>
      </c>
      <c r="T120" s="297"/>
      <c r="U120" s="486">
        <f>ROUND(R120,0)</f>
        <v>1609396</v>
      </c>
      <c r="V120" s="487">
        <f t="shared" si="23"/>
        <v>0</v>
      </c>
      <c r="W120" s="297"/>
      <c r="X120" s="12">
        <f>108986+119058+13250+223396+172850+279450</f>
        <v>916990</v>
      </c>
      <c r="Y120" s="348">
        <f t="shared" si="36"/>
        <v>0.56977275947001238</v>
      </c>
      <c r="Z120" s="399"/>
    </row>
    <row r="121" spans="1:26" ht="14.4" thickBot="1" x14ac:dyDescent="0.3">
      <c r="C121" s="54"/>
      <c r="D121" s="178" t="s">
        <v>141</v>
      </c>
      <c r="E121" s="219">
        <v>75096763.200000003</v>
      </c>
      <c r="F121" s="219">
        <v>75151951</v>
      </c>
      <c r="G121" s="41">
        <f t="shared" si="24"/>
        <v>55187.79999999702</v>
      </c>
      <c r="H121" s="299"/>
      <c r="I121" s="219">
        <v>75349522</v>
      </c>
      <c r="J121" s="41">
        <f t="shared" si="25"/>
        <v>197571</v>
      </c>
      <c r="K121" s="299"/>
      <c r="L121" s="219">
        <f>L106+L107+L110</f>
        <v>75501941</v>
      </c>
      <c r="M121" s="41">
        <f t="shared" si="26"/>
        <v>152419</v>
      </c>
      <c r="N121" s="299"/>
      <c r="O121" s="219">
        <f>O106+O107+O110</f>
        <v>75689950</v>
      </c>
      <c r="P121" s="41">
        <f t="shared" si="27"/>
        <v>188009</v>
      </c>
      <c r="Q121" s="299"/>
      <c r="R121" s="472">
        <f>R106+R107+R110</f>
        <v>76197552</v>
      </c>
      <c r="S121" s="473">
        <f t="shared" si="17"/>
        <v>507602</v>
      </c>
      <c r="T121" s="299"/>
      <c r="U121" s="472">
        <f>U106+U107+U110</f>
        <v>76252817</v>
      </c>
      <c r="V121" s="473">
        <f t="shared" si="23"/>
        <v>55265</v>
      </c>
      <c r="W121" s="299"/>
      <c r="X121" s="41">
        <f>X106+X107+X110</f>
        <v>68488801.309999987</v>
      </c>
      <c r="Y121" s="349">
        <f t="shared" si="36"/>
        <v>0.89883204266194783</v>
      </c>
      <c r="Z121" s="41"/>
    </row>
    <row r="122" spans="1:26" x14ac:dyDescent="0.25">
      <c r="X122" s="425"/>
    </row>
    <row r="123" spans="1:26" x14ac:dyDescent="0.25">
      <c r="G123" s="39"/>
      <c r="J123" s="39"/>
      <c r="M123" s="39"/>
      <c r="P123" s="39"/>
      <c r="S123" s="444"/>
      <c r="V123" s="444"/>
      <c r="X123" s="426"/>
      <c r="Z123" s="39"/>
    </row>
    <row r="124" spans="1:26" ht="20.399999999999999" x14ac:dyDescent="0.35">
      <c r="C124" s="573" t="s">
        <v>142</v>
      </c>
      <c r="D124" s="573"/>
      <c r="G124" s="39"/>
      <c r="J124" s="39"/>
      <c r="M124" s="39"/>
      <c r="P124" s="39"/>
      <c r="S124" s="444"/>
      <c r="V124" s="444"/>
      <c r="X124" s="426"/>
      <c r="Z124" s="39"/>
    </row>
    <row r="125" spans="1:26" ht="15" thickBot="1" x14ac:dyDescent="0.35">
      <c r="C125" s="574"/>
      <c r="D125" s="574"/>
      <c r="G125" s="46"/>
      <c r="J125" s="46"/>
      <c r="M125" s="46"/>
      <c r="P125" s="46"/>
      <c r="S125" s="488"/>
      <c r="V125" s="488"/>
      <c r="X125" s="427"/>
      <c r="Z125" s="46"/>
    </row>
    <row r="126" spans="1:26" ht="57" customHeight="1" thickBot="1" x14ac:dyDescent="0.3">
      <c r="C126" s="7" t="s">
        <v>1</v>
      </c>
      <c r="D126" s="8" t="s">
        <v>2</v>
      </c>
      <c r="E126" s="210" t="s">
        <v>528</v>
      </c>
      <c r="F126" s="210" t="s">
        <v>687</v>
      </c>
      <c r="G126" s="44" t="s">
        <v>452</v>
      </c>
      <c r="H126" s="261" t="s">
        <v>3</v>
      </c>
      <c r="I126" s="210" t="s">
        <v>712</v>
      </c>
      <c r="J126" s="44" t="str">
        <f>J5</f>
        <v>Izmaiņa 29.05.2025. - 27.03.2025.</v>
      </c>
      <c r="K126" s="261" t="s">
        <v>3</v>
      </c>
      <c r="L126" s="210" t="str">
        <f>L5</f>
        <v>26.06.2025. grozījumi</v>
      </c>
      <c r="M126" s="44" t="str">
        <f>M5</f>
        <v>Izmaiņa 26.06.2025. - 29.05.2025.</v>
      </c>
      <c r="N126" s="261" t="s">
        <v>3</v>
      </c>
      <c r="O126" s="210" t="str">
        <f>O5</f>
        <v>28.08.2025. grozījumi</v>
      </c>
      <c r="P126" s="44" t="str">
        <f>P5</f>
        <v>Izmaiņa 28.08.2025. - 26.06.2025.</v>
      </c>
      <c r="Q126" s="261" t="s">
        <v>3</v>
      </c>
      <c r="R126" s="448" t="str">
        <f>R5</f>
        <v>23.10.2025. grozījumi</v>
      </c>
      <c r="S126" s="2" t="str">
        <f>S5</f>
        <v>Izmaiņa 23.10.2025. - 28.08.2025.</v>
      </c>
      <c r="T126" s="261" t="s">
        <v>3</v>
      </c>
      <c r="U126" s="448" t="str">
        <f>U5</f>
        <v>22.12.2025. grozījumi</v>
      </c>
      <c r="V126" s="2" t="str">
        <f>V5</f>
        <v>Izmaiņa 22.12.2025. - 23.10.2025.</v>
      </c>
      <c r="W126" s="261" t="s">
        <v>3</v>
      </c>
      <c r="X126" s="44" t="str">
        <f>X5</f>
        <v>31.12.2025. fakts</v>
      </c>
      <c r="Y126" s="335" t="str">
        <f>Y5</f>
        <v>31.12.2025. fakts (%) pret 2025. plānu</v>
      </c>
      <c r="Z126" s="261" t="s">
        <v>4</v>
      </c>
    </row>
    <row r="127" spans="1:26" x14ac:dyDescent="0.25">
      <c r="C127" s="76" t="s">
        <v>8</v>
      </c>
      <c r="D127" s="170" t="s">
        <v>143</v>
      </c>
      <c r="E127" s="221">
        <v>12264534</v>
      </c>
      <c r="F127" s="221">
        <v>12264534</v>
      </c>
      <c r="G127" s="24">
        <f t="shared" ref="G127:G190" si="41">F127-E127</f>
        <v>0</v>
      </c>
      <c r="H127" s="300"/>
      <c r="I127" s="221">
        <v>12263884</v>
      </c>
      <c r="J127" s="24">
        <f t="shared" ref="J127:J190" si="42">I127-F127</f>
        <v>-650</v>
      </c>
      <c r="K127" s="300"/>
      <c r="L127" s="221">
        <f>SUM(L128:L136)</f>
        <v>12213884</v>
      </c>
      <c r="M127" s="24">
        <f t="shared" ref="M127:M190" si="43">L127-I127</f>
        <v>-50000</v>
      </c>
      <c r="N127" s="300"/>
      <c r="O127" s="221">
        <f>SUM(O128:O136)</f>
        <v>12225212</v>
      </c>
      <c r="P127" s="24">
        <f t="shared" ref="P127:P190" si="44">O127-L127</f>
        <v>11328</v>
      </c>
      <c r="Q127" s="300"/>
      <c r="R127" s="489">
        <f>SUM(R128:R136)</f>
        <v>12225212</v>
      </c>
      <c r="S127" s="490">
        <f t="shared" ref="S127:S173" si="45">R127-O127</f>
        <v>0</v>
      </c>
      <c r="T127" s="300"/>
      <c r="U127" s="489">
        <f>SUM(U128:U136)</f>
        <v>12225212</v>
      </c>
      <c r="V127" s="490">
        <f t="shared" ref="V127:V170" si="46">U127-R127</f>
        <v>0</v>
      </c>
      <c r="W127" s="300"/>
      <c r="X127" s="24">
        <f>SUM(X128:X136)</f>
        <v>11407181.41</v>
      </c>
      <c r="Y127" s="378">
        <f t="shared" ref="Y127:Y151" si="47">X127/R127</f>
        <v>0.93308659269058081</v>
      </c>
      <c r="Z127" s="24"/>
    </row>
    <row r="128" spans="1:26" ht="31.5" customHeight="1" x14ac:dyDescent="0.25">
      <c r="B128" s="56" t="s">
        <v>206</v>
      </c>
      <c r="C128" s="77" t="s">
        <v>11</v>
      </c>
      <c r="D128" s="146" t="s">
        <v>144</v>
      </c>
      <c r="E128" s="37">
        <v>2120144</v>
      </c>
      <c r="F128" s="37">
        <v>2120144</v>
      </c>
      <c r="G128" s="19">
        <f t="shared" si="41"/>
        <v>0</v>
      </c>
      <c r="H128" s="277"/>
      <c r="I128" s="37">
        <v>2119494</v>
      </c>
      <c r="J128" s="19">
        <f t="shared" si="42"/>
        <v>-650</v>
      </c>
      <c r="K128" s="277" t="s">
        <v>724</v>
      </c>
      <c r="L128" s="37">
        <f>ROUND(I128,0)</f>
        <v>2119494</v>
      </c>
      <c r="M128" s="19">
        <f t="shared" si="43"/>
        <v>0</v>
      </c>
      <c r="N128" s="277"/>
      <c r="O128" s="37">
        <f t="shared" ref="O128:O135" si="48">ROUND(L128,0)</f>
        <v>2119494</v>
      </c>
      <c r="P128" s="19">
        <f t="shared" si="44"/>
        <v>0</v>
      </c>
      <c r="Q128" s="277"/>
      <c r="R128" s="467">
        <f t="shared" ref="R128:R135" si="49">ROUND(O128,0)</f>
        <v>2119494</v>
      </c>
      <c r="S128" s="88">
        <f t="shared" si="45"/>
        <v>0</v>
      </c>
      <c r="T128" s="277"/>
      <c r="U128" s="467">
        <f t="shared" ref="U128:U135" si="50">ROUND(R128,0)</f>
        <v>2119494</v>
      </c>
      <c r="V128" s="88">
        <f t="shared" si="46"/>
        <v>0</v>
      </c>
      <c r="W128" s="277"/>
      <c r="X128" s="192">
        <f>10556692.63-X134-X135</f>
        <v>1966325.1600000011</v>
      </c>
      <c r="Y128" s="353">
        <f t="shared" si="47"/>
        <v>0.92773329860806453</v>
      </c>
      <c r="Z128" s="19"/>
    </row>
    <row r="129" spans="2:26" x14ac:dyDescent="0.25">
      <c r="B129" s="56" t="s">
        <v>207</v>
      </c>
      <c r="C129" s="77" t="s">
        <v>13</v>
      </c>
      <c r="D129" s="146" t="s">
        <v>145</v>
      </c>
      <c r="E129" s="37">
        <v>377185</v>
      </c>
      <c r="F129" s="37">
        <v>377185</v>
      </c>
      <c r="G129" s="19">
        <f t="shared" si="41"/>
        <v>0</v>
      </c>
      <c r="H129" s="250"/>
      <c r="I129" s="37">
        <v>377185</v>
      </c>
      <c r="J129" s="19">
        <f t="shared" si="42"/>
        <v>0</v>
      </c>
      <c r="K129" s="250"/>
      <c r="L129" s="37">
        <f t="shared" ref="L129:L136" si="51">ROUND(I129,0)</f>
        <v>377185</v>
      </c>
      <c r="M129" s="19">
        <f t="shared" si="43"/>
        <v>0</v>
      </c>
      <c r="N129" s="250"/>
      <c r="O129" s="37">
        <f t="shared" si="48"/>
        <v>377185</v>
      </c>
      <c r="P129" s="19">
        <f t="shared" si="44"/>
        <v>0</v>
      </c>
      <c r="Q129" s="250"/>
      <c r="R129" s="467">
        <f t="shared" si="49"/>
        <v>377185</v>
      </c>
      <c r="S129" s="88">
        <f t="shared" si="45"/>
        <v>0</v>
      </c>
      <c r="T129" s="250"/>
      <c r="U129" s="467">
        <f t="shared" si="50"/>
        <v>377185</v>
      </c>
      <c r="V129" s="88">
        <f t="shared" si="46"/>
        <v>0</v>
      </c>
      <c r="W129" s="250"/>
      <c r="X129" s="192">
        <v>283532.09000000003</v>
      </c>
      <c r="Y129" s="353">
        <f t="shared" si="47"/>
        <v>0.75170563516576749</v>
      </c>
      <c r="Z129" s="19"/>
    </row>
    <row r="130" spans="2:26" ht="13.2" customHeight="1" x14ac:dyDescent="0.25">
      <c r="B130" s="56" t="s">
        <v>209</v>
      </c>
      <c r="C130" s="77" t="s">
        <v>146</v>
      </c>
      <c r="D130" s="146" t="s">
        <v>147</v>
      </c>
      <c r="E130" s="37">
        <v>62822</v>
      </c>
      <c r="F130" s="37">
        <v>62822</v>
      </c>
      <c r="G130" s="19">
        <f t="shared" si="41"/>
        <v>0</v>
      </c>
      <c r="H130" s="277"/>
      <c r="I130" s="37">
        <v>62822</v>
      </c>
      <c r="J130" s="19">
        <f t="shared" si="42"/>
        <v>0</v>
      </c>
      <c r="K130" s="277"/>
      <c r="L130" s="37">
        <f t="shared" si="51"/>
        <v>62822</v>
      </c>
      <c r="M130" s="19">
        <f t="shared" si="43"/>
        <v>0</v>
      </c>
      <c r="N130" s="277"/>
      <c r="O130" s="37">
        <f t="shared" si="48"/>
        <v>62822</v>
      </c>
      <c r="P130" s="19">
        <f t="shared" si="44"/>
        <v>0</v>
      </c>
      <c r="Q130" s="277"/>
      <c r="R130" s="467">
        <f t="shared" si="49"/>
        <v>62822</v>
      </c>
      <c r="S130" s="88">
        <f t="shared" si="45"/>
        <v>0</v>
      </c>
      <c r="T130" s="277"/>
      <c r="U130" s="467">
        <f t="shared" si="50"/>
        <v>62822</v>
      </c>
      <c r="V130" s="88">
        <f t="shared" si="46"/>
        <v>0</v>
      </c>
      <c r="W130" s="277"/>
      <c r="X130" s="192">
        <v>38028.400000000001</v>
      </c>
      <c r="Y130" s="353">
        <f t="shared" si="47"/>
        <v>0.60533571041991663</v>
      </c>
      <c r="Z130" s="19"/>
    </row>
    <row r="131" spans="2:26" ht="14.4" customHeight="1" x14ac:dyDescent="0.25">
      <c r="B131" s="56" t="s">
        <v>210</v>
      </c>
      <c r="C131" s="77" t="s">
        <v>148</v>
      </c>
      <c r="D131" s="146" t="s">
        <v>149</v>
      </c>
      <c r="E131" s="37">
        <v>45177</v>
      </c>
      <c r="F131" s="37">
        <v>45177</v>
      </c>
      <c r="G131" s="19">
        <f t="shared" si="41"/>
        <v>0</v>
      </c>
      <c r="H131" s="277"/>
      <c r="I131" s="37">
        <v>45177</v>
      </c>
      <c r="J131" s="19">
        <f t="shared" si="42"/>
        <v>0</v>
      </c>
      <c r="K131" s="277"/>
      <c r="L131" s="37">
        <f t="shared" si="51"/>
        <v>45177</v>
      </c>
      <c r="M131" s="19">
        <f t="shared" si="43"/>
        <v>0</v>
      </c>
      <c r="N131" s="277"/>
      <c r="O131" s="37">
        <f t="shared" si="48"/>
        <v>45177</v>
      </c>
      <c r="P131" s="19">
        <f t="shared" si="44"/>
        <v>0</v>
      </c>
      <c r="Q131" s="277"/>
      <c r="R131" s="467">
        <f t="shared" si="49"/>
        <v>45177</v>
      </c>
      <c r="S131" s="88">
        <f t="shared" si="45"/>
        <v>0</v>
      </c>
      <c r="T131" s="277"/>
      <c r="U131" s="467">
        <f t="shared" si="50"/>
        <v>45177</v>
      </c>
      <c r="V131" s="88">
        <f t="shared" si="46"/>
        <v>0</v>
      </c>
      <c r="W131" s="277"/>
      <c r="X131" s="192">
        <v>24348.13</v>
      </c>
      <c r="Y131" s="353">
        <f t="shared" si="47"/>
        <v>0.53894968678752464</v>
      </c>
      <c r="Z131" s="19"/>
    </row>
    <row r="132" spans="2:26" ht="15.6" customHeight="1" x14ac:dyDescent="0.25">
      <c r="B132" s="56" t="s">
        <v>208</v>
      </c>
      <c r="C132" s="77" t="s">
        <v>150</v>
      </c>
      <c r="D132" s="146" t="s">
        <v>151</v>
      </c>
      <c r="E132" s="37">
        <v>88097</v>
      </c>
      <c r="F132" s="37">
        <v>88097</v>
      </c>
      <c r="G132" s="19">
        <f t="shared" si="41"/>
        <v>0</v>
      </c>
      <c r="H132" s="277"/>
      <c r="I132" s="37">
        <v>88097</v>
      </c>
      <c r="J132" s="19">
        <f t="shared" si="42"/>
        <v>0</v>
      </c>
      <c r="K132" s="277"/>
      <c r="L132" s="37">
        <f t="shared" si="51"/>
        <v>88097</v>
      </c>
      <c r="M132" s="19">
        <f t="shared" si="43"/>
        <v>0</v>
      </c>
      <c r="N132" s="277"/>
      <c r="O132" s="37">
        <f t="shared" si="48"/>
        <v>88097</v>
      </c>
      <c r="P132" s="19">
        <f t="shared" si="44"/>
        <v>0</v>
      </c>
      <c r="Q132" s="277"/>
      <c r="R132" s="467">
        <f t="shared" si="49"/>
        <v>88097</v>
      </c>
      <c r="S132" s="88">
        <f t="shared" si="45"/>
        <v>0</v>
      </c>
      <c r="T132" s="277"/>
      <c r="U132" s="467">
        <f t="shared" si="50"/>
        <v>88097</v>
      </c>
      <c r="V132" s="88">
        <f t="shared" si="46"/>
        <v>0</v>
      </c>
      <c r="W132" s="277"/>
      <c r="X132" s="192">
        <v>62322.45</v>
      </c>
      <c r="Y132" s="353">
        <f t="shared" si="47"/>
        <v>0.70742987842945837</v>
      </c>
      <c r="Z132" s="19"/>
    </row>
    <row r="133" spans="2:26" ht="14.4" customHeight="1" x14ac:dyDescent="0.25">
      <c r="B133" s="56" t="s">
        <v>211</v>
      </c>
      <c r="C133" s="77" t="s">
        <v>152</v>
      </c>
      <c r="D133" s="146" t="s">
        <v>233</v>
      </c>
      <c r="E133" s="37">
        <v>33489</v>
      </c>
      <c r="F133" s="37">
        <v>33489</v>
      </c>
      <c r="G133" s="19">
        <f t="shared" si="41"/>
        <v>0</v>
      </c>
      <c r="H133" s="250"/>
      <c r="I133" s="37">
        <v>33489</v>
      </c>
      <c r="J133" s="19">
        <f t="shared" si="42"/>
        <v>0</v>
      </c>
      <c r="K133" s="250"/>
      <c r="L133" s="37">
        <f t="shared" si="51"/>
        <v>33489</v>
      </c>
      <c r="M133" s="19">
        <f t="shared" si="43"/>
        <v>0</v>
      </c>
      <c r="N133" s="250"/>
      <c r="O133" s="37">
        <f t="shared" si="48"/>
        <v>33489</v>
      </c>
      <c r="P133" s="19">
        <f t="shared" si="44"/>
        <v>0</v>
      </c>
      <c r="Q133" s="250"/>
      <c r="R133" s="467">
        <f t="shared" si="49"/>
        <v>33489</v>
      </c>
      <c r="S133" s="88">
        <f t="shared" si="45"/>
        <v>0</v>
      </c>
      <c r="T133" s="250"/>
      <c r="U133" s="467">
        <f t="shared" si="50"/>
        <v>33489</v>
      </c>
      <c r="V133" s="88">
        <f t="shared" si="46"/>
        <v>0</v>
      </c>
      <c r="W133" s="250"/>
      <c r="X133" s="192">
        <v>9912.5499999999993</v>
      </c>
      <c r="Y133" s="353">
        <f t="shared" si="47"/>
        <v>0.29599420705306217</v>
      </c>
      <c r="Z133" s="19"/>
    </row>
    <row r="134" spans="2:26" ht="16.5" customHeight="1" x14ac:dyDescent="0.25">
      <c r="B134" s="56" t="s">
        <v>206</v>
      </c>
      <c r="C134" s="77" t="s">
        <v>153</v>
      </c>
      <c r="D134" s="146" t="s">
        <v>155</v>
      </c>
      <c r="E134" s="37">
        <v>2102431</v>
      </c>
      <c r="F134" s="37">
        <v>2102431</v>
      </c>
      <c r="G134" s="19">
        <f t="shared" si="41"/>
        <v>0</v>
      </c>
      <c r="H134" s="301"/>
      <c r="I134" s="37">
        <v>2102431</v>
      </c>
      <c r="J134" s="19">
        <f t="shared" si="42"/>
        <v>0</v>
      </c>
      <c r="K134" s="301"/>
      <c r="L134" s="37">
        <f>ROUND(I134,0)-50000</f>
        <v>2052431</v>
      </c>
      <c r="M134" s="19">
        <f t="shared" si="43"/>
        <v>-50000</v>
      </c>
      <c r="N134" s="301" t="s">
        <v>734</v>
      </c>
      <c r="O134" s="37">
        <f t="shared" si="48"/>
        <v>2052431</v>
      </c>
      <c r="P134" s="19">
        <f t="shared" si="44"/>
        <v>0</v>
      </c>
      <c r="Q134" s="301"/>
      <c r="R134" s="467">
        <f t="shared" si="49"/>
        <v>2052431</v>
      </c>
      <c r="S134" s="88">
        <f t="shared" si="45"/>
        <v>0</v>
      </c>
      <c r="T134" s="301"/>
      <c r="U134" s="467">
        <f t="shared" si="50"/>
        <v>2052431</v>
      </c>
      <c r="V134" s="88">
        <f t="shared" si="46"/>
        <v>0</v>
      </c>
      <c r="W134" s="301"/>
      <c r="X134" s="192">
        <v>1672643.52</v>
      </c>
      <c r="Y134" s="353">
        <f t="shared" si="47"/>
        <v>0.81495724825828497</v>
      </c>
      <c r="Z134" s="19"/>
    </row>
    <row r="135" spans="2:26" ht="13.95" customHeight="1" x14ac:dyDescent="0.25">
      <c r="B135" s="56" t="s">
        <v>206</v>
      </c>
      <c r="C135" s="77" t="s">
        <v>154</v>
      </c>
      <c r="D135" s="146" t="s">
        <v>156</v>
      </c>
      <c r="E135" s="37">
        <v>6917724</v>
      </c>
      <c r="F135" s="37">
        <v>6917724</v>
      </c>
      <c r="G135" s="19">
        <f t="shared" si="41"/>
        <v>0</v>
      </c>
      <c r="H135" s="250"/>
      <c r="I135" s="37">
        <v>6917724</v>
      </c>
      <c r="J135" s="19">
        <f t="shared" si="42"/>
        <v>0</v>
      </c>
      <c r="K135" s="250"/>
      <c r="L135" s="37">
        <f t="shared" si="51"/>
        <v>6917724</v>
      </c>
      <c r="M135" s="19">
        <f t="shared" si="43"/>
        <v>0</v>
      </c>
      <c r="N135" s="250"/>
      <c r="O135" s="37">
        <f t="shared" si="48"/>
        <v>6917724</v>
      </c>
      <c r="P135" s="19">
        <f t="shared" si="44"/>
        <v>0</v>
      </c>
      <c r="Q135" s="250"/>
      <c r="R135" s="467">
        <f t="shared" si="49"/>
        <v>6917724</v>
      </c>
      <c r="S135" s="88">
        <f t="shared" si="45"/>
        <v>0</v>
      </c>
      <c r="T135" s="250"/>
      <c r="U135" s="467">
        <f t="shared" si="50"/>
        <v>6917724</v>
      </c>
      <c r="V135" s="88">
        <f t="shared" si="46"/>
        <v>0</v>
      </c>
      <c r="W135" s="250"/>
      <c r="X135" s="192">
        <v>6917723.9500000002</v>
      </c>
      <c r="Y135" s="353">
        <f t="shared" si="47"/>
        <v>0.99999999277218932</v>
      </c>
      <c r="Z135" s="19"/>
    </row>
    <row r="136" spans="2:26" ht="64.5" customHeight="1" x14ac:dyDescent="0.25">
      <c r="B136" s="56" t="s">
        <v>323</v>
      </c>
      <c r="C136" s="77" t="s">
        <v>282</v>
      </c>
      <c r="D136" s="146" t="s">
        <v>300</v>
      </c>
      <c r="E136" s="37">
        <v>517465</v>
      </c>
      <c r="F136" s="37">
        <v>517465</v>
      </c>
      <c r="G136" s="302">
        <f t="shared" si="41"/>
        <v>0</v>
      </c>
      <c r="H136" s="303"/>
      <c r="I136" s="37">
        <v>517465</v>
      </c>
      <c r="J136" s="302">
        <f t="shared" si="42"/>
        <v>0</v>
      </c>
      <c r="K136" s="303"/>
      <c r="L136" s="37">
        <f t="shared" si="51"/>
        <v>517465</v>
      </c>
      <c r="M136" s="302">
        <f t="shared" si="43"/>
        <v>0</v>
      </c>
      <c r="N136" s="303"/>
      <c r="O136" s="37">
        <f>ROUND(L136,0)+11328</f>
        <v>528793</v>
      </c>
      <c r="P136" s="302">
        <f t="shared" si="44"/>
        <v>11328</v>
      </c>
      <c r="Q136" s="588" t="s">
        <v>758</v>
      </c>
      <c r="R136" s="467">
        <f>ROUND(O136,0)</f>
        <v>528793</v>
      </c>
      <c r="S136" s="491">
        <f t="shared" si="45"/>
        <v>0</v>
      </c>
      <c r="T136" s="250"/>
      <c r="U136" s="467">
        <f>ROUND(R136,0)</f>
        <v>528793</v>
      </c>
      <c r="V136" s="491">
        <f t="shared" si="46"/>
        <v>0</v>
      </c>
      <c r="W136" s="277" t="s">
        <v>839</v>
      </c>
      <c r="X136" s="192">
        <v>432345.16</v>
      </c>
      <c r="Y136" s="353">
        <f t="shared" si="47"/>
        <v>0.81760757044817156</v>
      </c>
      <c r="Z136" s="19"/>
    </row>
    <row r="137" spans="2:26" ht="18.75" customHeight="1" collapsed="1" x14ac:dyDescent="0.25">
      <c r="B137" s="56" t="s">
        <v>213</v>
      </c>
      <c r="C137" s="78" t="s">
        <v>16</v>
      </c>
      <c r="D137" s="155" t="s">
        <v>158</v>
      </c>
      <c r="E137" s="212">
        <v>1114238</v>
      </c>
      <c r="F137" s="212">
        <v>1114238</v>
      </c>
      <c r="G137" s="13">
        <f t="shared" si="41"/>
        <v>0</v>
      </c>
      <c r="H137" s="269"/>
      <c r="I137" s="212">
        <v>1129824</v>
      </c>
      <c r="J137" s="13">
        <f t="shared" si="42"/>
        <v>15586</v>
      </c>
      <c r="K137" s="269" t="s">
        <v>719</v>
      </c>
      <c r="L137" s="212">
        <f>ROUND(I137,0)</f>
        <v>1129824</v>
      </c>
      <c r="M137" s="13">
        <f t="shared" si="43"/>
        <v>0</v>
      </c>
      <c r="N137" s="269"/>
      <c r="O137" s="212">
        <f>ROUND(L137,0)-11328+3580</f>
        <v>1122076</v>
      </c>
      <c r="P137" s="13">
        <f t="shared" si="44"/>
        <v>-7748</v>
      </c>
      <c r="Q137" s="589"/>
      <c r="R137" s="455">
        <f>ROUND(O137,0)</f>
        <v>1122076</v>
      </c>
      <c r="S137" s="14">
        <f t="shared" si="45"/>
        <v>0</v>
      </c>
      <c r="T137" s="528"/>
      <c r="U137" s="455">
        <f>ROUND(R137,0)</f>
        <v>1122076</v>
      </c>
      <c r="V137" s="14">
        <f t="shared" si="46"/>
        <v>0</v>
      </c>
      <c r="W137" s="528"/>
      <c r="X137" s="193">
        <v>1087266.05</v>
      </c>
      <c r="Y137" s="366">
        <f t="shared" si="47"/>
        <v>0.96897719049333564</v>
      </c>
      <c r="Z137" s="379"/>
    </row>
    <row r="138" spans="2:26" s="20" customFormat="1" ht="16.95" customHeight="1" x14ac:dyDescent="0.25">
      <c r="C138" s="78" t="s">
        <v>24</v>
      </c>
      <c r="D138" s="155" t="s">
        <v>337</v>
      </c>
      <c r="E138" s="212">
        <v>646058</v>
      </c>
      <c r="F138" s="212">
        <v>646058</v>
      </c>
      <c r="G138" s="13">
        <f t="shared" si="41"/>
        <v>0</v>
      </c>
      <c r="H138" s="269"/>
      <c r="I138" s="212">
        <v>646058</v>
      </c>
      <c r="J138" s="13">
        <f t="shared" si="42"/>
        <v>0</v>
      </c>
      <c r="K138" s="269"/>
      <c r="L138" s="212">
        <f>L139+L142</f>
        <v>646058</v>
      </c>
      <c r="M138" s="13">
        <f t="shared" si="43"/>
        <v>0</v>
      </c>
      <c r="N138" s="269"/>
      <c r="O138" s="212">
        <f>O139+O142</f>
        <v>646058</v>
      </c>
      <c r="P138" s="13">
        <f t="shared" si="44"/>
        <v>0</v>
      </c>
      <c r="Q138" s="269"/>
      <c r="R138" s="455">
        <f>R139+R142</f>
        <v>646058</v>
      </c>
      <c r="S138" s="14">
        <f t="shared" si="45"/>
        <v>0</v>
      </c>
      <c r="T138" s="269"/>
      <c r="U138" s="455">
        <f>U139+U142</f>
        <v>646058</v>
      </c>
      <c r="V138" s="14">
        <f t="shared" si="46"/>
        <v>0</v>
      </c>
      <c r="W138" s="269"/>
      <c r="X138" s="193">
        <f>X139+X142</f>
        <v>559087.67000000004</v>
      </c>
      <c r="Y138" s="366">
        <f t="shared" si="47"/>
        <v>0.86538309253967916</v>
      </c>
      <c r="Z138" s="13"/>
    </row>
    <row r="139" spans="2:26" x14ac:dyDescent="0.25">
      <c r="B139" s="56" t="s">
        <v>212</v>
      </c>
      <c r="C139" s="77" t="s">
        <v>27</v>
      </c>
      <c r="D139" s="146" t="s">
        <v>159</v>
      </c>
      <c r="E139" s="37">
        <v>200531</v>
      </c>
      <c r="F139" s="37">
        <v>200531</v>
      </c>
      <c r="G139" s="19">
        <f t="shared" si="41"/>
        <v>0</v>
      </c>
      <c r="H139" s="19"/>
      <c r="I139" s="37">
        <v>200531</v>
      </c>
      <c r="J139" s="19">
        <f t="shared" si="42"/>
        <v>0</v>
      </c>
      <c r="K139" s="19"/>
      <c r="L139" s="37">
        <f>SUM(L140:L141)</f>
        <v>200531</v>
      </c>
      <c r="M139" s="19">
        <f t="shared" si="43"/>
        <v>0</v>
      </c>
      <c r="N139" s="19"/>
      <c r="O139" s="37">
        <f>SUM(O140:O141)</f>
        <v>200531</v>
      </c>
      <c r="P139" s="19">
        <f t="shared" si="44"/>
        <v>0</v>
      </c>
      <c r="Q139" s="19"/>
      <c r="R139" s="467">
        <f>SUM(R140:R141)</f>
        <v>200531</v>
      </c>
      <c r="S139" s="88">
        <f t="shared" si="45"/>
        <v>0</v>
      </c>
      <c r="T139" s="19"/>
      <c r="U139" s="467">
        <f>SUM(U140:U141)</f>
        <v>200531</v>
      </c>
      <c r="V139" s="88">
        <f t="shared" si="46"/>
        <v>0</v>
      </c>
      <c r="W139" s="19"/>
      <c r="X139" s="192">
        <f>SUM(X140:X141)</f>
        <v>194903.67</v>
      </c>
      <c r="Y139" s="353">
        <f t="shared" si="47"/>
        <v>0.97193785499498841</v>
      </c>
      <c r="Z139" s="19"/>
    </row>
    <row r="140" spans="2:26" ht="15.75" customHeight="1" x14ac:dyDescent="0.25">
      <c r="B140" s="56" t="s">
        <v>212</v>
      </c>
      <c r="C140" s="79" t="s">
        <v>578</v>
      </c>
      <c r="D140" s="144" t="s">
        <v>343</v>
      </c>
      <c r="E140" s="179">
        <v>166223</v>
      </c>
      <c r="F140" s="179">
        <v>166223</v>
      </c>
      <c r="G140" s="51">
        <f t="shared" si="41"/>
        <v>0</v>
      </c>
      <c r="H140" s="270"/>
      <c r="I140" s="179">
        <v>165636</v>
      </c>
      <c r="J140" s="51">
        <f t="shared" si="42"/>
        <v>-587</v>
      </c>
      <c r="K140" s="571" t="s">
        <v>718</v>
      </c>
      <c r="L140" s="179">
        <f>ROUND(I140,0)</f>
        <v>165636</v>
      </c>
      <c r="M140" s="51">
        <f t="shared" si="43"/>
        <v>0</v>
      </c>
      <c r="N140" s="571"/>
      <c r="O140" s="179">
        <f>ROUND(L140,0)</f>
        <v>165636</v>
      </c>
      <c r="P140" s="51">
        <f t="shared" si="44"/>
        <v>0</v>
      </c>
      <c r="Q140" s="571"/>
      <c r="R140" s="453">
        <f>ROUND(O140,0)</f>
        <v>165636</v>
      </c>
      <c r="S140" s="534">
        <f t="shared" si="45"/>
        <v>0</v>
      </c>
      <c r="T140" s="535"/>
      <c r="U140" s="453">
        <f>ROUND(R140,0)</f>
        <v>165636</v>
      </c>
      <c r="V140" s="534">
        <f t="shared" si="46"/>
        <v>0</v>
      </c>
      <c r="W140" s="535"/>
      <c r="X140" s="114">
        <v>161231.63</v>
      </c>
      <c r="Y140" s="340">
        <f t="shared" si="47"/>
        <v>0.97340934337945861</v>
      </c>
      <c r="Z140" s="12"/>
    </row>
    <row r="141" spans="2:26" ht="15.6" customHeight="1" x14ac:dyDescent="0.25">
      <c r="B141" s="56"/>
      <c r="C141" s="79" t="s">
        <v>579</v>
      </c>
      <c r="D141" s="171" t="s">
        <v>395</v>
      </c>
      <c r="E141" s="213">
        <v>34308</v>
      </c>
      <c r="F141" s="179">
        <v>34308</v>
      </c>
      <c r="G141" s="51">
        <f t="shared" si="41"/>
        <v>0</v>
      </c>
      <c r="H141" s="258"/>
      <c r="I141" s="179">
        <v>34895</v>
      </c>
      <c r="J141" s="51">
        <f t="shared" si="42"/>
        <v>587</v>
      </c>
      <c r="K141" s="572"/>
      <c r="L141" s="179">
        <f>ROUND(I141,0)</f>
        <v>34895</v>
      </c>
      <c r="M141" s="51">
        <f t="shared" si="43"/>
        <v>0</v>
      </c>
      <c r="N141" s="572"/>
      <c r="O141" s="179">
        <f>ROUND(L141,0)</f>
        <v>34895</v>
      </c>
      <c r="P141" s="51">
        <f t="shared" si="44"/>
        <v>0</v>
      </c>
      <c r="Q141" s="572"/>
      <c r="R141" s="453">
        <f>ROUND(O141,0)</f>
        <v>34895</v>
      </c>
      <c r="S141" s="534">
        <f t="shared" si="45"/>
        <v>0</v>
      </c>
      <c r="T141" s="535"/>
      <c r="U141" s="453">
        <f>ROUND(R141,0)</f>
        <v>34895</v>
      </c>
      <c r="V141" s="534">
        <f t="shared" si="46"/>
        <v>0</v>
      </c>
      <c r="W141" s="535"/>
      <c r="X141" s="114">
        <v>33672.04</v>
      </c>
      <c r="Y141" s="355">
        <f t="shared" si="47"/>
        <v>0.96495314514973496</v>
      </c>
      <c r="Z141" s="90"/>
    </row>
    <row r="142" spans="2:26" x14ac:dyDescent="0.25">
      <c r="B142" s="56" t="s">
        <v>348</v>
      </c>
      <c r="C142" s="77" t="s">
        <v>30</v>
      </c>
      <c r="D142" s="148" t="s">
        <v>283</v>
      </c>
      <c r="E142" s="37">
        <v>445527</v>
      </c>
      <c r="F142" s="37">
        <v>445527</v>
      </c>
      <c r="G142" s="91">
        <f t="shared" si="41"/>
        <v>0</v>
      </c>
      <c r="H142" s="304"/>
      <c r="I142" s="37">
        <v>445527</v>
      </c>
      <c r="J142" s="91">
        <f t="shared" si="42"/>
        <v>0</v>
      </c>
      <c r="K142" s="304"/>
      <c r="L142" s="37">
        <f>ROUND(I142,0)</f>
        <v>445527</v>
      </c>
      <c r="M142" s="91">
        <f t="shared" si="43"/>
        <v>0</v>
      </c>
      <c r="N142" s="304"/>
      <c r="O142" s="37">
        <f>ROUND(L142,0)</f>
        <v>445527</v>
      </c>
      <c r="P142" s="91">
        <f t="shared" si="44"/>
        <v>0</v>
      </c>
      <c r="Q142" s="304"/>
      <c r="R142" s="467">
        <f>ROUND(O142,0)</f>
        <v>445527</v>
      </c>
      <c r="S142" s="492">
        <f t="shared" si="45"/>
        <v>0</v>
      </c>
      <c r="T142" s="304"/>
      <c r="U142" s="467">
        <f>ROUND(R142,0)</f>
        <v>445527</v>
      </c>
      <c r="V142" s="492">
        <f t="shared" si="46"/>
        <v>0</v>
      </c>
      <c r="W142" s="304"/>
      <c r="X142" s="192">
        <v>364184</v>
      </c>
      <c r="Y142" s="353">
        <f t="shared" si="47"/>
        <v>0.8174229620202591</v>
      </c>
      <c r="Z142" s="19" t="s">
        <v>454</v>
      </c>
    </row>
    <row r="143" spans="2:26" x14ac:dyDescent="0.25">
      <c r="C143" s="78" t="s">
        <v>32</v>
      </c>
      <c r="D143" s="155" t="s">
        <v>339</v>
      </c>
      <c r="E143" s="212">
        <v>225687</v>
      </c>
      <c r="F143" s="212">
        <v>225687</v>
      </c>
      <c r="G143" s="13">
        <f t="shared" si="41"/>
        <v>0</v>
      </c>
      <c r="H143" s="264"/>
      <c r="I143" s="212">
        <v>225687</v>
      </c>
      <c r="J143" s="13">
        <f t="shared" si="42"/>
        <v>0</v>
      </c>
      <c r="K143" s="264"/>
      <c r="L143" s="212">
        <f>L144</f>
        <v>225687</v>
      </c>
      <c r="M143" s="13">
        <f t="shared" si="43"/>
        <v>0</v>
      </c>
      <c r="N143" s="264"/>
      <c r="O143" s="212">
        <f>O144</f>
        <v>225687</v>
      </c>
      <c r="P143" s="13">
        <f t="shared" si="44"/>
        <v>0</v>
      </c>
      <c r="Q143" s="264"/>
      <c r="R143" s="455">
        <f>R144</f>
        <v>255687</v>
      </c>
      <c r="S143" s="14">
        <f t="shared" si="45"/>
        <v>30000</v>
      </c>
      <c r="T143" s="264"/>
      <c r="U143" s="455">
        <f>U144</f>
        <v>255687</v>
      </c>
      <c r="V143" s="14">
        <f t="shared" si="46"/>
        <v>0</v>
      </c>
      <c r="W143" s="264"/>
      <c r="X143" s="193">
        <f>X144</f>
        <v>47125.94</v>
      </c>
      <c r="Y143" s="366">
        <f t="shared" si="47"/>
        <v>0.18431105218489796</v>
      </c>
      <c r="Z143" s="13"/>
    </row>
    <row r="144" spans="2:26" ht="19.5" customHeight="1" x14ac:dyDescent="0.25">
      <c r="B144" s="56" t="s">
        <v>347</v>
      </c>
      <c r="C144" s="77" t="s">
        <v>35</v>
      </c>
      <c r="D144" s="146" t="s">
        <v>338</v>
      </c>
      <c r="E144" s="37">
        <v>225687</v>
      </c>
      <c r="F144" s="37">
        <v>225687</v>
      </c>
      <c r="G144" s="19">
        <f t="shared" si="41"/>
        <v>0</v>
      </c>
      <c r="H144" s="277"/>
      <c r="I144" s="37">
        <v>225687</v>
      </c>
      <c r="J144" s="19">
        <f t="shared" si="42"/>
        <v>0</v>
      </c>
      <c r="K144" s="277"/>
      <c r="L144" s="37">
        <f>ROUND(I144,0)</f>
        <v>225687</v>
      </c>
      <c r="M144" s="19">
        <f t="shared" si="43"/>
        <v>0</v>
      </c>
      <c r="N144" s="277"/>
      <c r="O144" s="37">
        <f>ROUND(L144,0)</f>
        <v>225687</v>
      </c>
      <c r="P144" s="19">
        <f t="shared" si="44"/>
        <v>0</v>
      </c>
      <c r="Q144" s="277"/>
      <c r="R144" s="467">
        <f>ROUND(O144,0)+30000</f>
        <v>255687</v>
      </c>
      <c r="S144" s="88">
        <f t="shared" si="45"/>
        <v>30000</v>
      </c>
      <c r="T144" s="277" t="s">
        <v>805</v>
      </c>
      <c r="U144" s="467">
        <f>ROUND(R144,0)</f>
        <v>255687</v>
      </c>
      <c r="V144" s="88">
        <f t="shared" si="46"/>
        <v>0</v>
      </c>
      <c r="W144" s="277"/>
      <c r="X144" s="192">
        <v>47125.94</v>
      </c>
      <c r="Y144" s="353">
        <f t="shared" si="47"/>
        <v>0.18431105218489796</v>
      </c>
      <c r="Z144" s="19" t="s">
        <v>547</v>
      </c>
    </row>
    <row r="145" spans="2:26" ht="27.6" x14ac:dyDescent="0.25">
      <c r="C145" s="78" t="s">
        <v>38</v>
      </c>
      <c r="D145" s="155" t="s">
        <v>160</v>
      </c>
      <c r="E145" s="212">
        <v>18129422</v>
      </c>
      <c r="F145" s="212">
        <v>18123822</v>
      </c>
      <c r="G145" s="13">
        <f t="shared" si="41"/>
        <v>-5600</v>
      </c>
      <c r="H145" s="13"/>
      <c r="I145" s="212">
        <v>17992555</v>
      </c>
      <c r="J145" s="13">
        <f t="shared" si="42"/>
        <v>-131267</v>
      </c>
      <c r="K145" s="13"/>
      <c r="L145" s="212">
        <f>L146+L147+L148+L149+L150+L164</f>
        <v>18000055</v>
      </c>
      <c r="M145" s="13">
        <f t="shared" si="43"/>
        <v>7500</v>
      </c>
      <c r="N145" s="13"/>
      <c r="O145" s="212">
        <f>O146+O147+O148+O149+O150+O164</f>
        <v>18058075</v>
      </c>
      <c r="P145" s="13">
        <f t="shared" si="44"/>
        <v>58020</v>
      </c>
      <c r="Q145" s="13"/>
      <c r="R145" s="455">
        <f>R146+R147+R148+R149+R150+R164</f>
        <v>18072875</v>
      </c>
      <c r="S145" s="14">
        <f t="shared" si="45"/>
        <v>14800</v>
      </c>
      <c r="T145" s="13"/>
      <c r="U145" s="455">
        <f>U146+U147+U148+U149+U150+U164</f>
        <v>18063244</v>
      </c>
      <c r="V145" s="14">
        <f t="shared" si="46"/>
        <v>-9631</v>
      </c>
      <c r="W145" s="13"/>
      <c r="X145" s="193">
        <f>X146+X147+X148+X149+X150+X164</f>
        <v>11170765.43</v>
      </c>
      <c r="Y145" s="366">
        <f t="shared" si="47"/>
        <v>0.61809565052599547</v>
      </c>
      <c r="Z145" s="13"/>
    </row>
    <row r="146" spans="2:26" ht="15.6" customHeight="1" x14ac:dyDescent="0.25">
      <c r="B146" s="56" t="s">
        <v>214</v>
      </c>
      <c r="C146" s="77" t="s">
        <v>161</v>
      </c>
      <c r="D146" s="160" t="s">
        <v>157</v>
      </c>
      <c r="E146" s="222">
        <v>70000</v>
      </c>
      <c r="F146" s="37">
        <v>70000</v>
      </c>
      <c r="G146" s="19">
        <f t="shared" si="41"/>
        <v>0</v>
      </c>
      <c r="H146" s="250"/>
      <c r="I146" s="37">
        <v>70000</v>
      </c>
      <c r="J146" s="19">
        <f t="shared" si="42"/>
        <v>0</v>
      </c>
      <c r="K146" s="250"/>
      <c r="L146" s="37">
        <f>ROUND(I146,0)</f>
        <v>70000</v>
      </c>
      <c r="M146" s="19">
        <f t="shared" si="43"/>
        <v>0</v>
      </c>
      <c r="N146" s="250"/>
      <c r="O146" s="37">
        <f>ROUND(L146,0)</f>
        <v>70000</v>
      </c>
      <c r="P146" s="19">
        <f t="shared" si="44"/>
        <v>0</v>
      </c>
      <c r="Q146" s="250"/>
      <c r="R146" s="467">
        <f>ROUND(O146,0)</f>
        <v>70000</v>
      </c>
      <c r="S146" s="88">
        <f t="shared" si="45"/>
        <v>0</v>
      </c>
      <c r="T146" s="250"/>
      <c r="U146" s="467">
        <f>ROUND(R146,0)</f>
        <v>70000</v>
      </c>
      <c r="V146" s="88">
        <f t="shared" si="46"/>
        <v>0</v>
      </c>
      <c r="W146" s="250"/>
      <c r="X146" s="192">
        <v>0</v>
      </c>
      <c r="Y146" s="353">
        <f t="shared" si="47"/>
        <v>0</v>
      </c>
      <c r="Z146" s="380"/>
    </row>
    <row r="147" spans="2:26" ht="15.6" customHeight="1" x14ac:dyDescent="0.25">
      <c r="B147" s="56" t="s">
        <v>576</v>
      </c>
      <c r="C147" s="77" t="s">
        <v>163</v>
      </c>
      <c r="D147" s="200" t="s">
        <v>562</v>
      </c>
      <c r="E147" s="234">
        <v>52568</v>
      </c>
      <c r="F147" s="236">
        <v>52568</v>
      </c>
      <c r="G147" s="192">
        <f t="shared" si="41"/>
        <v>0</v>
      </c>
      <c r="H147" s="305"/>
      <c r="I147" s="236">
        <v>52568</v>
      </c>
      <c r="J147" s="192">
        <f t="shared" si="42"/>
        <v>0</v>
      </c>
      <c r="K147" s="305"/>
      <c r="L147" s="236">
        <f>ROUND(I147,0)</f>
        <v>52568</v>
      </c>
      <c r="M147" s="192">
        <f t="shared" si="43"/>
        <v>0</v>
      </c>
      <c r="N147" s="305"/>
      <c r="O147" s="236">
        <f>ROUND(L147,0)</f>
        <v>52568</v>
      </c>
      <c r="P147" s="192">
        <f t="shared" si="44"/>
        <v>0</v>
      </c>
      <c r="Q147" s="305"/>
      <c r="R147" s="493">
        <f>ROUND(O147,0)</f>
        <v>52568</v>
      </c>
      <c r="S147" s="494">
        <f t="shared" si="45"/>
        <v>0</v>
      </c>
      <c r="T147" s="305"/>
      <c r="U147" s="493">
        <f>ROUND(R147,0)</f>
        <v>52568</v>
      </c>
      <c r="V147" s="494">
        <f t="shared" si="46"/>
        <v>0</v>
      </c>
      <c r="W147" s="305"/>
      <c r="X147" s="192">
        <v>0</v>
      </c>
      <c r="Y147" s="381">
        <f t="shared" si="47"/>
        <v>0</v>
      </c>
      <c r="Z147" s="382"/>
    </row>
    <row r="148" spans="2:26" ht="15" customHeight="1" x14ac:dyDescent="0.25">
      <c r="B148" s="56" t="s">
        <v>383</v>
      </c>
      <c r="C148" s="77" t="s">
        <v>165</v>
      </c>
      <c r="D148" s="160" t="s">
        <v>162</v>
      </c>
      <c r="E148" s="222">
        <v>333393</v>
      </c>
      <c r="F148" s="222">
        <v>333393</v>
      </c>
      <c r="G148" s="25">
        <f t="shared" si="41"/>
        <v>0</v>
      </c>
      <c r="H148" s="277"/>
      <c r="I148" s="222">
        <v>333393</v>
      </c>
      <c r="J148" s="25">
        <f t="shared" si="42"/>
        <v>0</v>
      </c>
      <c r="K148" s="277"/>
      <c r="L148" s="222">
        <f>ROUND(I148,0)</f>
        <v>333393</v>
      </c>
      <c r="M148" s="25">
        <f t="shared" si="43"/>
        <v>0</v>
      </c>
      <c r="N148" s="277"/>
      <c r="O148" s="222">
        <f>ROUND(L148,0)</f>
        <v>333393</v>
      </c>
      <c r="P148" s="25">
        <f t="shared" si="44"/>
        <v>0</v>
      </c>
      <c r="Q148" s="277"/>
      <c r="R148" s="495">
        <f>ROUND(O148,0)</f>
        <v>333393</v>
      </c>
      <c r="S148" s="496">
        <f t="shared" si="45"/>
        <v>0</v>
      </c>
      <c r="T148" s="277"/>
      <c r="U148" s="495">
        <f>ROUND(R148,0)</f>
        <v>333393</v>
      </c>
      <c r="V148" s="496">
        <f t="shared" si="46"/>
        <v>0</v>
      </c>
      <c r="W148" s="277"/>
      <c r="X148" s="350">
        <v>308584.01</v>
      </c>
      <c r="Y148" s="383">
        <f t="shared" si="47"/>
        <v>0.92558635004334222</v>
      </c>
      <c r="Z148" s="380"/>
    </row>
    <row r="149" spans="2:26" ht="15" customHeight="1" x14ac:dyDescent="0.25">
      <c r="B149" s="56" t="s">
        <v>394</v>
      </c>
      <c r="C149" s="77" t="s">
        <v>167</v>
      </c>
      <c r="D149" s="160" t="s">
        <v>326</v>
      </c>
      <c r="E149" s="222">
        <v>334779</v>
      </c>
      <c r="F149" s="222">
        <v>334779</v>
      </c>
      <c r="G149" s="98">
        <f t="shared" si="41"/>
        <v>0</v>
      </c>
      <c r="H149" s="306"/>
      <c r="I149" s="222">
        <v>334779</v>
      </c>
      <c r="J149" s="98">
        <f t="shared" si="42"/>
        <v>0</v>
      </c>
      <c r="K149" s="306"/>
      <c r="L149" s="222">
        <f>ROUND(I149,0)</f>
        <v>334779</v>
      </c>
      <c r="M149" s="98">
        <f t="shared" si="43"/>
        <v>0</v>
      </c>
      <c r="N149" s="306"/>
      <c r="O149" s="222">
        <f>ROUND(L149,0)</f>
        <v>334779</v>
      </c>
      <c r="P149" s="98">
        <f t="shared" si="44"/>
        <v>0</v>
      </c>
      <c r="Q149" s="306"/>
      <c r="R149" s="495">
        <f>ROUND(O149,0)</f>
        <v>334779</v>
      </c>
      <c r="S149" s="497">
        <f t="shared" si="45"/>
        <v>0</v>
      </c>
      <c r="T149" s="306"/>
      <c r="U149" s="495">
        <f>ROUND(R149,0)</f>
        <v>334779</v>
      </c>
      <c r="V149" s="497">
        <f t="shared" si="46"/>
        <v>0</v>
      </c>
      <c r="W149" s="306"/>
      <c r="X149" s="350">
        <v>303835.52000000002</v>
      </c>
      <c r="Y149" s="383">
        <f t="shared" si="47"/>
        <v>0.90757042705785018</v>
      </c>
      <c r="Z149" s="380"/>
    </row>
    <row r="150" spans="2:26" x14ac:dyDescent="0.25">
      <c r="C150" s="77" t="s">
        <v>320</v>
      </c>
      <c r="D150" s="160" t="s">
        <v>327</v>
      </c>
      <c r="E150" s="222">
        <v>8401067</v>
      </c>
      <c r="F150" s="222">
        <v>8401067</v>
      </c>
      <c r="G150" s="25">
        <f t="shared" si="41"/>
        <v>0</v>
      </c>
      <c r="H150" s="25"/>
      <c r="I150" s="222">
        <v>8461055</v>
      </c>
      <c r="J150" s="25">
        <f t="shared" si="42"/>
        <v>59988</v>
      </c>
      <c r="K150" s="25"/>
      <c r="L150" s="222">
        <f>SUM(L151:L163)</f>
        <v>8468555</v>
      </c>
      <c r="M150" s="25">
        <f t="shared" si="43"/>
        <v>7500</v>
      </c>
      <c r="N150" s="25"/>
      <c r="O150" s="222">
        <f>SUM(O151:O163)</f>
        <v>8499555</v>
      </c>
      <c r="P150" s="25">
        <f t="shared" si="44"/>
        <v>31000</v>
      </c>
      <c r="Q150" s="25"/>
      <c r="R150" s="495">
        <f>SUM(R151:R163)</f>
        <v>8499555</v>
      </c>
      <c r="S150" s="496">
        <f t="shared" si="45"/>
        <v>0</v>
      </c>
      <c r="T150" s="25"/>
      <c r="U150" s="495">
        <f>SUM(U151:U163)</f>
        <v>8499555</v>
      </c>
      <c r="V150" s="496">
        <f t="shared" si="46"/>
        <v>0</v>
      </c>
      <c r="W150" s="25"/>
      <c r="X150" s="350">
        <f>SUM(X151:X163)</f>
        <v>3500561.8400000003</v>
      </c>
      <c r="Y150" s="383">
        <f t="shared" si="47"/>
        <v>0.41185236638859335</v>
      </c>
      <c r="Z150" s="25"/>
    </row>
    <row r="151" spans="2:26" ht="31.5" customHeight="1" x14ac:dyDescent="0.25">
      <c r="B151" s="56" t="s">
        <v>778</v>
      </c>
      <c r="C151" s="79" t="s">
        <v>580</v>
      </c>
      <c r="D151" s="142" t="s">
        <v>164</v>
      </c>
      <c r="E151" s="179">
        <v>524909</v>
      </c>
      <c r="F151" s="179">
        <v>522909</v>
      </c>
      <c r="G151" s="12">
        <f t="shared" si="41"/>
        <v>-2000</v>
      </c>
      <c r="H151" s="248" t="s">
        <v>699</v>
      </c>
      <c r="I151" s="179">
        <v>522909</v>
      </c>
      <c r="J151" s="12">
        <f t="shared" si="42"/>
        <v>0</v>
      </c>
      <c r="K151" s="248"/>
      <c r="L151" s="179">
        <f>ROUND(I151,0)+7500</f>
        <v>530409</v>
      </c>
      <c r="M151" s="12">
        <f t="shared" si="43"/>
        <v>7500</v>
      </c>
      <c r="N151" s="248" t="s">
        <v>743</v>
      </c>
      <c r="O151" s="179">
        <f>ROUND(L151,0)+(5400+9600)+(900+4100)+(1800+8200)</f>
        <v>560409</v>
      </c>
      <c r="P151" s="12">
        <f t="shared" si="44"/>
        <v>30000</v>
      </c>
      <c r="Q151" s="248" t="s">
        <v>764</v>
      </c>
      <c r="R151" s="453">
        <f>ROUND(O151,0)+2264</f>
        <v>562673</v>
      </c>
      <c r="S151" s="454">
        <f t="shared" si="45"/>
        <v>2264</v>
      </c>
      <c r="T151" s="248" t="s">
        <v>824</v>
      </c>
      <c r="U151" s="453">
        <f>ROUND(R151,0)</f>
        <v>562673</v>
      </c>
      <c r="V151" s="454">
        <f t="shared" si="46"/>
        <v>0</v>
      </c>
      <c r="W151" s="248"/>
      <c r="X151" s="188">
        <f>403365.72+4997+8320-X160</f>
        <v>415746.72</v>
      </c>
      <c r="Y151" s="368">
        <f t="shared" si="47"/>
        <v>0.73887803395577889</v>
      </c>
      <c r="Z151" s="384"/>
    </row>
    <row r="152" spans="2:26" ht="18.600000000000001" customHeight="1" x14ac:dyDescent="0.25">
      <c r="B152" s="56" t="s">
        <v>400</v>
      </c>
      <c r="C152" s="79" t="s">
        <v>581</v>
      </c>
      <c r="D152" s="142" t="s">
        <v>285</v>
      </c>
      <c r="E152" s="217">
        <v>40000</v>
      </c>
      <c r="F152" s="217">
        <v>40000</v>
      </c>
      <c r="G152" s="51">
        <f t="shared" si="41"/>
        <v>0</v>
      </c>
      <c r="H152" s="307"/>
      <c r="I152" s="217">
        <v>40000</v>
      </c>
      <c r="J152" s="51">
        <f t="shared" si="42"/>
        <v>0</v>
      </c>
      <c r="K152" s="307"/>
      <c r="L152" s="217">
        <f>ROUND(I152,0)</f>
        <v>40000</v>
      </c>
      <c r="M152" s="51">
        <f t="shared" si="43"/>
        <v>0</v>
      </c>
      <c r="N152" s="307"/>
      <c r="O152" s="217">
        <f>ROUND(L152,0)</f>
        <v>40000</v>
      </c>
      <c r="P152" s="51">
        <f t="shared" si="44"/>
        <v>0</v>
      </c>
      <c r="Q152" s="307"/>
      <c r="R152" s="469">
        <f>ROUND(O152,0)</f>
        <v>40000</v>
      </c>
      <c r="S152" s="456">
        <f t="shared" si="45"/>
        <v>0</v>
      </c>
      <c r="T152" s="307"/>
      <c r="U152" s="469">
        <f>ROUND(R152,0)</f>
        <v>40000</v>
      </c>
      <c r="V152" s="456">
        <f t="shared" si="46"/>
        <v>0</v>
      </c>
      <c r="W152" s="307"/>
      <c r="X152" s="586">
        <v>53467.07</v>
      </c>
      <c r="Y152" s="578">
        <f>X152/(R152+R153)</f>
        <v>0.9828505514705882</v>
      </c>
      <c r="Z152" s="51"/>
    </row>
    <row r="153" spans="2:26" ht="18" customHeight="1" x14ac:dyDescent="0.25">
      <c r="B153" s="56" t="s">
        <v>400</v>
      </c>
      <c r="C153" s="79" t="s">
        <v>582</v>
      </c>
      <c r="D153" s="166" t="s">
        <v>396</v>
      </c>
      <c r="E153" s="213">
        <v>11400</v>
      </c>
      <c r="F153" s="217">
        <v>13400</v>
      </c>
      <c r="G153" s="51">
        <f t="shared" si="41"/>
        <v>2000</v>
      </c>
      <c r="H153" s="248" t="s">
        <v>699</v>
      </c>
      <c r="I153" s="217">
        <v>13400</v>
      </c>
      <c r="J153" s="51">
        <f t="shared" si="42"/>
        <v>0</v>
      </c>
      <c r="K153" s="248"/>
      <c r="L153" s="217">
        <f>ROUND(I153,0)</f>
        <v>13400</v>
      </c>
      <c r="M153" s="51">
        <f t="shared" si="43"/>
        <v>0</v>
      </c>
      <c r="N153" s="248"/>
      <c r="O153" s="217">
        <f>ROUND(L153,0)+1000</f>
        <v>14400</v>
      </c>
      <c r="P153" s="51">
        <f t="shared" si="44"/>
        <v>1000</v>
      </c>
      <c r="Q153" s="248" t="s">
        <v>761</v>
      </c>
      <c r="R153" s="469">
        <f>ROUND(O153,0)</f>
        <v>14400</v>
      </c>
      <c r="S153" s="456">
        <f t="shared" si="45"/>
        <v>0</v>
      </c>
      <c r="T153" s="248"/>
      <c r="U153" s="469">
        <f>ROUND(R153,0)</f>
        <v>14400</v>
      </c>
      <c r="V153" s="456">
        <f t="shared" si="46"/>
        <v>0</v>
      </c>
      <c r="W153" s="248"/>
      <c r="X153" s="587"/>
      <c r="Y153" s="579">
        <f>X153/F153</f>
        <v>0</v>
      </c>
      <c r="Z153" s="90"/>
    </row>
    <row r="154" spans="2:26" ht="107.25" customHeight="1" x14ac:dyDescent="0.25">
      <c r="B154" s="56" t="s">
        <v>417</v>
      </c>
      <c r="C154" s="100" t="s">
        <v>583</v>
      </c>
      <c r="D154" s="414" t="s">
        <v>415</v>
      </c>
      <c r="E154" s="179">
        <v>49346</v>
      </c>
      <c r="F154" s="179">
        <v>49346</v>
      </c>
      <c r="G154" s="12">
        <f t="shared" si="41"/>
        <v>0</v>
      </c>
      <c r="H154" s="248"/>
      <c r="I154" s="415">
        <v>49346</v>
      </c>
      <c r="J154" s="12">
        <f t="shared" si="42"/>
        <v>0</v>
      </c>
      <c r="K154" s="248"/>
      <c r="L154" s="415">
        <f>ROUND(I154,0)</f>
        <v>49346</v>
      </c>
      <c r="M154" s="12">
        <f t="shared" si="43"/>
        <v>0</v>
      </c>
      <c r="N154" s="248"/>
      <c r="O154" s="415">
        <f>ROUND(L154,0)</f>
        <v>49346</v>
      </c>
      <c r="P154" s="12">
        <f t="shared" si="44"/>
        <v>0</v>
      </c>
      <c r="Q154" s="248"/>
      <c r="R154" s="498">
        <f>ROUND(O154,0)-10933</f>
        <v>38413</v>
      </c>
      <c r="S154" s="454">
        <f t="shared" si="45"/>
        <v>-10933</v>
      </c>
      <c r="T154" s="248" t="s">
        <v>814</v>
      </c>
      <c r="U154" s="498">
        <f>ROUND(R154,0)</f>
        <v>38413</v>
      </c>
      <c r="V154" s="454">
        <f t="shared" si="46"/>
        <v>0</v>
      </c>
      <c r="W154" s="248"/>
      <c r="X154" s="188">
        <v>12063.7</v>
      </c>
      <c r="Y154" s="340">
        <f t="shared" ref="Y154:Y200" si="52">X154/R154</f>
        <v>0.31405253429828445</v>
      </c>
      <c r="Z154" s="12" t="s">
        <v>455</v>
      </c>
    </row>
    <row r="155" spans="2:26" ht="46.2" customHeight="1" x14ac:dyDescent="0.25">
      <c r="B155" s="56" t="s">
        <v>349</v>
      </c>
      <c r="C155" s="101" t="s">
        <v>584</v>
      </c>
      <c r="D155" s="416" t="s">
        <v>333</v>
      </c>
      <c r="E155" s="179">
        <v>985558</v>
      </c>
      <c r="F155" s="179">
        <v>985558</v>
      </c>
      <c r="G155" s="90">
        <f t="shared" si="41"/>
        <v>0</v>
      </c>
      <c r="H155" s="308"/>
      <c r="I155" s="415">
        <v>1045546</v>
      </c>
      <c r="J155" s="90">
        <f t="shared" si="42"/>
        <v>59988</v>
      </c>
      <c r="K155" s="417" t="s">
        <v>726</v>
      </c>
      <c r="L155" s="415">
        <f>ROUND(I155,0)</f>
        <v>1045546</v>
      </c>
      <c r="M155" s="90">
        <f t="shared" si="43"/>
        <v>0</v>
      </c>
      <c r="N155" s="417"/>
      <c r="O155" s="415">
        <f>ROUND(L155,0)</f>
        <v>1045546</v>
      </c>
      <c r="P155" s="90">
        <f t="shared" si="44"/>
        <v>0</v>
      </c>
      <c r="Q155" s="417"/>
      <c r="R155" s="498">
        <f>ROUND(O155,0)</f>
        <v>1045546</v>
      </c>
      <c r="S155" s="460">
        <f t="shared" si="45"/>
        <v>0</v>
      </c>
      <c r="T155" s="417"/>
      <c r="U155" s="498">
        <f>ROUND(R155,0)</f>
        <v>1045546</v>
      </c>
      <c r="V155" s="460">
        <f t="shared" si="46"/>
        <v>0</v>
      </c>
      <c r="W155" s="417"/>
      <c r="X155" s="188">
        <v>937729.27</v>
      </c>
      <c r="Y155" s="340">
        <f t="shared" si="52"/>
        <v>0.89687997467351988</v>
      </c>
      <c r="Z155" s="12" t="s">
        <v>455</v>
      </c>
    </row>
    <row r="156" spans="2:26" ht="28.95" customHeight="1" x14ac:dyDescent="0.25">
      <c r="B156" s="56" t="s">
        <v>350</v>
      </c>
      <c r="C156" s="100" t="s">
        <v>585</v>
      </c>
      <c r="D156" s="416" t="s">
        <v>334</v>
      </c>
      <c r="E156" s="179">
        <v>4425220</v>
      </c>
      <c r="F156" s="179">
        <v>4425220</v>
      </c>
      <c r="G156" s="90">
        <f t="shared" si="41"/>
        <v>0</v>
      </c>
      <c r="H156" s="308"/>
      <c r="I156" s="179">
        <v>4425220</v>
      </c>
      <c r="J156" s="90">
        <f t="shared" si="42"/>
        <v>0</v>
      </c>
      <c r="K156" s="308"/>
      <c r="L156" s="179">
        <f t="shared" ref="L156:L163" si="53">ROUND(I156,0)</f>
        <v>4425220</v>
      </c>
      <c r="M156" s="90">
        <f t="shared" si="43"/>
        <v>0</v>
      </c>
      <c r="N156" s="308"/>
      <c r="O156" s="179">
        <f t="shared" ref="O156:O163" si="54">ROUND(L156,0)</f>
        <v>4425220</v>
      </c>
      <c r="P156" s="90">
        <f t="shared" si="44"/>
        <v>0</v>
      </c>
      <c r="Q156" s="308"/>
      <c r="R156" s="453">
        <f t="shared" ref="R156:R163" si="55">ROUND(O156,0)</f>
        <v>4425220</v>
      </c>
      <c r="S156" s="460">
        <f t="shared" si="45"/>
        <v>0</v>
      </c>
      <c r="T156" s="308"/>
      <c r="U156" s="453">
        <f t="shared" ref="U156:U159" si="56">ROUND(R156,0)</f>
        <v>4425220</v>
      </c>
      <c r="V156" s="460">
        <f t="shared" si="46"/>
        <v>0</v>
      </c>
      <c r="W156" s="308"/>
      <c r="X156" s="188">
        <v>1988341.11</v>
      </c>
      <c r="Y156" s="340">
        <f t="shared" si="52"/>
        <v>0.44932028464121559</v>
      </c>
      <c r="Z156" s="12"/>
    </row>
    <row r="157" spans="2:26" ht="42.75" customHeight="1" x14ac:dyDescent="0.25">
      <c r="B157" s="56" t="s">
        <v>549</v>
      </c>
      <c r="C157" s="100" t="s">
        <v>586</v>
      </c>
      <c r="D157" s="156" t="s">
        <v>569</v>
      </c>
      <c r="E157" s="179">
        <v>34550</v>
      </c>
      <c r="F157" s="179">
        <v>34550</v>
      </c>
      <c r="G157" s="42">
        <f t="shared" si="41"/>
        <v>0</v>
      </c>
      <c r="H157" s="287"/>
      <c r="I157" s="179">
        <v>34550</v>
      </c>
      <c r="J157" s="42">
        <f t="shared" si="42"/>
        <v>0</v>
      </c>
      <c r="K157" s="287"/>
      <c r="L157" s="179">
        <f t="shared" si="53"/>
        <v>34550</v>
      </c>
      <c r="M157" s="42">
        <f t="shared" si="43"/>
        <v>0</v>
      </c>
      <c r="N157" s="287"/>
      <c r="O157" s="179">
        <f t="shared" si="54"/>
        <v>34550</v>
      </c>
      <c r="P157" s="42">
        <f t="shared" si="44"/>
        <v>0</v>
      </c>
      <c r="Q157" s="287"/>
      <c r="R157" s="453">
        <f t="shared" si="55"/>
        <v>34550</v>
      </c>
      <c r="S157" s="468">
        <f t="shared" si="45"/>
        <v>0</v>
      </c>
      <c r="T157" s="287"/>
      <c r="U157" s="453">
        <f t="shared" si="56"/>
        <v>34550</v>
      </c>
      <c r="V157" s="468">
        <f t="shared" si="46"/>
        <v>0</v>
      </c>
      <c r="W157" s="287"/>
      <c r="X157" s="188">
        <v>0</v>
      </c>
      <c r="Y157" s="340">
        <f t="shared" si="52"/>
        <v>0</v>
      </c>
      <c r="Z157" s="12" t="s">
        <v>455</v>
      </c>
    </row>
    <row r="158" spans="2:26" ht="33.75" customHeight="1" x14ac:dyDescent="0.25">
      <c r="B158" s="56" t="s">
        <v>656</v>
      </c>
      <c r="C158" s="100" t="s">
        <v>587</v>
      </c>
      <c r="D158" s="420" t="s">
        <v>657</v>
      </c>
      <c r="E158" s="224">
        <v>950824</v>
      </c>
      <c r="F158" s="179">
        <v>950824</v>
      </c>
      <c r="G158" s="42">
        <f t="shared" si="41"/>
        <v>0</v>
      </c>
      <c r="H158" s="249"/>
      <c r="I158" s="179">
        <v>950824</v>
      </c>
      <c r="J158" s="42">
        <f t="shared" si="42"/>
        <v>0</v>
      </c>
      <c r="K158" s="249"/>
      <c r="L158" s="179">
        <f t="shared" si="53"/>
        <v>950824</v>
      </c>
      <c r="M158" s="42">
        <f t="shared" si="43"/>
        <v>0</v>
      </c>
      <c r="N158" s="249"/>
      <c r="O158" s="179">
        <f t="shared" si="54"/>
        <v>950824</v>
      </c>
      <c r="P158" s="42">
        <f t="shared" si="44"/>
        <v>0</v>
      </c>
      <c r="Q158" s="249"/>
      <c r="R158" s="453">
        <f t="shared" si="55"/>
        <v>950824</v>
      </c>
      <c r="S158" s="468">
        <f t="shared" si="45"/>
        <v>0</v>
      </c>
      <c r="T158" s="249"/>
      <c r="U158" s="453">
        <f t="shared" si="56"/>
        <v>950824</v>
      </c>
      <c r="V158" s="468">
        <f t="shared" si="46"/>
        <v>0</v>
      </c>
      <c r="W158" s="249"/>
      <c r="X158" s="188">
        <v>15590.85</v>
      </c>
      <c r="Y158" s="376">
        <f t="shared" si="52"/>
        <v>1.6397198640337222E-2</v>
      </c>
      <c r="Z158" s="112"/>
    </row>
    <row r="159" spans="2:26" ht="27.75" customHeight="1" x14ac:dyDescent="0.25">
      <c r="B159" s="56" t="s">
        <v>570</v>
      </c>
      <c r="C159" s="100" t="s">
        <v>588</v>
      </c>
      <c r="D159" s="420" t="s">
        <v>519</v>
      </c>
      <c r="E159" s="224">
        <v>138477</v>
      </c>
      <c r="F159" s="179">
        <v>138477</v>
      </c>
      <c r="G159" s="42">
        <f t="shared" si="41"/>
        <v>0</v>
      </c>
      <c r="H159" s="249"/>
      <c r="I159" s="179">
        <v>138477</v>
      </c>
      <c r="J159" s="42">
        <f t="shared" si="42"/>
        <v>0</v>
      </c>
      <c r="K159" s="249"/>
      <c r="L159" s="179">
        <f t="shared" si="53"/>
        <v>138477</v>
      </c>
      <c r="M159" s="42">
        <f t="shared" si="43"/>
        <v>0</v>
      </c>
      <c r="N159" s="249"/>
      <c r="O159" s="179">
        <f t="shared" si="54"/>
        <v>138477</v>
      </c>
      <c r="P159" s="42">
        <f t="shared" si="44"/>
        <v>0</v>
      </c>
      <c r="Q159" s="249"/>
      <c r="R159" s="453">
        <f t="shared" si="55"/>
        <v>138477</v>
      </c>
      <c r="S159" s="468">
        <f t="shared" si="45"/>
        <v>0</v>
      </c>
      <c r="T159" s="249"/>
      <c r="U159" s="453">
        <f t="shared" si="56"/>
        <v>138477</v>
      </c>
      <c r="V159" s="468">
        <f t="shared" si="46"/>
        <v>0</v>
      </c>
      <c r="W159" s="249"/>
      <c r="X159" s="188">
        <v>33033.120000000003</v>
      </c>
      <c r="Y159" s="376">
        <f t="shared" si="52"/>
        <v>0.23854589570831258</v>
      </c>
      <c r="Z159" s="112"/>
    </row>
    <row r="160" spans="2:26" ht="62.25" customHeight="1" x14ac:dyDescent="0.25">
      <c r="B160" s="56" t="s">
        <v>215</v>
      </c>
      <c r="C160" s="100" t="s">
        <v>589</v>
      </c>
      <c r="D160" s="158" t="s">
        <v>522</v>
      </c>
      <c r="E160" s="224">
        <v>3200</v>
      </c>
      <c r="F160" s="179">
        <v>3200</v>
      </c>
      <c r="G160" s="42">
        <f t="shared" si="41"/>
        <v>0</v>
      </c>
      <c r="H160" s="249"/>
      <c r="I160" s="179">
        <v>3200</v>
      </c>
      <c r="J160" s="42">
        <f t="shared" si="42"/>
        <v>0</v>
      </c>
      <c r="K160" s="249"/>
      <c r="L160" s="179">
        <f t="shared" si="53"/>
        <v>3200</v>
      </c>
      <c r="M160" s="42">
        <f t="shared" si="43"/>
        <v>0</v>
      </c>
      <c r="N160" s="249"/>
      <c r="O160" s="179">
        <f t="shared" si="54"/>
        <v>3200</v>
      </c>
      <c r="P160" s="42">
        <f t="shared" si="44"/>
        <v>0</v>
      </c>
      <c r="Q160" s="249"/>
      <c r="R160" s="453">
        <f>ROUND(O160,0)-2264</f>
        <v>936</v>
      </c>
      <c r="S160" s="468">
        <f t="shared" si="45"/>
        <v>-2264</v>
      </c>
      <c r="T160" s="249" t="s">
        <v>824</v>
      </c>
      <c r="U160" s="453">
        <f>ROUND(R160,0)</f>
        <v>936</v>
      </c>
      <c r="V160" s="468">
        <f t="shared" si="46"/>
        <v>0</v>
      </c>
      <c r="W160" s="249"/>
      <c r="X160" s="188">
        <v>936</v>
      </c>
      <c r="Y160" s="376">
        <f t="shared" si="52"/>
        <v>1</v>
      </c>
      <c r="Z160" s="112"/>
    </row>
    <row r="161" spans="2:26" ht="19.5" customHeight="1" x14ac:dyDescent="0.25">
      <c r="B161" s="56" t="s">
        <v>514</v>
      </c>
      <c r="C161" s="100" t="s">
        <v>590</v>
      </c>
      <c r="D161" s="420" t="s">
        <v>515</v>
      </c>
      <c r="E161" s="224">
        <v>434122</v>
      </c>
      <c r="F161" s="179">
        <v>434122</v>
      </c>
      <c r="G161" s="42">
        <f t="shared" si="41"/>
        <v>0</v>
      </c>
      <c r="H161" s="249"/>
      <c r="I161" s="179">
        <v>434122</v>
      </c>
      <c r="J161" s="42">
        <f t="shared" si="42"/>
        <v>0</v>
      </c>
      <c r="K161" s="249"/>
      <c r="L161" s="179">
        <f t="shared" si="53"/>
        <v>434122</v>
      </c>
      <c r="M161" s="42">
        <f t="shared" si="43"/>
        <v>0</v>
      </c>
      <c r="N161" s="249"/>
      <c r="O161" s="179">
        <f t="shared" si="54"/>
        <v>434122</v>
      </c>
      <c r="P161" s="42">
        <f t="shared" si="44"/>
        <v>0</v>
      </c>
      <c r="Q161" s="249"/>
      <c r="R161" s="453">
        <f>ROUND(O161,0)+10933</f>
        <v>445055</v>
      </c>
      <c r="S161" s="468">
        <f t="shared" si="45"/>
        <v>10933</v>
      </c>
      <c r="T161" s="248" t="s">
        <v>779</v>
      </c>
      <c r="U161" s="453">
        <f>ROUND(R161,0)</f>
        <v>445055</v>
      </c>
      <c r="V161" s="468">
        <f t="shared" si="46"/>
        <v>0</v>
      </c>
      <c r="W161" s="248"/>
      <c r="X161" s="188">
        <v>41709</v>
      </c>
      <c r="Y161" s="340">
        <f t="shared" si="52"/>
        <v>9.3716506948579387E-2</v>
      </c>
      <c r="Z161" s="112"/>
    </row>
    <row r="162" spans="2:26" ht="30" customHeight="1" x14ac:dyDescent="0.25">
      <c r="B162" s="56" t="s">
        <v>678</v>
      </c>
      <c r="C162" s="100" t="s">
        <v>591</v>
      </c>
      <c r="D162" s="158" t="s">
        <v>662</v>
      </c>
      <c r="E162" s="224">
        <v>416333</v>
      </c>
      <c r="F162" s="179">
        <v>416333</v>
      </c>
      <c r="G162" s="42">
        <f t="shared" si="41"/>
        <v>0</v>
      </c>
      <c r="H162" s="249"/>
      <c r="I162" s="179">
        <v>416333</v>
      </c>
      <c r="J162" s="42">
        <f t="shared" si="42"/>
        <v>0</v>
      </c>
      <c r="K162" s="249"/>
      <c r="L162" s="179">
        <f t="shared" si="53"/>
        <v>416333</v>
      </c>
      <c r="M162" s="42">
        <f t="shared" si="43"/>
        <v>0</v>
      </c>
      <c r="N162" s="249"/>
      <c r="O162" s="179">
        <f t="shared" si="54"/>
        <v>416333</v>
      </c>
      <c r="P162" s="42">
        <f t="shared" si="44"/>
        <v>0</v>
      </c>
      <c r="Q162" s="249"/>
      <c r="R162" s="453">
        <f t="shared" si="55"/>
        <v>416333</v>
      </c>
      <c r="S162" s="468">
        <f t="shared" si="45"/>
        <v>0</v>
      </c>
      <c r="T162" s="249"/>
      <c r="U162" s="453">
        <f t="shared" ref="U162:U163" si="57">ROUND(R162,0)</f>
        <v>416333</v>
      </c>
      <c r="V162" s="468">
        <f t="shared" si="46"/>
        <v>0</v>
      </c>
      <c r="W162" s="249"/>
      <c r="X162" s="188">
        <v>1815</v>
      </c>
      <c r="Y162" s="376">
        <f t="shared" si="52"/>
        <v>4.3594910804572303E-3</v>
      </c>
      <c r="Z162" s="112"/>
    </row>
    <row r="163" spans="2:26" ht="16.5" customHeight="1" x14ac:dyDescent="0.25">
      <c r="B163" s="56" t="s">
        <v>557</v>
      </c>
      <c r="C163" s="100" t="s">
        <v>592</v>
      </c>
      <c r="D163" s="157" t="s">
        <v>516</v>
      </c>
      <c r="E163" s="217">
        <v>387128</v>
      </c>
      <c r="F163" s="179">
        <v>387128</v>
      </c>
      <c r="G163" s="51">
        <f t="shared" si="41"/>
        <v>0</v>
      </c>
      <c r="H163" s="307"/>
      <c r="I163" s="179">
        <v>387128</v>
      </c>
      <c r="J163" s="51">
        <f t="shared" si="42"/>
        <v>0</v>
      </c>
      <c r="K163" s="307"/>
      <c r="L163" s="179">
        <f t="shared" si="53"/>
        <v>387128</v>
      </c>
      <c r="M163" s="51">
        <f t="shared" si="43"/>
        <v>0</v>
      </c>
      <c r="N163" s="307"/>
      <c r="O163" s="179">
        <f t="shared" si="54"/>
        <v>387128</v>
      </c>
      <c r="P163" s="51">
        <f t="shared" si="44"/>
        <v>0</v>
      </c>
      <c r="Q163" s="307"/>
      <c r="R163" s="453">
        <f t="shared" si="55"/>
        <v>387128</v>
      </c>
      <c r="S163" s="456">
        <f t="shared" si="45"/>
        <v>0</v>
      </c>
      <c r="T163" s="307"/>
      <c r="U163" s="453">
        <f t="shared" si="57"/>
        <v>387128</v>
      </c>
      <c r="V163" s="456">
        <f t="shared" si="46"/>
        <v>0</v>
      </c>
      <c r="W163" s="307"/>
      <c r="X163" s="188">
        <v>130</v>
      </c>
      <c r="Y163" s="342">
        <f t="shared" si="52"/>
        <v>3.3580624496290631E-4</v>
      </c>
      <c r="Z163" s="51"/>
    </row>
    <row r="164" spans="2:26" ht="29.25" customHeight="1" x14ac:dyDescent="0.25">
      <c r="C164" s="77" t="s">
        <v>232</v>
      </c>
      <c r="D164" s="160" t="s">
        <v>166</v>
      </c>
      <c r="E164" s="222">
        <v>8937615</v>
      </c>
      <c r="F164" s="222">
        <v>8932015</v>
      </c>
      <c r="G164" s="25">
        <f t="shared" si="41"/>
        <v>-5600</v>
      </c>
      <c r="H164" s="254"/>
      <c r="I164" s="222">
        <v>8740760</v>
      </c>
      <c r="J164" s="25">
        <f t="shared" si="42"/>
        <v>-191255</v>
      </c>
      <c r="K164" s="254"/>
      <c r="L164" s="222">
        <f>SUM(L165:L168,L172:L181)</f>
        <v>8740760</v>
      </c>
      <c r="M164" s="25">
        <f t="shared" si="43"/>
        <v>0</v>
      </c>
      <c r="N164" s="254"/>
      <c r="O164" s="222">
        <f>SUM(O165:O168,O172:O181)</f>
        <v>8767780</v>
      </c>
      <c r="P164" s="25">
        <f t="shared" si="44"/>
        <v>27020</v>
      </c>
      <c r="Q164" s="254"/>
      <c r="R164" s="495">
        <f>SUM(R165:R168,R172:R181)</f>
        <v>8782580</v>
      </c>
      <c r="S164" s="496">
        <f t="shared" si="45"/>
        <v>14800</v>
      </c>
      <c r="T164" s="254"/>
      <c r="U164" s="495">
        <f>SUM(U165:U168,U172:U181)</f>
        <v>8772949</v>
      </c>
      <c r="V164" s="496">
        <f t="shared" si="46"/>
        <v>-9631</v>
      </c>
      <c r="W164" s="254"/>
      <c r="X164" s="25">
        <f>SUM(X165:X168,X172:X181)</f>
        <v>7057784.0599999996</v>
      </c>
      <c r="Y164" s="383">
        <f t="shared" si="52"/>
        <v>0.80361170180060981</v>
      </c>
      <c r="Z164" s="25"/>
    </row>
    <row r="165" spans="2:26" ht="15.75" customHeight="1" x14ac:dyDescent="0.25">
      <c r="B165" s="56" t="s">
        <v>324</v>
      </c>
      <c r="C165" s="79" t="s">
        <v>593</v>
      </c>
      <c r="D165" s="156" t="s">
        <v>674</v>
      </c>
      <c r="E165" s="217">
        <v>242016</v>
      </c>
      <c r="F165" s="217">
        <v>242016</v>
      </c>
      <c r="G165" s="105">
        <f t="shared" si="41"/>
        <v>0</v>
      </c>
      <c r="H165" s="309"/>
      <c r="I165" s="217">
        <v>234016</v>
      </c>
      <c r="J165" s="105">
        <f t="shared" si="42"/>
        <v>-8000</v>
      </c>
      <c r="K165" s="309" t="s">
        <v>730</v>
      </c>
      <c r="L165" s="217">
        <f>ROUND(I165,0)</f>
        <v>234016</v>
      </c>
      <c r="M165" s="105">
        <f t="shared" si="43"/>
        <v>0</v>
      </c>
      <c r="N165" s="309"/>
      <c r="O165" s="217">
        <f>ROUND(L165,0)</f>
        <v>234016</v>
      </c>
      <c r="P165" s="105">
        <f t="shared" si="44"/>
        <v>0</v>
      </c>
      <c r="Q165" s="309"/>
      <c r="R165" s="469">
        <f>ROUND(O165,0)-12100-3000+17000</f>
        <v>235916</v>
      </c>
      <c r="S165" s="499">
        <f t="shared" si="45"/>
        <v>1900</v>
      </c>
      <c r="T165" s="309" t="s">
        <v>815</v>
      </c>
      <c r="U165" s="469">
        <f>ROUND(R165,0)</f>
        <v>235916</v>
      </c>
      <c r="V165" s="499">
        <f t="shared" si="46"/>
        <v>0</v>
      </c>
      <c r="W165" s="309"/>
      <c r="X165" s="188">
        <v>191085.46</v>
      </c>
      <c r="Y165" s="342">
        <f t="shared" si="52"/>
        <v>0.80997244782041067</v>
      </c>
      <c r="Z165" s="385"/>
    </row>
    <row r="166" spans="2:26" ht="45" customHeight="1" x14ac:dyDescent="0.25">
      <c r="B166" s="56" t="s">
        <v>385</v>
      </c>
      <c r="C166" s="79" t="s">
        <v>594</v>
      </c>
      <c r="D166" s="414" t="s">
        <v>416</v>
      </c>
      <c r="E166" s="217">
        <v>191255</v>
      </c>
      <c r="F166" s="217">
        <v>191255</v>
      </c>
      <c r="G166" s="42">
        <f t="shared" si="41"/>
        <v>0</v>
      </c>
      <c r="H166" s="310"/>
      <c r="I166" s="217">
        <v>0</v>
      </c>
      <c r="J166" s="42">
        <f t="shared" si="42"/>
        <v>-191255</v>
      </c>
      <c r="K166" s="411" t="s">
        <v>727</v>
      </c>
      <c r="L166" s="217">
        <f>ROUND(I166,0)</f>
        <v>0</v>
      </c>
      <c r="M166" s="42">
        <f t="shared" si="43"/>
        <v>0</v>
      </c>
      <c r="N166" s="411"/>
      <c r="O166" s="217">
        <f>ROUND(L166,0)</f>
        <v>0</v>
      </c>
      <c r="P166" s="42">
        <f t="shared" si="44"/>
        <v>0</v>
      </c>
      <c r="Q166" s="411"/>
      <c r="R166" s="469">
        <f>ROUND(O166,0)</f>
        <v>0</v>
      </c>
      <c r="S166" s="468">
        <f t="shared" si="45"/>
        <v>0</v>
      </c>
      <c r="T166" s="411"/>
      <c r="U166" s="469">
        <f>ROUND(R166,0)</f>
        <v>0</v>
      </c>
      <c r="V166" s="468">
        <f t="shared" si="46"/>
        <v>0</v>
      </c>
      <c r="W166" s="411"/>
      <c r="X166" s="188">
        <v>0</v>
      </c>
      <c r="Y166" s="342" t="e">
        <f t="shared" si="52"/>
        <v>#DIV/0!</v>
      </c>
      <c r="Z166" s="12"/>
    </row>
    <row r="167" spans="2:26" ht="30" customHeight="1" x14ac:dyDescent="0.25">
      <c r="B167" s="56" t="s">
        <v>558</v>
      </c>
      <c r="C167" s="79" t="s">
        <v>595</v>
      </c>
      <c r="D167" s="186" t="s">
        <v>559</v>
      </c>
      <c r="E167" s="233">
        <v>255685</v>
      </c>
      <c r="F167" s="233">
        <v>255685</v>
      </c>
      <c r="G167" s="42">
        <f t="shared" si="41"/>
        <v>0</v>
      </c>
      <c r="H167" s="311"/>
      <c r="I167" s="233">
        <v>255685</v>
      </c>
      <c r="J167" s="42">
        <f t="shared" si="42"/>
        <v>0</v>
      </c>
      <c r="K167" s="311"/>
      <c r="L167" s="233">
        <f>ROUND(I167,0)</f>
        <v>255685</v>
      </c>
      <c r="M167" s="42">
        <f t="shared" si="43"/>
        <v>0</v>
      </c>
      <c r="N167" s="311"/>
      <c r="O167" s="233">
        <f>ROUND(L167,0)</f>
        <v>255685</v>
      </c>
      <c r="P167" s="42">
        <f t="shared" si="44"/>
        <v>0</v>
      </c>
      <c r="Q167" s="311"/>
      <c r="R167" s="500">
        <f>ROUND(O167,0)</f>
        <v>255685</v>
      </c>
      <c r="S167" s="468">
        <f t="shared" si="45"/>
        <v>0</v>
      </c>
      <c r="T167" s="311"/>
      <c r="U167" s="500">
        <f>ROUND(R167,0)</f>
        <v>255685</v>
      </c>
      <c r="V167" s="468">
        <f t="shared" si="46"/>
        <v>0</v>
      </c>
      <c r="W167" s="311"/>
      <c r="X167" s="188">
        <v>23183.599999999999</v>
      </c>
      <c r="Y167" s="356">
        <f t="shared" si="52"/>
        <v>9.0672507186577225E-2</v>
      </c>
      <c r="Z167" s="188"/>
    </row>
    <row r="168" spans="2:26" ht="32.25" customHeight="1" x14ac:dyDescent="0.25">
      <c r="B168" s="56" t="s">
        <v>284</v>
      </c>
      <c r="C168" s="79" t="s">
        <v>596</v>
      </c>
      <c r="D168" s="156" t="s">
        <v>328</v>
      </c>
      <c r="E168" s="242">
        <v>5767122</v>
      </c>
      <c r="F168" s="242">
        <v>5761522</v>
      </c>
      <c r="G168" s="333">
        <f t="shared" si="41"/>
        <v>-5600</v>
      </c>
      <c r="H168" s="248"/>
      <c r="I168" s="242">
        <v>5769522</v>
      </c>
      <c r="J168" s="51">
        <f t="shared" si="42"/>
        <v>8000</v>
      </c>
      <c r="K168" s="248"/>
      <c r="L168" s="242">
        <f>SUM(L169:L171)</f>
        <v>5774573</v>
      </c>
      <c r="M168" s="51">
        <f t="shared" si="43"/>
        <v>5051</v>
      </c>
      <c r="N168" s="248"/>
      <c r="O168" s="242">
        <f>SUM(O169:O171)</f>
        <v>5856957</v>
      </c>
      <c r="P168" s="51">
        <f t="shared" si="44"/>
        <v>82384</v>
      </c>
      <c r="Q168" s="248"/>
      <c r="R168" s="501">
        <f>SUM(R169:R171)</f>
        <v>5859560</v>
      </c>
      <c r="S168" s="456">
        <f t="shared" si="45"/>
        <v>2603</v>
      </c>
      <c r="T168" s="248"/>
      <c r="U168" s="501">
        <f>SUM(U169:U171)</f>
        <v>5849929</v>
      </c>
      <c r="V168" s="456">
        <f t="shared" si="46"/>
        <v>-9631</v>
      </c>
      <c r="W168" s="248"/>
      <c r="X168" s="563">
        <f>SUM(X169:X171)</f>
        <v>5268804</v>
      </c>
      <c r="Y168" s="351">
        <f t="shared" si="52"/>
        <v>0.89918082586405801</v>
      </c>
      <c r="Z168" s="386"/>
    </row>
    <row r="169" spans="2:26" s="169" customFormat="1" ht="47.25" customHeight="1" x14ac:dyDescent="0.25">
      <c r="B169" s="181"/>
      <c r="C169" s="110" t="s">
        <v>666</v>
      </c>
      <c r="D169" s="168" t="s">
        <v>446</v>
      </c>
      <c r="E169" s="243">
        <v>5037221</v>
      </c>
      <c r="F169" s="243">
        <v>5031621</v>
      </c>
      <c r="G169" s="334">
        <f t="shared" si="41"/>
        <v>-5600</v>
      </c>
      <c r="H169" s="312" t="s">
        <v>693</v>
      </c>
      <c r="I169" s="243">
        <v>5034551</v>
      </c>
      <c r="J169" s="152">
        <f t="shared" si="42"/>
        <v>2930</v>
      </c>
      <c r="K169" s="312" t="s">
        <v>731</v>
      </c>
      <c r="L169" s="243">
        <f>ROUND(I169,0)+5051</f>
        <v>5039602</v>
      </c>
      <c r="M169" s="152">
        <f t="shared" si="43"/>
        <v>5051</v>
      </c>
      <c r="N169" s="423" t="s">
        <v>747</v>
      </c>
      <c r="O169" s="243">
        <f>ROUND(L169,0)+55364+16488</f>
        <v>5111454</v>
      </c>
      <c r="P169" s="152">
        <f t="shared" si="44"/>
        <v>71852</v>
      </c>
      <c r="Q169" s="423" t="s">
        <v>771</v>
      </c>
      <c r="R169" s="502">
        <f>ROUND(O169,0)+12100+3000+15000-25297</f>
        <v>5116257</v>
      </c>
      <c r="S169" s="503">
        <f t="shared" si="45"/>
        <v>4803</v>
      </c>
      <c r="T169" s="309" t="s">
        <v>826</v>
      </c>
      <c r="U169" s="502">
        <f>ROUND(R169,0)-9631</f>
        <v>5106626</v>
      </c>
      <c r="V169" s="503">
        <f t="shared" si="46"/>
        <v>-9631</v>
      </c>
      <c r="W169" s="309" t="s">
        <v>834</v>
      </c>
      <c r="X169" s="431">
        <v>4632220</v>
      </c>
      <c r="Y169" s="354">
        <f t="shared" si="52"/>
        <v>0.90539236007886237</v>
      </c>
      <c r="Z169" s="352" t="s">
        <v>454</v>
      </c>
    </row>
    <row r="170" spans="2:26" s="169" customFormat="1" ht="17.25" customHeight="1" x14ac:dyDescent="0.25">
      <c r="B170" s="181"/>
      <c r="C170" s="110" t="s">
        <v>667</v>
      </c>
      <c r="D170" s="168" t="s">
        <v>447</v>
      </c>
      <c r="E170" s="243">
        <v>413000</v>
      </c>
      <c r="F170" s="243">
        <v>413000</v>
      </c>
      <c r="G170" s="152">
        <f t="shared" si="41"/>
        <v>0</v>
      </c>
      <c r="H170" s="312"/>
      <c r="I170" s="243">
        <v>413000</v>
      </c>
      <c r="J170" s="152">
        <f t="shared" si="42"/>
        <v>0</v>
      </c>
      <c r="K170" s="312"/>
      <c r="L170" s="243">
        <f>ROUND(I170,0)</f>
        <v>413000</v>
      </c>
      <c r="M170" s="152">
        <f t="shared" si="43"/>
        <v>0</v>
      </c>
      <c r="O170" s="243">
        <f>ROUND(L170,0)</f>
        <v>413000</v>
      </c>
      <c r="P170" s="152">
        <f t="shared" si="44"/>
        <v>0</v>
      </c>
      <c r="Q170" s="248"/>
      <c r="R170" s="502">
        <f t="shared" ref="R170:R172" si="58">ROUND(O170,0)</f>
        <v>413000</v>
      </c>
      <c r="S170" s="503">
        <f t="shared" si="45"/>
        <v>0</v>
      </c>
      <c r="T170" s="248"/>
      <c r="U170" s="502">
        <f t="shared" ref="U170" si="59">ROUND(R170,0)</f>
        <v>413000</v>
      </c>
      <c r="V170" s="503">
        <f t="shared" si="46"/>
        <v>0</v>
      </c>
      <c r="W170" s="248"/>
      <c r="X170" s="431">
        <v>342096</v>
      </c>
      <c r="Y170" s="354">
        <f t="shared" si="52"/>
        <v>0.828319612590799</v>
      </c>
      <c r="Z170" s="352" t="s">
        <v>454</v>
      </c>
    </row>
    <row r="171" spans="2:26" s="169" customFormat="1" ht="54" customHeight="1" x14ac:dyDescent="0.25">
      <c r="B171" s="181"/>
      <c r="C171" s="110" t="s">
        <v>668</v>
      </c>
      <c r="D171" s="168" t="s">
        <v>448</v>
      </c>
      <c r="E171" s="243">
        <v>316901</v>
      </c>
      <c r="F171" s="243">
        <v>316901</v>
      </c>
      <c r="G171" s="152">
        <f t="shared" si="41"/>
        <v>0</v>
      </c>
      <c r="H171" s="312"/>
      <c r="I171" s="243">
        <v>321971</v>
      </c>
      <c r="J171" s="152">
        <f t="shared" si="42"/>
        <v>5070</v>
      </c>
      <c r="K171" s="312" t="s">
        <v>723</v>
      </c>
      <c r="L171" s="243">
        <f>ROUND(I171,0)</f>
        <v>321971</v>
      </c>
      <c r="M171" s="152">
        <f t="shared" si="43"/>
        <v>0</v>
      </c>
      <c r="N171" s="312"/>
      <c r="O171" s="243">
        <f>ROUND(L171,0)+14000+13020-16488</f>
        <v>332503</v>
      </c>
      <c r="P171" s="152">
        <f t="shared" si="44"/>
        <v>10532</v>
      </c>
      <c r="Q171" s="312" t="s">
        <v>772</v>
      </c>
      <c r="R171" s="502">
        <f>ROUND(O171,0)+(8600+200+1400+1000+1000+1200+1400)-17000</f>
        <v>330303</v>
      </c>
      <c r="S171" s="503">
        <f>R171-O171</f>
        <v>-2200</v>
      </c>
      <c r="T171" s="312" t="s">
        <v>816</v>
      </c>
      <c r="U171" s="502">
        <f>ROUND(R171,0)</f>
        <v>330303</v>
      </c>
      <c r="V171" s="503">
        <f>U171-R171</f>
        <v>0</v>
      </c>
      <c r="W171" s="312" t="s">
        <v>837</v>
      </c>
      <c r="X171" s="431">
        <v>294488</v>
      </c>
      <c r="Y171" s="354">
        <f t="shared" si="52"/>
        <v>0.89156925610727122</v>
      </c>
      <c r="Z171" s="352" t="s">
        <v>454</v>
      </c>
    </row>
    <row r="172" spans="2:26" ht="25.95" customHeight="1" x14ac:dyDescent="0.25">
      <c r="B172" s="56" t="s">
        <v>284</v>
      </c>
      <c r="C172" s="100" t="s">
        <v>669</v>
      </c>
      <c r="D172" s="156" t="s">
        <v>665</v>
      </c>
      <c r="E172" s="217">
        <v>237443</v>
      </c>
      <c r="F172" s="217">
        <v>237443</v>
      </c>
      <c r="G172" s="51">
        <f t="shared" si="41"/>
        <v>0</v>
      </c>
      <c r="H172" s="307"/>
      <c r="I172" s="217">
        <v>237443</v>
      </c>
      <c r="J172" s="51">
        <f t="shared" si="42"/>
        <v>0</v>
      </c>
      <c r="K172" s="307"/>
      <c r="L172" s="217">
        <f>ROUND(I172,0)</f>
        <v>237443</v>
      </c>
      <c r="M172" s="51">
        <f t="shared" si="43"/>
        <v>0</v>
      </c>
      <c r="N172" s="307"/>
      <c r="O172" s="217">
        <f>ROUND(L172,0)</f>
        <v>237443</v>
      </c>
      <c r="P172" s="51">
        <f t="shared" si="44"/>
        <v>0</v>
      </c>
      <c r="Q172" s="307"/>
      <c r="R172" s="469">
        <f t="shared" si="58"/>
        <v>237443</v>
      </c>
      <c r="S172" s="456">
        <f t="shared" si="45"/>
        <v>0</v>
      </c>
      <c r="T172" s="307"/>
      <c r="U172" s="469">
        <f t="shared" ref="U172" si="60">ROUND(R172,0)</f>
        <v>237443</v>
      </c>
      <c r="V172" s="456">
        <f t="shared" ref="V172:V173" si="61">U172-R172</f>
        <v>0</v>
      </c>
      <c r="W172" s="307"/>
      <c r="X172" s="188">
        <v>165344</v>
      </c>
      <c r="Y172" s="342">
        <f t="shared" si="52"/>
        <v>0.69635238773095021</v>
      </c>
      <c r="Z172" s="90" t="s">
        <v>454</v>
      </c>
    </row>
    <row r="173" spans="2:26" ht="31.95" customHeight="1" x14ac:dyDescent="0.25">
      <c r="B173" s="56" t="s">
        <v>284</v>
      </c>
      <c r="C173" s="100" t="s">
        <v>597</v>
      </c>
      <c r="D173" s="156" t="s">
        <v>670</v>
      </c>
      <c r="E173" s="213">
        <v>418784</v>
      </c>
      <c r="F173" s="217">
        <v>339942</v>
      </c>
      <c r="G173" s="51">
        <f t="shared" si="41"/>
        <v>-78842</v>
      </c>
      <c r="H173" s="566" t="s">
        <v>696</v>
      </c>
      <c r="I173" s="217">
        <v>339942</v>
      </c>
      <c r="J173" s="51">
        <f t="shared" si="42"/>
        <v>0</v>
      </c>
      <c r="K173" s="566"/>
      <c r="L173" s="217">
        <f>ROUND(I173,0)</f>
        <v>339942</v>
      </c>
      <c r="M173" s="51">
        <f t="shared" si="43"/>
        <v>0</v>
      </c>
      <c r="N173" s="422"/>
      <c r="O173" s="217">
        <f>ROUND(L173,0)</f>
        <v>339942</v>
      </c>
      <c r="P173" s="51">
        <f t="shared" si="44"/>
        <v>0</v>
      </c>
      <c r="Q173" s="422"/>
      <c r="R173" s="469">
        <f>ROUND(O173,0)-15000</f>
        <v>324942</v>
      </c>
      <c r="S173" s="456">
        <f t="shared" si="45"/>
        <v>-15000</v>
      </c>
      <c r="T173" s="422" t="s">
        <v>825</v>
      </c>
      <c r="U173" s="469">
        <f>ROUND(R173,0)</f>
        <v>324942</v>
      </c>
      <c r="V173" s="456">
        <f t="shared" si="61"/>
        <v>0</v>
      </c>
      <c r="W173" s="422"/>
      <c r="X173" s="188">
        <v>241201</v>
      </c>
      <c r="Y173" s="355">
        <f t="shared" si="52"/>
        <v>0.74228939318401432</v>
      </c>
      <c r="Z173" s="90" t="s">
        <v>454</v>
      </c>
    </row>
    <row r="174" spans="2:26" ht="32.25" customHeight="1" x14ac:dyDescent="0.25">
      <c r="B174" s="56" t="s">
        <v>284</v>
      </c>
      <c r="C174" s="100" t="s">
        <v>598</v>
      </c>
      <c r="D174" s="156" t="s">
        <v>671</v>
      </c>
      <c r="E174" s="233">
        <v>1825310</v>
      </c>
      <c r="F174" s="233">
        <v>1904152</v>
      </c>
      <c r="G174" s="51">
        <f t="shared" si="41"/>
        <v>78842</v>
      </c>
      <c r="H174" s="567"/>
      <c r="I174" s="233">
        <v>1904152</v>
      </c>
      <c r="J174" s="51">
        <f t="shared" si="42"/>
        <v>0</v>
      </c>
      <c r="K174" s="567"/>
      <c r="L174" s="424">
        <f>ROUND(I174,0)-5051</f>
        <v>1899101</v>
      </c>
      <c r="M174" s="240">
        <f t="shared" si="43"/>
        <v>-5051</v>
      </c>
      <c r="N174" s="423" t="s">
        <v>747</v>
      </c>
      <c r="O174" s="424">
        <f>ROUND(L174,0)-55364</f>
        <v>1843737</v>
      </c>
      <c r="P174" s="240">
        <f>O174-L174</f>
        <v>-55364</v>
      </c>
      <c r="Q174" s="423" t="s">
        <v>759</v>
      </c>
      <c r="R174" s="504">
        <f>ROUND(O174,0)+25297</f>
        <v>1869034</v>
      </c>
      <c r="S174" s="557">
        <f>R174-O174</f>
        <v>25297</v>
      </c>
      <c r="T174" s="423" t="s">
        <v>827</v>
      </c>
      <c r="U174" s="504">
        <f>ROUND(R174,0)</f>
        <v>1869034</v>
      </c>
      <c r="V174" s="559">
        <f>U174-R174</f>
        <v>0</v>
      </c>
      <c r="W174" s="423"/>
      <c r="X174" s="564">
        <v>1168166</v>
      </c>
      <c r="Y174" s="356">
        <f t="shared" si="52"/>
        <v>0.62501056695597834</v>
      </c>
      <c r="Z174" s="90" t="s">
        <v>454</v>
      </c>
    </row>
    <row r="175" spans="2:26" ht="18.600000000000001" hidden="1" customHeight="1" outlineLevel="1" x14ac:dyDescent="0.25">
      <c r="B175" s="56" t="s">
        <v>284</v>
      </c>
      <c r="C175" s="100" t="s">
        <v>599</v>
      </c>
      <c r="D175" s="163" t="s">
        <v>517</v>
      </c>
      <c r="E175" s="213"/>
      <c r="F175" s="217">
        <v>0</v>
      </c>
      <c r="G175" s="51">
        <f t="shared" si="41"/>
        <v>0</v>
      </c>
      <c r="H175" s="308"/>
      <c r="I175" s="217">
        <v>0</v>
      </c>
      <c r="J175" s="51">
        <f t="shared" si="42"/>
        <v>0</v>
      </c>
      <c r="K175" s="308"/>
      <c r="L175" s="217">
        <f t="shared" ref="L175:L181" si="62">ROUND(J175,0)</f>
        <v>0</v>
      </c>
      <c r="M175" s="51">
        <f t="shared" si="43"/>
        <v>0</v>
      </c>
      <c r="N175" s="308"/>
      <c r="O175" s="217">
        <f t="shared" ref="O175:O181" si="63">ROUND(M175,0)</f>
        <v>0</v>
      </c>
      <c r="P175" s="51">
        <f t="shared" si="44"/>
        <v>0</v>
      </c>
      <c r="Q175" s="308"/>
      <c r="R175" s="469">
        <f t="shared" ref="R175:R181" si="64">ROUND(P175,0)</f>
        <v>0</v>
      </c>
      <c r="S175" s="456">
        <f t="shared" ref="S175:S242" si="65">R175-O175</f>
        <v>0</v>
      </c>
      <c r="T175" s="308"/>
      <c r="U175" s="469">
        <f t="shared" ref="U175:U181" si="66">ROUND(S175,0)</f>
        <v>0</v>
      </c>
      <c r="V175" s="456">
        <f t="shared" ref="V175:V242" si="67">U175-R175</f>
        <v>0</v>
      </c>
      <c r="W175" s="308"/>
      <c r="X175" s="533"/>
      <c r="Y175" s="355" t="e">
        <f t="shared" si="52"/>
        <v>#DIV/0!</v>
      </c>
      <c r="Z175" s="90" t="s">
        <v>456</v>
      </c>
    </row>
    <row r="176" spans="2:26" ht="43.5" hidden="1" customHeight="1" outlineLevel="1" x14ac:dyDescent="0.25">
      <c r="B176" s="56" t="s">
        <v>284</v>
      </c>
      <c r="C176" s="100" t="s">
        <v>600</v>
      </c>
      <c r="D176" s="163" t="s">
        <v>445</v>
      </c>
      <c r="E176" s="213"/>
      <c r="F176" s="217">
        <v>0</v>
      </c>
      <c r="G176" s="51">
        <f t="shared" si="41"/>
        <v>0</v>
      </c>
      <c r="H176" s="308"/>
      <c r="I176" s="217">
        <v>0</v>
      </c>
      <c r="J176" s="51">
        <f t="shared" si="42"/>
        <v>0</v>
      </c>
      <c r="K176" s="308"/>
      <c r="L176" s="217">
        <f t="shared" si="62"/>
        <v>0</v>
      </c>
      <c r="M176" s="51">
        <f t="shared" si="43"/>
        <v>0</v>
      </c>
      <c r="N176" s="308"/>
      <c r="O176" s="217">
        <f t="shared" si="63"/>
        <v>0</v>
      </c>
      <c r="P176" s="51">
        <f t="shared" si="44"/>
        <v>0</v>
      </c>
      <c r="Q176" s="308"/>
      <c r="R176" s="469">
        <f t="shared" si="64"/>
        <v>0</v>
      </c>
      <c r="S176" s="456">
        <f t="shared" si="65"/>
        <v>0</v>
      </c>
      <c r="T176" s="308"/>
      <c r="U176" s="469">
        <f t="shared" si="66"/>
        <v>0</v>
      </c>
      <c r="V176" s="456">
        <f t="shared" si="67"/>
        <v>0</v>
      </c>
      <c r="W176" s="308"/>
      <c r="X176" s="533"/>
      <c r="Y176" s="355" t="e">
        <f t="shared" si="52"/>
        <v>#DIV/0!</v>
      </c>
      <c r="Z176" s="90" t="s">
        <v>456</v>
      </c>
    </row>
    <row r="177" spans="2:26" ht="25.95" hidden="1" customHeight="1" outlineLevel="1" x14ac:dyDescent="0.25">
      <c r="B177" s="56" t="s">
        <v>284</v>
      </c>
      <c r="C177" s="100" t="s">
        <v>601</v>
      </c>
      <c r="D177" s="163" t="s">
        <v>520</v>
      </c>
      <c r="E177" s="213"/>
      <c r="F177" s="217">
        <v>0</v>
      </c>
      <c r="G177" s="51">
        <f t="shared" si="41"/>
        <v>0</v>
      </c>
      <c r="H177" s="308"/>
      <c r="I177" s="217">
        <v>0</v>
      </c>
      <c r="J177" s="51">
        <f t="shared" si="42"/>
        <v>0</v>
      </c>
      <c r="K177" s="308"/>
      <c r="L177" s="217">
        <f t="shared" si="62"/>
        <v>0</v>
      </c>
      <c r="M177" s="51">
        <f t="shared" si="43"/>
        <v>0</v>
      </c>
      <c r="N177" s="308"/>
      <c r="O177" s="217">
        <f t="shared" si="63"/>
        <v>0</v>
      </c>
      <c r="P177" s="51">
        <f t="shared" si="44"/>
        <v>0</v>
      </c>
      <c r="Q177" s="308"/>
      <c r="R177" s="469">
        <f t="shared" si="64"/>
        <v>0</v>
      </c>
      <c r="S177" s="456">
        <f t="shared" si="65"/>
        <v>0</v>
      </c>
      <c r="T177" s="308"/>
      <c r="U177" s="469">
        <f t="shared" si="66"/>
        <v>0</v>
      </c>
      <c r="V177" s="456">
        <f t="shared" si="67"/>
        <v>0</v>
      </c>
      <c r="W177" s="308"/>
      <c r="X177" s="533"/>
      <c r="Y177" s="355" t="e">
        <f t="shared" si="52"/>
        <v>#DIV/0!</v>
      </c>
      <c r="Z177" s="90" t="s">
        <v>456</v>
      </c>
    </row>
    <row r="178" spans="2:26" ht="45.6" hidden="1" customHeight="1" outlineLevel="1" x14ac:dyDescent="0.25">
      <c r="B178" s="56" t="s">
        <v>284</v>
      </c>
      <c r="C178" s="100" t="s">
        <v>602</v>
      </c>
      <c r="D178" s="163" t="s">
        <v>530</v>
      </c>
      <c r="E178" s="213"/>
      <c r="F178" s="217">
        <v>0</v>
      </c>
      <c r="G178" s="51">
        <f t="shared" si="41"/>
        <v>0</v>
      </c>
      <c r="H178" s="308"/>
      <c r="I178" s="217">
        <v>0</v>
      </c>
      <c r="J178" s="51">
        <f t="shared" si="42"/>
        <v>0</v>
      </c>
      <c r="K178" s="308"/>
      <c r="L178" s="217">
        <f t="shared" si="62"/>
        <v>0</v>
      </c>
      <c r="M178" s="51">
        <f t="shared" si="43"/>
        <v>0</v>
      </c>
      <c r="N178" s="308"/>
      <c r="O178" s="217">
        <f t="shared" si="63"/>
        <v>0</v>
      </c>
      <c r="P178" s="51">
        <f t="shared" si="44"/>
        <v>0</v>
      </c>
      <c r="Q178" s="308"/>
      <c r="R178" s="469">
        <f t="shared" si="64"/>
        <v>0</v>
      </c>
      <c r="S178" s="456">
        <f t="shared" si="65"/>
        <v>0</v>
      </c>
      <c r="T178" s="308"/>
      <c r="U178" s="469">
        <f t="shared" si="66"/>
        <v>0</v>
      </c>
      <c r="V178" s="456">
        <f t="shared" si="67"/>
        <v>0</v>
      </c>
      <c r="W178" s="308"/>
      <c r="X178" s="533"/>
      <c r="Y178" s="355" t="e">
        <f t="shared" si="52"/>
        <v>#DIV/0!</v>
      </c>
      <c r="Z178" s="90" t="s">
        <v>456</v>
      </c>
    </row>
    <row r="179" spans="2:26" ht="18.600000000000001" hidden="1" customHeight="1" outlineLevel="1" x14ac:dyDescent="0.25">
      <c r="B179" s="56" t="s">
        <v>510</v>
      </c>
      <c r="C179" s="100" t="s">
        <v>603</v>
      </c>
      <c r="D179" s="163" t="s">
        <v>444</v>
      </c>
      <c r="E179" s="213"/>
      <c r="F179" s="217">
        <v>0</v>
      </c>
      <c r="G179" s="51">
        <f t="shared" si="41"/>
        <v>0</v>
      </c>
      <c r="H179" s="308"/>
      <c r="I179" s="217">
        <v>0</v>
      </c>
      <c r="J179" s="51">
        <f t="shared" si="42"/>
        <v>0</v>
      </c>
      <c r="K179" s="308"/>
      <c r="L179" s="217">
        <f t="shared" si="62"/>
        <v>0</v>
      </c>
      <c r="M179" s="51">
        <f t="shared" si="43"/>
        <v>0</v>
      </c>
      <c r="N179" s="308"/>
      <c r="O179" s="217">
        <f t="shared" si="63"/>
        <v>0</v>
      </c>
      <c r="P179" s="51">
        <f t="shared" si="44"/>
        <v>0</v>
      </c>
      <c r="Q179" s="308"/>
      <c r="R179" s="469">
        <f t="shared" si="64"/>
        <v>0</v>
      </c>
      <c r="S179" s="456">
        <f t="shared" si="65"/>
        <v>0</v>
      </c>
      <c r="T179" s="308"/>
      <c r="U179" s="469">
        <f t="shared" si="66"/>
        <v>0</v>
      </c>
      <c r="V179" s="456">
        <f t="shared" si="67"/>
        <v>0</v>
      </c>
      <c r="W179" s="308"/>
      <c r="X179" s="533"/>
      <c r="Y179" s="355" t="e">
        <f t="shared" si="52"/>
        <v>#DIV/0!</v>
      </c>
      <c r="Z179" s="90" t="s">
        <v>456</v>
      </c>
    </row>
    <row r="180" spans="2:26" ht="29.4" hidden="1" customHeight="1" outlineLevel="1" x14ac:dyDescent="0.25">
      <c r="B180" s="56"/>
      <c r="C180" s="100" t="s">
        <v>604</v>
      </c>
      <c r="D180" s="163" t="s">
        <v>552</v>
      </c>
      <c r="E180" s="213">
        <v>0</v>
      </c>
      <c r="F180" s="217">
        <v>0</v>
      </c>
      <c r="G180" s="51">
        <f t="shared" si="41"/>
        <v>0</v>
      </c>
      <c r="H180" s="308"/>
      <c r="I180" s="217">
        <v>0</v>
      </c>
      <c r="J180" s="51">
        <f t="shared" si="42"/>
        <v>0</v>
      </c>
      <c r="K180" s="308"/>
      <c r="L180" s="217">
        <f t="shared" si="62"/>
        <v>0</v>
      </c>
      <c r="M180" s="51">
        <f t="shared" si="43"/>
        <v>0</v>
      </c>
      <c r="N180" s="308"/>
      <c r="O180" s="217">
        <f t="shared" si="63"/>
        <v>0</v>
      </c>
      <c r="P180" s="51">
        <f t="shared" si="44"/>
        <v>0</v>
      </c>
      <c r="Q180" s="308"/>
      <c r="R180" s="469">
        <f t="shared" si="64"/>
        <v>0</v>
      </c>
      <c r="S180" s="456">
        <f t="shared" si="65"/>
        <v>0</v>
      </c>
      <c r="T180" s="308"/>
      <c r="U180" s="469">
        <f t="shared" si="66"/>
        <v>0</v>
      </c>
      <c r="V180" s="456">
        <f t="shared" si="67"/>
        <v>0</v>
      </c>
      <c r="W180" s="308"/>
      <c r="X180" s="533"/>
      <c r="Y180" s="355" t="e">
        <f t="shared" si="52"/>
        <v>#DIV/0!</v>
      </c>
      <c r="Z180" s="90" t="s">
        <v>455</v>
      </c>
    </row>
    <row r="181" spans="2:26" ht="29.4" hidden="1" customHeight="1" outlineLevel="1" x14ac:dyDescent="0.25">
      <c r="B181" s="56" t="s">
        <v>384</v>
      </c>
      <c r="C181" s="100" t="s">
        <v>605</v>
      </c>
      <c r="D181" s="163" t="s">
        <v>553</v>
      </c>
      <c r="E181" s="217">
        <v>0</v>
      </c>
      <c r="F181" s="217">
        <v>0</v>
      </c>
      <c r="G181" s="51">
        <f t="shared" si="41"/>
        <v>0</v>
      </c>
      <c r="H181" s="287"/>
      <c r="I181" s="217">
        <v>0</v>
      </c>
      <c r="J181" s="51">
        <f t="shared" si="42"/>
        <v>0</v>
      </c>
      <c r="K181" s="287"/>
      <c r="L181" s="217">
        <f t="shared" si="62"/>
        <v>0</v>
      </c>
      <c r="M181" s="51">
        <f t="shared" si="43"/>
        <v>0</v>
      </c>
      <c r="N181" s="287"/>
      <c r="O181" s="217">
        <f t="shared" si="63"/>
        <v>0</v>
      </c>
      <c r="P181" s="51">
        <f t="shared" si="44"/>
        <v>0</v>
      </c>
      <c r="Q181" s="287"/>
      <c r="R181" s="469">
        <f t="shared" si="64"/>
        <v>0</v>
      </c>
      <c r="S181" s="456">
        <f t="shared" si="65"/>
        <v>0</v>
      </c>
      <c r="T181" s="287"/>
      <c r="U181" s="469">
        <f t="shared" si="66"/>
        <v>0</v>
      </c>
      <c r="V181" s="456">
        <f t="shared" si="67"/>
        <v>0</v>
      </c>
      <c r="W181" s="287"/>
      <c r="X181" s="533"/>
      <c r="Y181" s="342" t="e">
        <f t="shared" si="52"/>
        <v>#DIV/0!</v>
      </c>
      <c r="Z181" s="387" t="s">
        <v>456</v>
      </c>
    </row>
    <row r="182" spans="2:26" collapsed="1" x14ac:dyDescent="0.25">
      <c r="C182" s="78" t="s">
        <v>41</v>
      </c>
      <c r="D182" s="155" t="s">
        <v>168</v>
      </c>
      <c r="E182" s="13">
        <v>2552007</v>
      </c>
      <c r="F182" s="212">
        <v>2552007</v>
      </c>
      <c r="G182" s="13">
        <f t="shared" si="41"/>
        <v>0</v>
      </c>
      <c r="H182" s="13"/>
      <c r="I182" s="212">
        <v>2536621</v>
      </c>
      <c r="J182" s="13">
        <f t="shared" si="42"/>
        <v>-15386</v>
      </c>
      <c r="K182" s="13"/>
      <c r="L182" s="212">
        <f>SUM(L183,L188:L192)+L195+L196</f>
        <v>2587421</v>
      </c>
      <c r="M182" s="13">
        <f t="shared" si="43"/>
        <v>50800</v>
      </c>
      <c r="N182" s="13"/>
      <c r="O182" s="212">
        <f>SUM(O183,O188:O192)+O195+O196</f>
        <v>2591021</v>
      </c>
      <c r="P182" s="13">
        <f t="shared" si="44"/>
        <v>3600</v>
      </c>
      <c r="Q182" s="13"/>
      <c r="R182" s="455">
        <f>SUM(R183,R188:R192)+R195+R196</f>
        <v>2595021</v>
      </c>
      <c r="S182" s="14">
        <f t="shared" si="65"/>
        <v>4000</v>
      </c>
      <c r="T182" s="13"/>
      <c r="U182" s="455">
        <f>SUM(U183,U188:U192)+U195+U196</f>
        <v>2625660</v>
      </c>
      <c r="V182" s="14">
        <f t="shared" si="67"/>
        <v>30639</v>
      </c>
      <c r="W182" s="13"/>
      <c r="X182" s="193">
        <f>SUM(X183,X188:X192)+X195+X196</f>
        <v>2366992.4900000002</v>
      </c>
      <c r="Y182" s="366">
        <f t="shared" si="52"/>
        <v>0.91212845291040046</v>
      </c>
      <c r="Z182" s="193"/>
    </row>
    <row r="183" spans="2:26" ht="23.25" customHeight="1" x14ac:dyDescent="0.25">
      <c r="C183" s="77" t="s">
        <v>44</v>
      </c>
      <c r="D183" s="146" t="s">
        <v>288</v>
      </c>
      <c r="E183" s="37">
        <v>1535520</v>
      </c>
      <c r="F183" s="37">
        <v>1535520</v>
      </c>
      <c r="G183" s="37">
        <f t="shared" si="41"/>
        <v>0</v>
      </c>
      <c r="H183" s="37">
        <f>SUM(H184:H187)</f>
        <v>0</v>
      </c>
      <c r="I183" s="37">
        <v>1535520</v>
      </c>
      <c r="J183" s="37">
        <f t="shared" si="42"/>
        <v>0</v>
      </c>
      <c r="K183" s="37">
        <f>SUM(K184:K187)</f>
        <v>0</v>
      </c>
      <c r="L183" s="37">
        <f>SUM(L184:L187)</f>
        <v>1555520</v>
      </c>
      <c r="M183" s="37">
        <f t="shared" si="43"/>
        <v>20000</v>
      </c>
      <c r="N183" s="37">
        <f>SUM(N184:N187)</f>
        <v>0</v>
      </c>
      <c r="O183" s="37">
        <f>SUM(O184:O187)</f>
        <v>1559120</v>
      </c>
      <c r="P183" s="37">
        <f t="shared" si="44"/>
        <v>3600</v>
      </c>
      <c r="Q183" s="37">
        <f>SUM(Q184:Q187)</f>
        <v>0</v>
      </c>
      <c r="R183" s="467">
        <f>SUM(R184:R187)</f>
        <v>1559120</v>
      </c>
      <c r="S183" s="467">
        <f t="shared" si="65"/>
        <v>0</v>
      </c>
      <c r="T183" s="37">
        <f>SUM(T184:T187)</f>
        <v>0</v>
      </c>
      <c r="U183" s="467">
        <f>SUM(U184:U187)</f>
        <v>1559120</v>
      </c>
      <c r="V183" s="467">
        <f t="shared" si="67"/>
        <v>0</v>
      </c>
      <c r="W183" s="37">
        <f>SUM(W184:W187)</f>
        <v>0</v>
      </c>
      <c r="X183" s="192">
        <f>SUM(X184:X187)</f>
        <v>1415112.54</v>
      </c>
      <c r="Y183" s="353">
        <f t="shared" si="52"/>
        <v>0.90763542254605167</v>
      </c>
      <c r="Z183" s="382"/>
    </row>
    <row r="184" spans="2:26" ht="19.5" customHeight="1" x14ac:dyDescent="0.25">
      <c r="B184" s="56" t="s">
        <v>351</v>
      </c>
      <c r="C184" s="79" t="s">
        <v>47</v>
      </c>
      <c r="D184" s="144" t="s">
        <v>329</v>
      </c>
      <c r="E184" s="217">
        <v>793277</v>
      </c>
      <c r="F184" s="217">
        <v>793277</v>
      </c>
      <c r="G184" s="51">
        <f t="shared" si="41"/>
        <v>0</v>
      </c>
      <c r="H184" s="307"/>
      <c r="I184" s="217">
        <v>793277</v>
      </c>
      <c r="J184" s="51">
        <f t="shared" si="42"/>
        <v>0</v>
      </c>
      <c r="K184" s="307"/>
      <c r="L184" s="217">
        <f>ROUND(I184,0)+20000</f>
        <v>813277</v>
      </c>
      <c r="M184" s="51">
        <f t="shared" si="43"/>
        <v>20000</v>
      </c>
      <c r="N184" s="307" t="s">
        <v>745</v>
      </c>
      <c r="O184" s="217">
        <f>ROUND(L184,0)</f>
        <v>813277</v>
      </c>
      <c r="P184" s="51">
        <f t="shared" si="44"/>
        <v>0</v>
      </c>
      <c r="Q184" s="307"/>
      <c r="R184" s="469">
        <f>ROUND(O184,0)</f>
        <v>813277</v>
      </c>
      <c r="S184" s="456">
        <f t="shared" si="65"/>
        <v>0</v>
      </c>
      <c r="T184" s="307"/>
      <c r="U184" s="469">
        <f>ROUND(R184,0)</f>
        <v>813277</v>
      </c>
      <c r="V184" s="456">
        <f t="shared" si="67"/>
        <v>0</v>
      </c>
      <c r="W184" s="307"/>
      <c r="X184" s="188">
        <v>720135.1</v>
      </c>
      <c r="Y184" s="342">
        <f t="shared" si="52"/>
        <v>0.88547333811235285</v>
      </c>
      <c r="Z184" s="188"/>
    </row>
    <row r="185" spans="2:26" ht="14.25" customHeight="1" x14ac:dyDescent="0.25">
      <c r="B185" s="56" t="s">
        <v>345</v>
      </c>
      <c r="C185" s="79" t="s">
        <v>50</v>
      </c>
      <c r="D185" s="144" t="s">
        <v>301</v>
      </c>
      <c r="E185" s="217">
        <v>526028</v>
      </c>
      <c r="F185" s="217">
        <v>526028</v>
      </c>
      <c r="G185" s="51">
        <f t="shared" si="41"/>
        <v>0</v>
      </c>
      <c r="H185" s="307"/>
      <c r="I185" s="217">
        <v>526028</v>
      </c>
      <c r="J185" s="51">
        <f t="shared" si="42"/>
        <v>0</v>
      </c>
      <c r="K185" s="307"/>
      <c r="L185" s="217">
        <f>ROUND(I185,0)</f>
        <v>526028</v>
      </c>
      <c r="M185" s="51">
        <f t="shared" si="43"/>
        <v>0</v>
      </c>
      <c r="N185" s="307"/>
      <c r="O185" s="217">
        <f>ROUND(L185,0)</f>
        <v>526028</v>
      </c>
      <c r="P185" s="51">
        <f t="shared" si="44"/>
        <v>0</v>
      </c>
      <c r="Q185" s="307"/>
      <c r="R185" s="469">
        <f>ROUND(O185,0)</f>
        <v>526028</v>
      </c>
      <c r="S185" s="456">
        <f t="shared" si="65"/>
        <v>0</v>
      </c>
      <c r="T185" s="307"/>
      <c r="U185" s="469">
        <f>ROUND(R185,0)</f>
        <v>526028</v>
      </c>
      <c r="V185" s="456">
        <f t="shared" si="67"/>
        <v>0</v>
      </c>
      <c r="W185" s="307"/>
      <c r="X185" s="188">
        <v>502212.75</v>
      </c>
      <c r="Y185" s="342">
        <f t="shared" si="52"/>
        <v>0.95472626932406635</v>
      </c>
      <c r="Z185" s="188"/>
    </row>
    <row r="186" spans="2:26" ht="15" customHeight="1" x14ac:dyDescent="0.25">
      <c r="B186" s="56" t="s">
        <v>344</v>
      </c>
      <c r="C186" s="79" t="s">
        <v>52</v>
      </c>
      <c r="D186" s="144" t="s">
        <v>440</v>
      </c>
      <c r="E186" s="217">
        <v>185916</v>
      </c>
      <c r="F186" s="217">
        <v>185916</v>
      </c>
      <c r="G186" s="51">
        <f t="shared" si="41"/>
        <v>0</v>
      </c>
      <c r="H186" s="287"/>
      <c r="I186" s="217">
        <v>185916</v>
      </c>
      <c r="J186" s="51">
        <f t="shared" si="42"/>
        <v>0</v>
      </c>
      <c r="K186" s="287"/>
      <c r="L186" s="217">
        <f>ROUND(I186,0)</f>
        <v>185916</v>
      </c>
      <c r="M186" s="51">
        <f t="shared" si="43"/>
        <v>0</v>
      </c>
      <c r="N186" s="287"/>
      <c r="O186" s="217">
        <f>ROUND(L186,0)+3600</f>
        <v>189516</v>
      </c>
      <c r="P186" s="51">
        <f t="shared" si="44"/>
        <v>3600</v>
      </c>
      <c r="Q186" s="287" t="s">
        <v>763</v>
      </c>
      <c r="R186" s="469">
        <f>ROUND(O186,0)</f>
        <v>189516</v>
      </c>
      <c r="S186" s="456">
        <f t="shared" si="65"/>
        <v>0</v>
      </c>
      <c r="T186" s="287"/>
      <c r="U186" s="469">
        <f>ROUND(R186,0)</f>
        <v>189516</v>
      </c>
      <c r="V186" s="456">
        <f t="shared" si="67"/>
        <v>0</v>
      </c>
      <c r="W186" s="287"/>
      <c r="X186" s="188">
        <v>168963.36</v>
      </c>
      <c r="Y186" s="342">
        <f t="shared" si="52"/>
        <v>0.8915519533970746</v>
      </c>
      <c r="Z186" s="188"/>
    </row>
    <row r="187" spans="2:26" ht="14.25" customHeight="1" x14ac:dyDescent="0.25">
      <c r="B187" s="56" t="s">
        <v>458</v>
      </c>
      <c r="C187" s="79" t="s">
        <v>606</v>
      </c>
      <c r="D187" s="144" t="s">
        <v>511</v>
      </c>
      <c r="E187" s="244">
        <v>30299</v>
      </c>
      <c r="F187" s="244">
        <v>30299</v>
      </c>
      <c r="G187" s="12">
        <f t="shared" si="41"/>
        <v>0</v>
      </c>
      <c r="H187" s="313"/>
      <c r="I187" s="244">
        <v>30299</v>
      </c>
      <c r="J187" s="12">
        <f t="shared" si="42"/>
        <v>0</v>
      </c>
      <c r="K187" s="313"/>
      <c r="L187" s="244">
        <f>ROUND(I187,0)</f>
        <v>30299</v>
      </c>
      <c r="M187" s="12">
        <f t="shared" si="43"/>
        <v>0</v>
      </c>
      <c r="N187" s="313"/>
      <c r="O187" s="244">
        <f>ROUND(L187,0)</f>
        <v>30299</v>
      </c>
      <c r="P187" s="12">
        <f t="shared" si="44"/>
        <v>0</v>
      </c>
      <c r="Q187" s="313"/>
      <c r="R187" s="505">
        <f>ROUND(O187,0)</f>
        <v>30299</v>
      </c>
      <c r="S187" s="454">
        <f t="shared" si="65"/>
        <v>0</v>
      </c>
      <c r="T187" s="313"/>
      <c r="U187" s="505">
        <f>ROUND(R187,0)</f>
        <v>30299</v>
      </c>
      <c r="V187" s="454">
        <f t="shared" si="67"/>
        <v>0</v>
      </c>
      <c r="W187" s="313"/>
      <c r="X187" s="188">
        <v>23801.33</v>
      </c>
      <c r="Y187" s="430">
        <f t="shared" si="52"/>
        <v>0.78554836793293514</v>
      </c>
      <c r="Z187" s="188"/>
    </row>
    <row r="188" spans="2:26" ht="29.4" hidden="1" customHeight="1" outlineLevel="1" x14ac:dyDescent="0.25">
      <c r="B188" s="56" t="s">
        <v>386</v>
      </c>
      <c r="C188" s="102" t="s">
        <v>54</v>
      </c>
      <c r="D188" s="202" t="s">
        <v>302</v>
      </c>
      <c r="E188" s="37"/>
      <c r="F188" s="37">
        <v>0</v>
      </c>
      <c r="G188" s="19">
        <f t="shared" si="41"/>
        <v>0</v>
      </c>
      <c r="H188" s="314" t="s">
        <v>535</v>
      </c>
      <c r="I188" s="37"/>
      <c r="J188" s="19">
        <f t="shared" si="42"/>
        <v>0</v>
      </c>
      <c r="K188" s="277"/>
      <c r="L188" s="37"/>
      <c r="M188" s="19">
        <f t="shared" si="43"/>
        <v>0</v>
      </c>
      <c r="N188" s="277"/>
      <c r="O188" s="37"/>
      <c r="P188" s="19">
        <f t="shared" si="44"/>
        <v>0</v>
      </c>
      <c r="Q188" s="277"/>
      <c r="R188" s="467"/>
      <c r="S188" s="88">
        <f t="shared" si="65"/>
        <v>0</v>
      </c>
      <c r="T188" s="277"/>
      <c r="U188" s="467"/>
      <c r="V188" s="88">
        <f t="shared" si="67"/>
        <v>0</v>
      </c>
      <c r="W188" s="277"/>
      <c r="X188" s="532"/>
      <c r="Y188" s="353" t="e">
        <f t="shared" si="52"/>
        <v>#DIV/0!</v>
      </c>
      <c r="Z188" s="192" t="s">
        <v>455</v>
      </c>
    </row>
    <row r="189" spans="2:26" ht="27" hidden="1" customHeight="1" outlineLevel="1" x14ac:dyDescent="0.25">
      <c r="B189" s="56" t="s">
        <v>387</v>
      </c>
      <c r="C189" s="102" t="s">
        <v>169</v>
      </c>
      <c r="D189" s="202" t="s">
        <v>303</v>
      </c>
      <c r="E189" s="37"/>
      <c r="F189" s="37">
        <v>0</v>
      </c>
      <c r="G189" s="19">
        <f t="shared" si="41"/>
        <v>0</v>
      </c>
      <c r="H189" s="277"/>
      <c r="I189" s="37"/>
      <c r="J189" s="19">
        <f t="shared" si="42"/>
        <v>0</v>
      </c>
      <c r="K189" s="277"/>
      <c r="L189" s="37"/>
      <c r="M189" s="19">
        <f t="shared" si="43"/>
        <v>0</v>
      </c>
      <c r="N189" s="277"/>
      <c r="O189" s="37"/>
      <c r="P189" s="19">
        <f t="shared" si="44"/>
        <v>0</v>
      </c>
      <c r="Q189" s="277"/>
      <c r="R189" s="467"/>
      <c r="S189" s="88">
        <f t="shared" si="65"/>
        <v>0</v>
      </c>
      <c r="T189" s="277"/>
      <c r="U189" s="467"/>
      <c r="V189" s="88">
        <f t="shared" si="67"/>
        <v>0</v>
      </c>
      <c r="W189" s="277"/>
      <c r="X189" s="532"/>
      <c r="Y189" s="353" t="e">
        <f t="shared" si="52"/>
        <v>#DIV/0!</v>
      </c>
      <c r="Z189" s="192"/>
    </row>
    <row r="190" spans="2:26" ht="15" customHeight="1" collapsed="1" x14ac:dyDescent="0.25">
      <c r="B190" s="56" t="s">
        <v>217</v>
      </c>
      <c r="C190" s="77" t="s">
        <v>54</v>
      </c>
      <c r="D190" s="146" t="s">
        <v>330</v>
      </c>
      <c r="E190" s="37">
        <v>158076</v>
      </c>
      <c r="F190" s="37">
        <v>158076</v>
      </c>
      <c r="G190" s="19">
        <f t="shared" si="41"/>
        <v>0</v>
      </c>
      <c r="H190" s="315"/>
      <c r="I190" s="37">
        <v>158076</v>
      </c>
      <c r="J190" s="19">
        <f t="shared" si="42"/>
        <v>0</v>
      </c>
      <c r="K190" s="315"/>
      <c r="L190" s="37">
        <f>ROUND(I190,0)</f>
        <v>158076</v>
      </c>
      <c r="M190" s="19">
        <f t="shared" si="43"/>
        <v>0</v>
      </c>
      <c r="N190" s="315"/>
      <c r="O190" s="37">
        <f>ROUND(L190,0)</f>
        <v>158076</v>
      </c>
      <c r="P190" s="19">
        <f t="shared" si="44"/>
        <v>0</v>
      </c>
      <c r="Q190" s="315"/>
      <c r="R190" s="467">
        <f>ROUND(O190,0)</f>
        <v>158076</v>
      </c>
      <c r="S190" s="88">
        <f t="shared" si="65"/>
        <v>0</v>
      </c>
      <c r="T190" s="315"/>
      <c r="U190" s="467">
        <f>ROUND(R190,0)</f>
        <v>158076</v>
      </c>
      <c r="V190" s="88">
        <f t="shared" si="67"/>
        <v>0</v>
      </c>
      <c r="W190" s="315"/>
      <c r="X190" s="192">
        <v>152439.47</v>
      </c>
      <c r="Y190" s="353">
        <f t="shared" si="52"/>
        <v>0.96434291100483316</v>
      </c>
      <c r="Z190" s="192"/>
    </row>
    <row r="191" spans="2:26" ht="15.6" customHeight="1" x14ac:dyDescent="0.25">
      <c r="B191" s="56" t="s">
        <v>322</v>
      </c>
      <c r="C191" s="77" t="s">
        <v>169</v>
      </c>
      <c r="D191" s="146" t="s">
        <v>331</v>
      </c>
      <c r="E191" s="223">
        <v>73071</v>
      </c>
      <c r="F191" s="223">
        <v>73071</v>
      </c>
      <c r="G191" s="59">
        <f t="shared" ref="G191:G259" si="68">F191-E191</f>
        <v>0</v>
      </c>
      <c r="H191" s="316"/>
      <c r="I191" s="223">
        <v>73071</v>
      </c>
      <c r="J191" s="59">
        <f t="shared" ref="J191:J259" si="69">I191-F191</f>
        <v>0</v>
      </c>
      <c r="K191" s="316"/>
      <c r="L191" s="223">
        <f>ROUND(I191,0)</f>
        <v>73071</v>
      </c>
      <c r="M191" s="59">
        <f t="shared" ref="M191:M259" si="70">L191-I191</f>
        <v>0</v>
      </c>
      <c r="N191" s="316"/>
      <c r="O191" s="223">
        <f>ROUND(L191,0)</f>
        <v>73071</v>
      </c>
      <c r="P191" s="59">
        <f t="shared" ref="P191:P259" si="71">O191-L191</f>
        <v>0</v>
      </c>
      <c r="Q191" s="316"/>
      <c r="R191" s="506">
        <f>ROUND(O191,0)</f>
        <v>73071</v>
      </c>
      <c r="S191" s="507">
        <f t="shared" si="65"/>
        <v>0</v>
      </c>
      <c r="T191" s="316"/>
      <c r="U191" s="506">
        <f>ROUND(R191,0)</f>
        <v>73071</v>
      </c>
      <c r="V191" s="507">
        <f t="shared" si="67"/>
        <v>0</v>
      </c>
      <c r="W191" s="316"/>
      <c r="X191" s="192">
        <v>70785.490000000005</v>
      </c>
      <c r="Y191" s="388">
        <f t="shared" si="52"/>
        <v>0.96872206484104506</v>
      </c>
      <c r="Z191" s="192"/>
    </row>
    <row r="192" spans="2:26" ht="15" customHeight="1" x14ac:dyDescent="0.25">
      <c r="B192" s="56" t="s">
        <v>216</v>
      </c>
      <c r="C192" s="77" t="s">
        <v>171</v>
      </c>
      <c r="D192" s="146" t="s">
        <v>170</v>
      </c>
      <c r="E192" s="37">
        <v>762112</v>
      </c>
      <c r="F192" s="37">
        <v>762112</v>
      </c>
      <c r="G192" s="19">
        <f t="shared" si="68"/>
        <v>0</v>
      </c>
      <c r="H192" s="277"/>
      <c r="I192" s="37">
        <v>746726</v>
      </c>
      <c r="J192" s="19">
        <f t="shared" si="69"/>
        <v>-15386</v>
      </c>
      <c r="K192" s="277"/>
      <c r="L192" s="37">
        <f>L193+L194</f>
        <v>777526</v>
      </c>
      <c r="M192" s="19">
        <f t="shared" si="70"/>
        <v>30800</v>
      </c>
      <c r="N192" s="277"/>
      <c r="O192" s="37">
        <f>O193+O194</f>
        <v>777526</v>
      </c>
      <c r="P192" s="19">
        <f t="shared" si="71"/>
        <v>0</v>
      </c>
      <c r="Q192" s="277"/>
      <c r="R192" s="467">
        <f>R193+R194</f>
        <v>781526</v>
      </c>
      <c r="S192" s="88">
        <f t="shared" si="65"/>
        <v>4000</v>
      </c>
      <c r="T192" s="277"/>
      <c r="U192" s="467">
        <f>U193+U194</f>
        <v>812165</v>
      </c>
      <c r="V192" s="88">
        <f t="shared" si="67"/>
        <v>30639</v>
      </c>
      <c r="W192" s="277"/>
      <c r="X192" s="192">
        <f>SUM(X193:X194)</f>
        <v>723817.99</v>
      </c>
      <c r="Y192" s="353">
        <f t="shared" si="52"/>
        <v>0.9261598334540373</v>
      </c>
      <c r="Z192" s="192"/>
    </row>
    <row r="193" spans="2:26" ht="16.5" customHeight="1" x14ac:dyDescent="0.25">
      <c r="B193" s="56"/>
      <c r="C193" s="167" t="s">
        <v>714</v>
      </c>
      <c r="D193" s="182" t="s">
        <v>534</v>
      </c>
      <c r="E193" s="245">
        <v>454642</v>
      </c>
      <c r="F193" s="245">
        <v>465101</v>
      </c>
      <c r="G193" s="35">
        <f t="shared" si="68"/>
        <v>10459</v>
      </c>
      <c r="H193" s="568" t="s">
        <v>685</v>
      </c>
      <c r="I193" s="245">
        <v>465751</v>
      </c>
      <c r="J193" s="35">
        <f t="shared" si="69"/>
        <v>650</v>
      </c>
      <c r="K193" s="413" t="s">
        <v>724</v>
      </c>
      <c r="L193" s="245">
        <f>ROUND(I193,0)+17000+13800</f>
        <v>496551</v>
      </c>
      <c r="M193" s="35">
        <f t="shared" si="70"/>
        <v>30800</v>
      </c>
      <c r="N193" s="413" t="s">
        <v>741</v>
      </c>
      <c r="O193" s="245">
        <f>ROUND(L193,0)</f>
        <v>496551</v>
      </c>
      <c r="P193" s="35">
        <f t="shared" si="71"/>
        <v>0</v>
      </c>
      <c r="Q193" s="413"/>
      <c r="R193" s="508">
        <f>ROUND(O193,0)</f>
        <v>496551</v>
      </c>
      <c r="S193" s="36">
        <f t="shared" si="65"/>
        <v>0</v>
      </c>
      <c r="T193" s="413"/>
      <c r="U193" s="508">
        <f>ROUND(R193,0)</f>
        <v>496551</v>
      </c>
      <c r="V193" s="36">
        <f t="shared" si="67"/>
        <v>0</v>
      </c>
      <c r="W193" s="413"/>
      <c r="X193" s="188">
        <f>788054.99-313052</f>
        <v>475002.99</v>
      </c>
      <c r="Y193" s="376">
        <f t="shared" si="52"/>
        <v>0.95660463879843161</v>
      </c>
      <c r="Z193" s="188" t="s">
        <v>550</v>
      </c>
    </row>
    <row r="194" spans="2:26" ht="75" customHeight="1" x14ac:dyDescent="0.25">
      <c r="B194" s="56"/>
      <c r="C194" s="167" t="s">
        <v>715</v>
      </c>
      <c r="D194" s="182" t="s">
        <v>532</v>
      </c>
      <c r="E194" s="245">
        <v>307470</v>
      </c>
      <c r="F194" s="245">
        <v>297011</v>
      </c>
      <c r="G194" s="50">
        <f t="shared" si="68"/>
        <v>-10459</v>
      </c>
      <c r="H194" s="569"/>
      <c r="I194" s="245">
        <v>280975</v>
      </c>
      <c r="J194" s="50">
        <f t="shared" si="69"/>
        <v>-16036</v>
      </c>
      <c r="K194" s="323" t="s">
        <v>722</v>
      </c>
      <c r="L194" s="245">
        <f>ROUND(I194,0)</f>
        <v>280975</v>
      </c>
      <c r="M194" s="50">
        <f t="shared" si="70"/>
        <v>0</v>
      </c>
      <c r="N194" s="323"/>
      <c r="O194" s="245">
        <f>ROUND(L194,0)</f>
        <v>280975</v>
      </c>
      <c r="P194" s="50">
        <f t="shared" si="71"/>
        <v>0</v>
      </c>
      <c r="Q194" s="323"/>
      <c r="R194" s="508">
        <f>ROUND(O194,0)+4000</f>
        <v>284975</v>
      </c>
      <c r="S194" s="509">
        <f t="shared" si="65"/>
        <v>4000</v>
      </c>
      <c r="T194" s="558" t="s">
        <v>828</v>
      </c>
      <c r="U194" s="508">
        <f>ROUND(R194,0)+4639+26000</f>
        <v>315614</v>
      </c>
      <c r="V194" s="509">
        <f t="shared" si="67"/>
        <v>30639</v>
      </c>
      <c r="W194" s="413" t="s">
        <v>835</v>
      </c>
      <c r="X194" s="565">
        <v>248815</v>
      </c>
      <c r="Y194" s="376">
        <f t="shared" si="52"/>
        <v>0.8731116764628476</v>
      </c>
      <c r="Z194" s="188"/>
    </row>
    <row r="195" spans="2:26" ht="15.6" customHeight="1" x14ac:dyDescent="0.25">
      <c r="B195" s="56" t="s">
        <v>218</v>
      </c>
      <c r="C195" s="77" t="s">
        <v>173</v>
      </c>
      <c r="D195" s="146" t="s">
        <v>172</v>
      </c>
      <c r="E195" s="37">
        <v>4000</v>
      </c>
      <c r="F195" s="37">
        <v>4000</v>
      </c>
      <c r="G195" s="19">
        <f t="shared" si="68"/>
        <v>0</v>
      </c>
      <c r="H195" s="250"/>
      <c r="I195" s="37">
        <v>4000</v>
      </c>
      <c r="J195" s="19">
        <f t="shared" si="69"/>
        <v>0</v>
      </c>
      <c r="K195" s="250"/>
      <c r="L195" s="37">
        <f>ROUND(I195,0)</f>
        <v>4000</v>
      </c>
      <c r="M195" s="19">
        <f t="shared" si="70"/>
        <v>0</v>
      </c>
      <c r="N195" s="250"/>
      <c r="O195" s="37">
        <f>ROUND(L195,0)</f>
        <v>4000</v>
      </c>
      <c r="P195" s="19">
        <f t="shared" si="71"/>
        <v>0</v>
      </c>
      <c r="Q195" s="250"/>
      <c r="R195" s="467">
        <f>ROUND(O195,0)</f>
        <v>4000</v>
      </c>
      <c r="S195" s="88">
        <f t="shared" si="65"/>
        <v>0</v>
      </c>
      <c r="T195" s="250"/>
      <c r="U195" s="467">
        <f>ROUND(R195,0)</f>
        <v>4000</v>
      </c>
      <c r="V195" s="88">
        <f t="shared" si="67"/>
        <v>0</v>
      </c>
      <c r="W195" s="250"/>
      <c r="X195" s="192">
        <v>4000</v>
      </c>
      <c r="Y195" s="353">
        <f t="shared" si="52"/>
        <v>1</v>
      </c>
      <c r="Z195" s="192"/>
    </row>
    <row r="196" spans="2:26" ht="15.6" customHeight="1" x14ac:dyDescent="0.25">
      <c r="B196" s="56" t="s">
        <v>441</v>
      </c>
      <c r="C196" s="77" t="s">
        <v>236</v>
      </c>
      <c r="D196" s="146" t="s">
        <v>239</v>
      </c>
      <c r="E196" s="37">
        <v>19228</v>
      </c>
      <c r="F196" s="37">
        <v>19228</v>
      </c>
      <c r="G196" s="19">
        <f t="shared" si="68"/>
        <v>0</v>
      </c>
      <c r="H196" s="250"/>
      <c r="I196" s="37">
        <v>19228</v>
      </c>
      <c r="J196" s="19">
        <f t="shared" si="69"/>
        <v>0</v>
      </c>
      <c r="K196" s="250"/>
      <c r="L196" s="37">
        <f>ROUND(I196,0)</f>
        <v>19228</v>
      </c>
      <c r="M196" s="19">
        <f t="shared" si="70"/>
        <v>0</v>
      </c>
      <c r="N196" s="250"/>
      <c r="O196" s="37">
        <f>ROUND(L196,0)</f>
        <v>19228</v>
      </c>
      <c r="P196" s="19">
        <f t="shared" si="71"/>
        <v>0</v>
      </c>
      <c r="Q196" s="250"/>
      <c r="R196" s="467">
        <f>ROUND(O196,0)</f>
        <v>19228</v>
      </c>
      <c r="S196" s="88">
        <f t="shared" si="65"/>
        <v>0</v>
      </c>
      <c r="T196" s="250"/>
      <c r="U196" s="467">
        <f>ROUND(R196,0)</f>
        <v>19228</v>
      </c>
      <c r="V196" s="88">
        <f t="shared" si="67"/>
        <v>0</v>
      </c>
      <c r="W196" s="250"/>
      <c r="X196" s="192">
        <v>837</v>
      </c>
      <c r="Y196" s="353">
        <f t="shared" si="52"/>
        <v>4.3530268358643646E-2</v>
      </c>
      <c r="Z196" s="192"/>
    </row>
    <row r="197" spans="2:26" s="5" customFormat="1" ht="15.6" customHeight="1" x14ac:dyDescent="0.25">
      <c r="C197" s="78" t="s">
        <v>68</v>
      </c>
      <c r="D197" s="155" t="s">
        <v>174</v>
      </c>
      <c r="E197" s="13">
        <v>3538928</v>
      </c>
      <c r="F197" s="13">
        <v>3546428</v>
      </c>
      <c r="G197" s="13">
        <f t="shared" si="68"/>
        <v>7500</v>
      </c>
      <c r="H197" s="13"/>
      <c r="I197" s="13">
        <v>3546428</v>
      </c>
      <c r="J197" s="13">
        <f t="shared" si="69"/>
        <v>0</v>
      </c>
      <c r="K197" s="13"/>
      <c r="L197" s="13">
        <f>L198+L204+L207+L212+L213+L214+L215+L216</f>
        <v>3546428</v>
      </c>
      <c r="M197" s="13">
        <f t="shared" si="70"/>
        <v>0</v>
      </c>
      <c r="N197" s="13"/>
      <c r="O197" s="13">
        <f>O198+O204+O207+O212+O213+O214+O215+O216</f>
        <v>3479428</v>
      </c>
      <c r="P197" s="13">
        <f t="shared" si="71"/>
        <v>-67000</v>
      </c>
      <c r="Q197" s="13"/>
      <c r="R197" s="14">
        <f>R198+R204+R207+R212+R213+R214+R215+R216</f>
        <v>3479428</v>
      </c>
      <c r="S197" s="14">
        <f t="shared" si="65"/>
        <v>0</v>
      </c>
      <c r="T197" s="13"/>
      <c r="U197" s="14">
        <f>U198+U204+U207+U212+U213+U214+U215+U216</f>
        <v>3534693</v>
      </c>
      <c r="V197" s="14">
        <f t="shared" si="67"/>
        <v>55265</v>
      </c>
      <c r="W197" s="13"/>
      <c r="X197" s="193">
        <f>X198+X204+X207+X212+X213+X214+X215+X216</f>
        <v>3091748.46</v>
      </c>
      <c r="Y197" s="366">
        <f t="shared" si="52"/>
        <v>0.88857951939226787</v>
      </c>
      <c r="Z197" s="193"/>
    </row>
    <row r="198" spans="2:26" s="5" customFormat="1" ht="15" customHeight="1" x14ac:dyDescent="0.25">
      <c r="C198" s="77" t="s">
        <v>71</v>
      </c>
      <c r="D198" s="146" t="s">
        <v>175</v>
      </c>
      <c r="E198" s="19">
        <v>2760943</v>
      </c>
      <c r="F198" s="19">
        <v>2768443</v>
      </c>
      <c r="G198" s="19">
        <f t="shared" si="68"/>
        <v>7500</v>
      </c>
      <c r="H198" s="19"/>
      <c r="I198" s="19">
        <v>2768443</v>
      </c>
      <c r="J198" s="19">
        <f t="shared" si="69"/>
        <v>0</v>
      </c>
      <c r="K198" s="19"/>
      <c r="L198" s="19">
        <f>SUM(L199:L203)</f>
        <v>2768443</v>
      </c>
      <c r="M198" s="19">
        <f t="shared" si="70"/>
        <v>0</v>
      </c>
      <c r="N198" s="19"/>
      <c r="O198" s="19">
        <f>SUM(O199:O203)</f>
        <v>2701443</v>
      </c>
      <c r="P198" s="19">
        <f t="shared" si="71"/>
        <v>-67000</v>
      </c>
      <c r="Q198" s="19"/>
      <c r="R198" s="88">
        <f>SUM(R199:R203)</f>
        <v>2701443</v>
      </c>
      <c r="S198" s="88">
        <f t="shared" si="65"/>
        <v>0</v>
      </c>
      <c r="T198" s="19"/>
      <c r="U198" s="88">
        <f>SUM(U199:U203)</f>
        <v>2756708</v>
      </c>
      <c r="V198" s="88">
        <f t="shared" si="67"/>
        <v>55265</v>
      </c>
      <c r="W198" s="19"/>
      <c r="X198" s="192">
        <f>SUM(X199:X203)</f>
        <v>2541792.62</v>
      </c>
      <c r="Y198" s="353">
        <f t="shared" si="52"/>
        <v>0.94090181432663955</v>
      </c>
      <c r="Z198" s="192"/>
    </row>
    <row r="199" spans="2:26" s="34" customFormat="1" ht="18" customHeight="1" outlineLevel="1" x14ac:dyDescent="0.25">
      <c r="B199" s="34" t="s">
        <v>697</v>
      </c>
      <c r="C199" s="167" t="s">
        <v>226</v>
      </c>
      <c r="D199" s="145" t="s">
        <v>332</v>
      </c>
      <c r="E199" s="38">
        <v>638988</v>
      </c>
      <c r="F199" s="38">
        <v>646488</v>
      </c>
      <c r="G199" s="35">
        <f t="shared" si="68"/>
        <v>7500</v>
      </c>
      <c r="H199" s="276" t="s">
        <v>698</v>
      </c>
      <c r="I199" s="38">
        <v>646488</v>
      </c>
      <c r="J199" s="35">
        <f t="shared" si="69"/>
        <v>0</v>
      </c>
      <c r="K199" s="276"/>
      <c r="L199" s="38">
        <f>ROUND(I199,0)</f>
        <v>646488</v>
      </c>
      <c r="M199" s="35">
        <f t="shared" si="70"/>
        <v>0</v>
      </c>
      <c r="N199" s="276"/>
      <c r="O199" s="38">
        <f>ROUND(L199,0)</f>
        <v>646488</v>
      </c>
      <c r="P199" s="35">
        <f t="shared" si="71"/>
        <v>0</v>
      </c>
      <c r="Q199" s="276"/>
      <c r="R199" s="510">
        <f>ROUND(O199,0)</f>
        <v>646488</v>
      </c>
      <c r="S199" s="36">
        <f t="shared" si="65"/>
        <v>0</v>
      </c>
      <c r="T199" s="276"/>
      <c r="U199" s="510">
        <f>ROUND(R199,0)</f>
        <v>646488</v>
      </c>
      <c r="V199" s="36">
        <f t="shared" si="67"/>
        <v>0</v>
      </c>
      <c r="W199" s="276"/>
      <c r="X199" s="187">
        <f>1946302-1722-X200</f>
        <v>645627</v>
      </c>
      <c r="Y199" s="389">
        <f t="shared" si="52"/>
        <v>0.99866818873668184</v>
      </c>
      <c r="Z199" s="187"/>
    </row>
    <row r="200" spans="2:26" s="34" customFormat="1" ht="15.75" customHeight="1" outlineLevel="1" x14ac:dyDescent="0.25">
      <c r="B200" s="238" t="s">
        <v>679</v>
      </c>
      <c r="C200" s="167" t="s">
        <v>228</v>
      </c>
      <c r="D200" s="145" t="s">
        <v>225</v>
      </c>
      <c r="E200" s="38">
        <v>1540233</v>
      </c>
      <c r="F200" s="38">
        <v>1540233</v>
      </c>
      <c r="G200" s="50">
        <f t="shared" si="68"/>
        <v>0</v>
      </c>
      <c r="H200" s="251"/>
      <c r="I200" s="38">
        <v>1540233</v>
      </c>
      <c r="J200" s="50">
        <f t="shared" si="69"/>
        <v>0</v>
      </c>
      <c r="K200" s="251"/>
      <c r="L200" s="38">
        <f>ROUND(I200,0)</f>
        <v>1540233</v>
      </c>
      <c r="M200" s="50">
        <f t="shared" si="70"/>
        <v>0</v>
      </c>
      <c r="N200" s="251"/>
      <c r="O200" s="38">
        <f>ROUND(L200,0)-24862-42138</f>
        <v>1473233</v>
      </c>
      <c r="P200" s="50">
        <f t="shared" si="71"/>
        <v>-67000</v>
      </c>
      <c r="Q200" s="251" t="s">
        <v>767</v>
      </c>
      <c r="R200" s="510">
        <f>ROUND(O200,0)</f>
        <v>1473233</v>
      </c>
      <c r="S200" s="509">
        <f t="shared" si="65"/>
        <v>0</v>
      </c>
      <c r="T200" s="251"/>
      <c r="U200" s="510">
        <f>ROUND(R200,0)</f>
        <v>1473233</v>
      </c>
      <c r="V200" s="509">
        <f t="shared" si="67"/>
        <v>0</v>
      </c>
      <c r="W200" s="251"/>
      <c r="X200" s="187">
        <f>1265568+13385+20000</f>
        <v>1298953</v>
      </c>
      <c r="Y200" s="389">
        <f t="shared" si="52"/>
        <v>0.88170235122346563</v>
      </c>
      <c r="Z200" s="187"/>
    </row>
    <row r="201" spans="2:26" s="34" customFormat="1" ht="17.399999999999999" customHeight="1" outlineLevel="1" x14ac:dyDescent="0.25">
      <c r="B201" s="34">
        <v>1010</v>
      </c>
      <c r="C201" s="167" t="s">
        <v>290</v>
      </c>
      <c r="D201" s="153" t="s">
        <v>223</v>
      </c>
      <c r="E201" s="38">
        <v>0</v>
      </c>
      <c r="F201" s="38">
        <v>0</v>
      </c>
      <c r="G201" s="89">
        <f t="shared" si="68"/>
        <v>0</v>
      </c>
      <c r="H201" s="318"/>
      <c r="I201" s="38">
        <v>0</v>
      </c>
      <c r="J201" s="89">
        <f t="shared" si="69"/>
        <v>0</v>
      </c>
      <c r="K201" s="318"/>
      <c r="L201" s="38">
        <f>ROUND(I201,0)</f>
        <v>0</v>
      </c>
      <c r="M201" s="89">
        <f t="shared" si="70"/>
        <v>0</v>
      </c>
      <c r="N201" s="318"/>
      <c r="O201" s="38">
        <f>ROUND(L201,0)</f>
        <v>0</v>
      </c>
      <c r="P201" s="89">
        <f t="shared" si="71"/>
        <v>0</v>
      </c>
      <c r="Q201" s="318"/>
      <c r="R201" s="510">
        <f>ROUND(O201,0)</f>
        <v>0</v>
      </c>
      <c r="S201" s="511">
        <f t="shared" si="65"/>
        <v>0</v>
      </c>
      <c r="T201" s="318"/>
      <c r="U201" s="510">
        <f>ROUND(R201,0)</f>
        <v>0</v>
      </c>
      <c r="V201" s="511">
        <f t="shared" si="67"/>
        <v>0</v>
      </c>
      <c r="W201" s="318"/>
      <c r="X201" s="188">
        <v>0</v>
      </c>
      <c r="Y201" s="389"/>
      <c r="Z201" s="187"/>
    </row>
    <row r="202" spans="2:26" s="34" customFormat="1" ht="55.2" outlineLevel="1" x14ac:dyDescent="0.25">
      <c r="B202" s="34">
        <v>1012</v>
      </c>
      <c r="C202" s="167" t="s">
        <v>525</v>
      </c>
      <c r="D202" s="145" t="s">
        <v>227</v>
      </c>
      <c r="E202" s="38">
        <v>580000</v>
      </c>
      <c r="F202" s="38">
        <v>580000</v>
      </c>
      <c r="G202" s="35">
        <f t="shared" si="68"/>
        <v>0</v>
      </c>
      <c r="H202" s="317"/>
      <c r="I202" s="38">
        <v>580000</v>
      </c>
      <c r="J202" s="35">
        <f t="shared" si="69"/>
        <v>0</v>
      </c>
      <c r="K202" s="317"/>
      <c r="L202" s="38">
        <f>ROUND(I202,0)</f>
        <v>580000</v>
      </c>
      <c r="M202" s="35">
        <f t="shared" si="70"/>
        <v>0</v>
      </c>
      <c r="N202" s="317"/>
      <c r="O202" s="38">
        <f>ROUND(L202,0)</f>
        <v>580000</v>
      </c>
      <c r="P202" s="35">
        <f t="shared" si="71"/>
        <v>0</v>
      </c>
      <c r="Q202" s="317"/>
      <c r="R202" s="510">
        <f>ROUND(O202,0)</f>
        <v>580000</v>
      </c>
      <c r="S202" s="36">
        <f t="shared" si="65"/>
        <v>0</v>
      </c>
      <c r="T202" s="317"/>
      <c r="U202" s="510">
        <f>ROUND(R202,0)+55265</f>
        <v>635265</v>
      </c>
      <c r="V202" s="36">
        <f t="shared" si="67"/>
        <v>55265</v>
      </c>
      <c r="W202" s="276" t="s">
        <v>833</v>
      </c>
      <c r="X202" s="187">
        <v>595603.62</v>
      </c>
      <c r="Y202" s="389">
        <f t="shared" ref="Y202:Y209" si="72">X202/R202</f>
        <v>1.0269027931034482</v>
      </c>
      <c r="Z202" s="187"/>
    </row>
    <row r="203" spans="2:26" s="34" customFormat="1" outlineLevel="1" x14ac:dyDescent="0.25">
      <c r="C203" s="167" t="s">
        <v>607</v>
      </c>
      <c r="D203" s="191" t="s">
        <v>555</v>
      </c>
      <c r="E203" s="237">
        <v>1722</v>
      </c>
      <c r="F203" s="237">
        <v>1722</v>
      </c>
      <c r="G203" s="35">
        <f t="shared" si="68"/>
        <v>0</v>
      </c>
      <c r="H203" s="319"/>
      <c r="I203" s="237">
        <v>1722</v>
      </c>
      <c r="J203" s="35">
        <f t="shared" si="69"/>
        <v>0</v>
      </c>
      <c r="K203" s="319"/>
      <c r="L203" s="237">
        <f>ROUND(I203,0)</f>
        <v>1722</v>
      </c>
      <c r="M203" s="35">
        <f t="shared" si="70"/>
        <v>0</v>
      </c>
      <c r="N203" s="319"/>
      <c r="O203" s="237">
        <f>ROUND(L203,0)</f>
        <v>1722</v>
      </c>
      <c r="P203" s="35">
        <f t="shared" si="71"/>
        <v>0</v>
      </c>
      <c r="Q203" s="319"/>
      <c r="R203" s="512">
        <f>ROUND(O203,0)</f>
        <v>1722</v>
      </c>
      <c r="S203" s="36">
        <f t="shared" si="65"/>
        <v>0</v>
      </c>
      <c r="T203" s="319"/>
      <c r="U203" s="512">
        <f>ROUND(R203,0)</f>
        <v>1722</v>
      </c>
      <c r="V203" s="36">
        <f t="shared" si="67"/>
        <v>0</v>
      </c>
      <c r="W203" s="319"/>
      <c r="X203" s="565">
        <v>1609</v>
      </c>
      <c r="Y203" s="389">
        <f t="shared" si="72"/>
        <v>0.9343786295005807</v>
      </c>
      <c r="Z203" s="187"/>
    </row>
    <row r="204" spans="2:26" s="5" customFormat="1" ht="19.5" customHeight="1" x14ac:dyDescent="0.25">
      <c r="C204" s="77" t="s">
        <v>73</v>
      </c>
      <c r="D204" s="146" t="s">
        <v>176</v>
      </c>
      <c r="E204" s="37">
        <v>14883</v>
      </c>
      <c r="F204" s="37">
        <v>14883</v>
      </c>
      <c r="G204" s="19">
        <f t="shared" si="68"/>
        <v>0</v>
      </c>
      <c r="H204" s="277"/>
      <c r="I204" s="37">
        <v>14883</v>
      </c>
      <c r="J204" s="19">
        <f t="shared" si="69"/>
        <v>0</v>
      </c>
      <c r="K204" s="277"/>
      <c r="L204" s="37">
        <f>L205+L206</f>
        <v>14883</v>
      </c>
      <c r="M204" s="19">
        <f t="shared" si="70"/>
        <v>0</v>
      </c>
      <c r="N204" s="277"/>
      <c r="O204" s="37">
        <f>O205+O206</f>
        <v>14883</v>
      </c>
      <c r="P204" s="19">
        <f t="shared" si="71"/>
        <v>0</v>
      </c>
      <c r="Q204" s="277"/>
      <c r="R204" s="467">
        <f>R205+R206</f>
        <v>14883</v>
      </c>
      <c r="S204" s="88">
        <f t="shared" si="65"/>
        <v>0</v>
      </c>
      <c r="T204" s="277"/>
      <c r="U204" s="467">
        <f>U205+U206</f>
        <v>14883</v>
      </c>
      <c r="V204" s="88">
        <f t="shared" si="67"/>
        <v>0</v>
      </c>
      <c r="W204" s="277"/>
      <c r="X204" s="192">
        <f>X205+X206</f>
        <v>0</v>
      </c>
      <c r="Y204" s="353">
        <f t="shared" si="72"/>
        <v>0</v>
      </c>
      <c r="Z204" s="192"/>
    </row>
    <row r="205" spans="2:26" s="34" customFormat="1" outlineLevel="1" x14ac:dyDescent="0.25">
      <c r="B205" s="34">
        <v>1011</v>
      </c>
      <c r="C205" s="80" t="s">
        <v>408</v>
      </c>
      <c r="D205" s="145" t="s">
        <v>229</v>
      </c>
      <c r="E205" s="38">
        <v>1407</v>
      </c>
      <c r="F205" s="38">
        <v>1407</v>
      </c>
      <c r="G205" s="35">
        <f t="shared" si="68"/>
        <v>0</v>
      </c>
      <c r="H205" s="317"/>
      <c r="I205" s="38">
        <v>1407</v>
      </c>
      <c r="J205" s="35">
        <f t="shared" si="69"/>
        <v>0</v>
      </c>
      <c r="K205" s="317"/>
      <c r="L205" s="38">
        <f>ROUND(I205,0)</f>
        <v>1407</v>
      </c>
      <c r="M205" s="35">
        <f t="shared" si="70"/>
        <v>0</v>
      </c>
      <c r="N205" s="317"/>
      <c r="O205" s="38">
        <f>ROUND(L205,0)</f>
        <v>1407</v>
      </c>
      <c r="P205" s="35">
        <f t="shared" si="71"/>
        <v>0</v>
      </c>
      <c r="Q205" s="317"/>
      <c r="R205" s="510">
        <f>ROUND(O205,0)</f>
        <v>1407</v>
      </c>
      <c r="S205" s="36">
        <f t="shared" si="65"/>
        <v>0</v>
      </c>
      <c r="T205" s="317"/>
      <c r="U205" s="510">
        <f>ROUND(R205,0)</f>
        <v>1407</v>
      </c>
      <c r="V205" s="36">
        <f t="shared" si="67"/>
        <v>0</v>
      </c>
      <c r="W205" s="317"/>
      <c r="X205" s="187">
        <v>0</v>
      </c>
      <c r="Y205" s="389">
        <f t="shared" si="72"/>
        <v>0</v>
      </c>
      <c r="Z205" s="187"/>
    </row>
    <row r="206" spans="2:26" s="34" customFormat="1" outlineLevel="1" x14ac:dyDescent="0.25">
      <c r="B206" s="34">
        <v>1011</v>
      </c>
      <c r="C206" s="80" t="s">
        <v>409</v>
      </c>
      <c r="D206" s="145" t="s">
        <v>230</v>
      </c>
      <c r="E206" s="38">
        <v>13476</v>
      </c>
      <c r="F206" s="38">
        <v>13476</v>
      </c>
      <c r="G206" s="35">
        <f t="shared" si="68"/>
        <v>0</v>
      </c>
      <c r="H206" s="317"/>
      <c r="I206" s="38">
        <v>13476</v>
      </c>
      <c r="J206" s="35">
        <f t="shared" si="69"/>
        <v>0</v>
      </c>
      <c r="K206" s="317"/>
      <c r="L206" s="38">
        <f>ROUND(I206,0)</f>
        <v>13476</v>
      </c>
      <c r="M206" s="35">
        <f t="shared" si="70"/>
        <v>0</v>
      </c>
      <c r="N206" s="317"/>
      <c r="O206" s="38">
        <f>ROUND(L206,0)</f>
        <v>13476</v>
      </c>
      <c r="P206" s="35">
        <f t="shared" si="71"/>
        <v>0</v>
      </c>
      <c r="Q206" s="317"/>
      <c r="R206" s="510">
        <f>ROUND(O206,0)</f>
        <v>13476</v>
      </c>
      <c r="S206" s="36">
        <f t="shared" si="65"/>
        <v>0</v>
      </c>
      <c r="T206" s="317"/>
      <c r="U206" s="510">
        <f>ROUND(R206,0)</f>
        <v>13476</v>
      </c>
      <c r="V206" s="36">
        <f t="shared" si="67"/>
        <v>0</v>
      </c>
      <c r="W206" s="317"/>
      <c r="X206" s="187">
        <v>0</v>
      </c>
      <c r="Y206" s="389">
        <f t="shared" si="72"/>
        <v>0</v>
      </c>
      <c r="Z206" s="187"/>
    </row>
    <row r="207" spans="2:26" s="5" customFormat="1" ht="26.25" customHeight="1" x14ac:dyDescent="0.25">
      <c r="C207" s="77" t="s">
        <v>177</v>
      </c>
      <c r="D207" s="146" t="s">
        <v>248</v>
      </c>
      <c r="E207" s="225">
        <v>444938</v>
      </c>
      <c r="F207" s="225">
        <v>444938</v>
      </c>
      <c r="G207" s="49">
        <f t="shared" si="68"/>
        <v>0</v>
      </c>
      <c r="H207" s="250"/>
      <c r="I207" s="225">
        <v>444938</v>
      </c>
      <c r="J207" s="49">
        <f t="shared" si="69"/>
        <v>0</v>
      </c>
      <c r="K207" s="250"/>
      <c r="L207" s="225">
        <f>SUM(L208:L211)</f>
        <v>444938</v>
      </c>
      <c r="M207" s="49">
        <f t="shared" si="70"/>
        <v>0</v>
      </c>
      <c r="N207" s="250"/>
      <c r="O207" s="225">
        <f>SUM(O208:O211)</f>
        <v>444938</v>
      </c>
      <c r="P207" s="49">
        <f t="shared" si="71"/>
        <v>0</v>
      </c>
      <c r="Q207" s="250"/>
      <c r="R207" s="457">
        <f>SUM(R208:R211)</f>
        <v>444938</v>
      </c>
      <c r="S207" s="458">
        <f t="shared" si="65"/>
        <v>0</v>
      </c>
      <c r="T207" s="250"/>
      <c r="U207" s="457">
        <f>SUM(U208:U211)</f>
        <v>444938</v>
      </c>
      <c r="V207" s="458">
        <f t="shared" si="67"/>
        <v>0</v>
      </c>
      <c r="W207" s="250"/>
      <c r="X207" s="197">
        <f>SUM(X208:X211)</f>
        <v>312965.74</v>
      </c>
      <c r="Y207" s="373">
        <f t="shared" si="72"/>
        <v>0.70339179840786803</v>
      </c>
      <c r="Z207" s="197"/>
    </row>
    <row r="208" spans="2:26" s="5" customFormat="1" ht="15" customHeight="1" x14ac:dyDescent="0.25">
      <c r="B208" s="3" t="s">
        <v>442</v>
      </c>
      <c r="C208" s="81" t="s">
        <v>608</v>
      </c>
      <c r="D208" s="154" t="s">
        <v>427</v>
      </c>
      <c r="E208" s="216">
        <v>432274</v>
      </c>
      <c r="F208" s="216">
        <v>432274</v>
      </c>
      <c r="G208" s="42">
        <f t="shared" si="68"/>
        <v>0</v>
      </c>
      <c r="H208" s="273"/>
      <c r="I208" s="216">
        <v>432274</v>
      </c>
      <c r="J208" s="42">
        <f t="shared" si="69"/>
        <v>0</v>
      </c>
      <c r="K208" s="273"/>
      <c r="L208" s="216">
        <f t="shared" ref="L208:L216" si="73">ROUND(I208,0)</f>
        <v>432274</v>
      </c>
      <c r="M208" s="42">
        <f t="shared" si="70"/>
        <v>0</v>
      </c>
      <c r="N208" s="273"/>
      <c r="O208" s="216">
        <f t="shared" ref="O208:O216" si="74">ROUND(L208,0)</f>
        <v>432274</v>
      </c>
      <c r="P208" s="42">
        <f t="shared" si="71"/>
        <v>0</v>
      </c>
      <c r="Q208" s="273"/>
      <c r="R208" s="466">
        <f t="shared" ref="R208:R216" si="75">ROUND(O208,0)</f>
        <v>432274</v>
      </c>
      <c r="S208" s="468">
        <f t="shared" si="65"/>
        <v>0</v>
      </c>
      <c r="T208" s="273"/>
      <c r="U208" s="466">
        <f t="shared" ref="U208:U216" si="76">ROUND(R208,0)</f>
        <v>432274</v>
      </c>
      <c r="V208" s="468">
        <f t="shared" si="67"/>
        <v>0</v>
      </c>
      <c r="W208" s="273"/>
      <c r="X208" s="188">
        <f>316915.74-12664</f>
        <v>304251.74</v>
      </c>
      <c r="Y208" s="369">
        <f t="shared" si="72"/>
        <v>0.70384001813664476</v>
      </c>
      <c r="Z208" s="188"/>
    </row>
    <row r="209" spans="2:26" s="5" customFormat="1" ht="15" customHeight="1" x14ac:dyDescent="0.25">
      <c r="B209" s="3" t="s">
        <v>442</v>
      </c>
      <c r="C209" s="81" t="s">
        <v>609</v>
      </c>
      <c r="D209" s="154" t="s">
        <v>554</v>
      </c>
      <c r="E209" s="233">
        <v>12664</v>
      </c>
      <c r="F209" s="233">
        <v>12664</v>
      </c>
      <c r="G209" s="42">
        <f t="shared" si="68"/>
        <v>0</v>
      </c>
      <c r="H209" s="320"/>
      <c r="I209" s="233">
        <v>12664</v>
      </c>
      <c r="J209" s="42">
        <f t="shared" si="69"/>
        <v>0</v>
      </c>
      <c r="K209" s="320"/>
      <c r="L209" s="233">
        <f t="shared" si="73"/>
        <v>12664</v>
      </c>
      <c r="M209" s="42">
        <f t="shared" si="70"/>
        <v>0</v>
      </c>
      <c r="N209" s="320"/>
      <c r="O209" s="233">
        <f t="shared" si="74"/>
        <v>12664</v>
      </c>
      <c r="P209" s="42">
        <f t="shared" si="71"/>
        <v>0</v>
      </c>
      <c r="Q209" s="320"/>
      <c r="R209" s="500">
        <f t="shared" si="75"/>
        <v>12664</v>
      </c>
      <c r="S209" s="468">
        <f t="shared" si="65"/>
        <v>0</v>
      </c>
      <c r="T209" s="320"/>
      <c r="U209" s="500">
        <f t="shared" si="76"/>
        <v>12664</v>
      </c>
      <c r="V209" s="468">
        <f t="shared" si="67"/>
        <v>0</v>
      </c>
      <c r="W209" s="320"/>
      <c r="X209" s="565">
        <v>8714</v>
      </c>
      <c r="Y209" s="356">
        <f t="shared" si="72"/>
        <v>0.68809222994314589</v>
      </c>
      <c r="Z209" s="188"/>
    </row>
    <row r="210" spans="2:26" s="5" customFormat="1" ht="15.75" customHeight="1" x14ac:dyDescent="0.25">
      <c r="B210" s="3" t="s">
        <v>442</v>
      </c>
      <c r="C210" s="103" t="s">
        <v>610</v>
      </c>
      <c r="D210" s="154" t="s">
        <v>430</v>
      </c>
      <c r="E210" s="216">
        <v>0</v>
      </c>
      <c r="F210" s="216">
        <v>0</v>
      </c>
      <c r="G210" s="42">
        <f t="shared" si="68"/>
        <v>0</v>
      </c>
      <c r="H210" s="273"/>
      <c r="I210" s="216">
        <v>0</v>
      </c>
      <c r="J210" s="42">
        <f t="shared" si="69"/>
        <v>0</v>
      </c>
      <c r="K210" s="273"/>
      <c r="L210" s="216">
        <f t="shared" si="73"/>
        <v>0</v>
      </c>
      <c r="M210" s="42">
        <f t="shared" si="70"/>
        <v>0</v>
      </c>
      <c r="N210" s="273"/>
      <c r="O210" s="216">
        <f t="shared" si="74"/>
        <v>0</v>
      </c>
      <c r="P210" s="42">
        <f t="shared" si="71"/>
        <v>0</v>
      </c>
      <c r="Q210" s="273"/>
      <c r="R210" s="466">
        <f t="shared" si="75"/>
        <v>0</v>
      </c>
      <c r="S210" s="468">
        <f t="shared" si="65"/>
        <v>0</v>
      </c>
      <c r="T210" s="273"/>
      <c r="U210" s="466">
        <f t="shared" si="76"/>
        <v>0</v>
      </c>
      <c r="V210" s="468">
        <f t="shared" si="67"/>
        <v>0</v>
      </c>
      <c r="W210" s="273"/>
      <c r="X210" s="188">
        <v>0</v>
      </c>
      <c r="Y210" s="369"/>
      <c r="Z210" s="188"/>
    </row>
    <row r="211" spans="2:26" s="5" customFormat="1" ht="15.6" customHeight="1" x14ac:dyDescent="0.25">
      <c r="B211" s="3" t="s">
        <v>346</v>
      </c>
      <c r="C211" s="81" t="s">
        <v>611</v>
      </c>
      <c r="D211" s="154" t="s">
        <v>428</v>
      </c>
      <c r="E211" s="216">
        <v>0</v>
      </c>
      <c r="F211" s="216">
        <v>0</v>
      </c>
      <c r="G211" s="42">
        <f t="shared" si="68"/>
        <v>0</v>
      </c>
      <c r="H211" s="273"/>
      <c r="I211" s="216">
        <v>0</v>
      </c>
      <c r="J211" s="42">
        <f t="shared" si="69"/>
        <v>0</v>
      </c>
      <c r="K211" s="273"/>
      <c r="L211" s="216">
        <f t="shared" si="73"/>
        <v>0</v>
      </c>
      <c r="M211" s="42">
        <f t="shared" si="70"/>
        <v>0</v>
      </c>
      <c r="N211" s="273"/>
      <c r="O211" s="216">
        <f t="shared" si="74"/>
        <v>0</v>
      </c>
      <c r="P211" s="42">
        <f t="shared" si="71"/>
        <v>0</v>
      </c>
      <c r="Q211" s="273"/>
      <c r="R211" s="466">
        <f t="shared" si="75"/>
        <v>0</v>
      </c>
      <c r="S211" s="468">
        <f t="shared" si="65"/>
        <v>0</v>
      </c>
      <c r="T211" s="273"/>
      <c r="U211" s="466">
        <f t="shared" si="76"/>
        <v>0</v>
      </c>
      <c r="V211" s="468">
        <f t="shared" si="67"/>
        <v>0</v>
      </c>
      <c r="W211" s="273"/>
      <c r="X211" s="188">
        <v>0</v>
      </c>
      <c r="Y211" s="369"/>
      <c r="Z211" s="188"/>
    </row>
    <row r="212" spans="2:26" s="5" customFormat="1" ht="16.2" customHeight="1" x14ac:dyDescent="0.25">
      <c r="C212" s="77" t="s">
        <v>250</v>
      </c>
      <c r="D212" s="146" t="s">
        <v>178</v>
      </c>
      <c r="E212" s="37">
        <v>158418</v>
      </c>
      <c r="F212" s="37">
        <v>158418</v>
      </c>
      <c r="G212" s="19">
        <f t="shared" si="68"/>
        <v>0</v>
      </c>
      <c r="H212" s="250"/>
      <c r="I212" s="37">
        <v>158418</v>
      </c>
      <c r="J212" s="19">
        <f t="shared" si="69"/>
        <v>0</v>
      </c>
      <c r="K212" s="250"/>
      <c r="L212" s="37">
        <f t="shared" si="73"/>
        <v>158418</v>
      </c>
      <c r="M212" s="19">
        <f t="shared" si="70"/>
        <v>0</v>
      </c>
      <c r="N212" s="250"/>
      <c r="O212" s="37">
        <f t="shared" si="74"/>
        <v>158418</v>
      </c>
      <c r="P212" s="19">
        <f t="shared" si="71"/>
        <v>0</v>
      </c>
      <c r="Q212" s="250"/>
      <c r="R212" s="467">
        <f t="shared" si="75"/>
        <v>158418</v>
      </c>
      <c r="S212" s="88">
        <f t="shared" si="65"/>
        <v>0</v>
      </c>
      <c r="T212" s="250"/>
      <c r="U212" s="467">
        <f t="shared" si="76"/>
        <v>158418</v>
      </c>
      <c r="V212" s="88">
        <f t="shared" si="67"/>
        <v>0</v>
      </c>
      <c r="W212" s="250"/>
      <c r="X212" s="192">
        <v>127926.09</v>
      </c>
      <c r="Y212" s="353">
        <f t="shared" ref="Y212:Y247" si="77">X212/R212</f>
        <v>0.80752244063174639</v>
      </c>
      <c r="Z212" s="192"/>
    </row>
    <row r="213" spans="2:26" s="5" customFormat="1" ht="16.5" customHeight="1" x14ac:dyDescent="0.25">
      <c r="B213" s="3">
        <v>1016</v>
      </c>
      <c r="C213" s="97" t="s">
        <v>321</v>
      </c>
      <c r="D213" s="150" t="s">
        <v>401</v>
      </c>
      <c r="E213" s="226">
        <v>70604</v>
      </c>
      <c r="F213" s="226">
        <v>70604</v>
      </c>
      <c r="G213" s="91">
        <f t="shared" si="68"/>
        <v>0</v>
      </c>
      <c r="H213" s="321"/>
      <c r="I213" s="226">
        <v>70604</v>
      </c>
      <c r="J213" s="91">
        <f t="shared" si="69"/>
        <v>0</v>
      </c>
      <c r="K213" s="321"/>
      <c r="L213" s="226">
        <f t="shared" si="73"/>
        <v>70604</v>
      </c>
      <c r="M213" s="91">
        <f t="shared" si="70"/>
        <v>0</v>
      </c>
      <c r="N213" s="321"/>
      <c r="O213" s="226">
        <f t="shared" si="74"/>
        <v>70604</v>
      </c>
      <c r="P213" s="91">
        <f t="shared" si="71"/>
        <v>0</v>
      </c>
      <c r="Q213" s="321"/>
      <c r="R213" s="513">
        <f t="shared" si="75"/>
        <v>70604</v>
      </c>
      <c r="S213" s="492">
        <f t="shared" si="65"/>
        <v>0</v>
      </c>
      <c r="T213" s="321"/>
      <c r="U213" s="513">
        <f t="shared" si="76"/>
        <v>70604</v>
      </c>
      <c r="V213" s="492">
        <f t="shared" si="67"/>
        <v>0</v>
      </c>
      <c r="W213" s="321"/>
      <c r="X213" s="192">
        <v>37779.67</v>
      </c>
      <c r="Y213" s="390">
        <f t="shared" si="77"/>
        <v>0.53509248767775197</v>
      </c>
      <c r="Z213" s="192"/>
    </row>
    <row r="214" spans="2:26" s="5" customFormat="1" ht="18.75" hidden="1" customHeight="1" outlineLevel="1" x14ac:dyDescent="0.25">
      <c r="B214" s="3">
        <v>1017</v>
      </c>
      <c r="C214" s="77" t="s">
        <v>340</v>
      </c>
      <c r="D214" s="203" t="s">
        <v>412</v>
      </c>
      <c r="E214" s="226">
        <v>0</v>
      </c>
      <c r="F214" s="226">
        <v>0</v>
      </c>
      <c r="G214" s="91">
        <f t="shared" si="68"/>
        <v>0</v>
      </c>
      <c r="H214" s="321"/>
      <c r="I214" s="226">
        <v>0</v>
      </c>
      <c r="J214" s="91">
        <f t="shared" si="69"/>
        <v>0</v>
      </c>
      <c r="K214" s="321"/>
      <c r="L214" s="226">
        <f t="shared" si="73"/>
        <v>0</v>
      </c>
      <c r="M214" s="91">
        <f t="shared" si="70"/>
        <v>0</v>
      </c>
      <c r="N214" s="321"/>
      <c r="O214" s="226">
        <f t="shared" si="74"/>
        <v>0</v>
      </c>
      <c r="P214" s="91">
        <f t="shared" si="71"/>
        <v>0</v>
      </c>
      <c r="Q214" s="321"/>
      <c r="R214" s="513">
        <f t="shared" si="75"/>
        <v>0</v>
      </c>
      <c r="S214" s="492">
        <f t="shared" si="65"/>
        <v>0</v>
      </c>
      <c r="T214" s="321"/>
      <c r="U214" s="513">
        <f t="shared" si="76"/>
        <v>0</v>
      </c>
      <c r="V214" s="492">
        <f t="shared" si="67"/>
        <v>0</v>
      </c>
      <c r="W214" s="321"/>
      <c r="X214" s="532">
        <v>0</v>
      </c>
      <c r="Y214" s="390" t="e">
        <f t="shared" si="77"/>
        <v>#DIV/0!</v>
      </c>
      <c r="Z214" s="192"/>
    </row>
    <row r="215" spans="2:26" s="5" customFormat="1" ht="45" customHeight="1" collapsed="1" x14ac:dyDescent="0.25">
      <c r="B215" s="3">
        <v>1018</v>
      </c>
      <c r="C215" s="77" t="s">
        <v>340</v>
      </c>
      <c r="D215" s="421" t="s">
        <v>512</v>
      </c>
      <c r="E215" s="236">
        <v>44312</v>
      </c>
      <c r="F215" s="236">
        <v>44312</v>
      </c>
      <c r="G215" s="91">
        <f t="shared" si="68"/>
        <v>0</v>
      </c>
      <c r="H215" s="305"/>
      <c r="I215" s="236">
        <v>44312</v>
      </c>
      <c r="J215" s="91">
        <f t="shared" si="69"/>
        <v>0</v>
      </c>
      <c r="K215" s="305"/>
      <c r="L215" s="236">
        <f t="shared" si="73"/>
        <v>44312</v>
      </c>
      <c r="M215" s="91">
        <f t="shared" si="70"/>
        <v>0</v>
      </c>
      <c r="N215" s="305"/>
      <c r="O215" s="236">
        <f t="shared" si="74"/>
        <v>44312</v>
      </c>
      <c r="P215" s="91">
        <f t="shared" si="71"/>
        <v>0</v>
      </c>
      <c r="Q215" s="305"/>
      <c r="R215" s="493">
        <f t="shared" si="75"/>
        <v>44312</v>
      </c>
      <c r="S215" s="492">
        <f t="shared" si="65"/>
        <v>0</v>
      </c>
      <c r="T215" s="305"/>
      <c r="U215" s="493">
        <f t="shared" si="76"/>
        <v>44312</v>
      </c>
      <c r="V215" s="492">
        <f t="shared" si="67"/>
        <v>0</v>
      </c>
      <c r="W215" s="305"/>
      <c r="X215" s="192">
        <v>40744.82</v>
      </c>
      <c r="Y215" s="381">
        <f t="shared" si="77"/>
        <v>0.91949855569597405</v>
      </c>
      <c r="Z215" s="192" t="s">
        <v>455</v>
      </c>
    </row>
    <row r="216" spans="2:26" ht="43.5" customHeight="1" x14ac:dyDescent="0.25">
      <c r="B216" s="3" t="s">
        <v>352</v>
      </c>
      <c r="C216" s="77" t="s">
        <v>341</v>
      </c>
      <c r="D216" s="151" t="s">
        <v>238</v>
      </c>
      <c r="E216" s="226">
        <v>44830</v>
      </c>
      <c r="F216" s="226">
        <v>44830</v>
      </c>
      <c r="G216" s="91">
        <f t="shared" si="68"/>
        <v>0</v>
      </c>
      <c r="H216" s="321"/>
      <c r="I216" s="226">
        <v>44830</v>
      </c>
      <c r="J216" s="91">
        <f t="shared" si="69"/>
        <v>0</v>
      </c>
      <c r="K216" s="321"/>
      <c r="L216" s="226">
        <f t="shared" si="73"/>
        <v>44830</v>
      </c>
      <c r="M216" s="91">
        <f t="shared" si="70"/>
        <v>0</v>
      </c>
      <c r="N216" s="321"/>
      <c r="O216" s="226">
        <f t="shared" si="74"/>
        <v>44830</v>
      </c>
      <c r="P216" s="91">
        <f t="shared" si="71"/>
        <v>0</v>
      </c>
      <c r="Q216" s="321"/>
      <c r="R216" s="513">
        <f t="shared" si="75"/>
        <v>44830</v>
      </c>
      <c r="S216" s="492">
        <f t="shared" si="65"/>
        <v>0</v>
      </c>
      <c r="T216" s="321"/>
      <c r="U216" s="513">
        <f t="shared" si="76"/>
        <v>44830</v>
      </c>
      <c r="V216" s="492">
        <f t="shared" si="67"/>
        <v>0</v>
      </c>
      <c r="W216" s="321"/>
      <c r="X216" s="192">
        <v>30539.52</v>
      </c>
      <c r="Y216" s="381">
        <f t="shared" si="77"/>
        <v>0.68122953379433415</v>
      </c>
      <c r="Z216" s="338"/>
    </row>
    <row r="217" spans="2:26" x14ac:dyDescent="0.25">
      <c r="C217" s="78" t="s">
        <v>76</v>
      </c>
      <c r="D217" s="155" t="s">
        <v>179</v>
      </c>
      <c r="E217" s="13">
        <v>33093948</v>
      </c>
      <c r="F217" s="13">
        <v>33147236</v>
      </c>
      <c r="G217" s="13">
        <f t="shared" si="68"/>
        <v>53288</v>
      </c>
      <c r="H217" s="13"/>
      <c r="I217" s="13">
        <v>33285269</v>
      </c>
      <c r="J217" s="13">
        <f t="shared" si="69"/>
        <v>138033</v>
      </c>
      <c r="K217" s="13"/>
      <c r="L217" s="13">
        <f>L218+L219+L224+L229+L234+L239+L243+L255+L275+L278+L281+L282+L283+L284+L285+L286+L287+L288+L289</f>
        <v>33385173</v>
      </c>
      <c r="M217" s="13">
        <f t="shared" si="70"/>
        <v>99904</v>
      </c>
      <c r="N217" s="13"/>
      <c r="O217" s="13">
        <f>O218+O219+O224+O229+O234+O239+O243+O255+O275+O278+O281+O282+O283+O284+O285+O286+O287+O288+O289</f>
        <v>33479096</v>
      </c>
      <c r="P217" s="13">
        <f t="shared" si="71"/>
        <v>93923</v>
      </c>
      <c r="Q217" s="13"/>
      <c r="R217" s="14">
        <f>R218+R219+R224+R229+R234+R239+R243+R255+R275+R278+R281+R282+R283+R284+R285+R286+R287+R288+R289</f>
        <v>33879825</v>
      </c>
      <c r="S217" s="14">
        <f t="shared" si="65"/>
        <v>400729</v>
      </c>
      <c r="T217" s="13"/>
      <c r="U217" s="14">
        <f>U218+U219+U224+U229+U234+U239+U243+U255+U275+U278+U281+U282+U283+U284+U285+U286+U287+U288+U289</f>
        <v>33858817</v>
      </c>
      <c r="V217" s="14">
        <f t="shared" si="67"/>
        <v>-21008</v>
      </c>
      <c r="W217" s="13"/>
      <c r="X217" s="193">
        <f>X218+X219+X224+X229+X234+X239+X243+X255+X275+X278+X281+X282+X283+X284+X285+X286+X287+X288+X289</f>
        <v>26455725.460000001</v>
      </c>
      <c r="Y217" s="366">
        <f t="shared" si="77"/>
        <v>0.78086960189434274</v>
      </c>
      <c r="Z217" s="193"/>
    </row>
    <row r="218" spans="2:26" ht="27.6" customHeight="1" x14ac:dyDescent="0.25">
      <c r="B218" s="27" t="s">
        <v>700</v>
      </c>
      <c r="C218" s="77" t="s">
        <v>78</v>
      </c>
      <c r="D218" s="160" t="s">
        <v>180</v>
      </c>
      <c r="E218" s="37">
        <v>851975</v>
      </c>
      <c r="F218" s="37">
        <v>851975</v>
      </c>
      <c r="G218" s="19">
        <f t="shared" si="68"/>
        <v>0</v>
      </c>
      <c r="H218" s="277"/>
      <c r="I218" s="37">
        <v>851975</v>
      </c>
      <c r="J218" s="19">
        <f t="shared" si="69"/>
        <v>0</v>
      </c>
      <c r="K218" s="277"/>
      <c r="L218" s="37">
        <f>ROUND(I218,0)</f>
        <v>851975</v>
      </c>
      <c r="M218" s="19">
        <f t="shared" si="70"/>
        <v>0</v>
      </c>
      <c r="N218" s="277"/>
      <c r="O218" s="37">
        <f>ROUND(L218,0)</f>
        <v>851975</v>
      </c>
      <c r="P218" s="19">
        <f t="shared" si="71"/>
        <v>0</v>
      </c>
      <c r="Q218" s="277"/>
      <c r="R218" s="467">
        <f>ROUND(O218,0)</f>
        <v>851975</v>
      </c>
      <c r="S218" s="88">
        <f t="shared" si="65"/>
        <v>0</v>
      </c>
      <c r="T218" s="277"/>
      <c r="U218" s="467">
        <f>ROUND(R218,0)</f>
        <v>851975</v>
      </c>
      <c r="V218" s="88">
        <f t="shared" si="67"/>
        <v>0</v>
      </c>
      <c r="W218" s="277"/>
      <c r="X218" s="192">
        <v>648987.37</v>
      </c>
      <c r="Y218" s="353">
        <f t="shared" si="77"/>
        <v>0.76174461691951056</v>
      </c>
      <c r="Z218" s="192" t="s">
        <v>566</v>
      </c>
    </row>
    <row r="219" spans="2:26" ht="17.399999999999999" customHeight="1" x14ac:dyDescent="0.25">
      <c r="C219" s="77" t="s">
        <v>80</v>
      </c>
      <c r="D219" s="160" t="s">
        <v>181</v>
      </c>
      <c r="E219" s="37">
        <v>2529158</v>
      </c>
      <c r="F219" s="37">
        <v>2529158</v>
      </c>
      <c r="G219" s="19">
        <f t="shared" si="68"/>
        <v>0</v>
      </c>
      <c r="H219" s="250"/>
      <c r="I219" s="37">
        <v>2535967</v>
      </c>
      <c r="J219" s="19">
        <f t="shared" si="69"/>
        <v>6809</v>
      </c>
      <c r="K219" s="250"/>
      <c r="L219" s="37">
        <f>SUM(L220:L223)</f>
        <v>2535967</v>
      </c>
      <c r="M219" s="19">
        <f t="shared" si="70"/>
        <v>0</v>
      </c>
      <c r="N219" s="250"/>
      <c r="O219" s="37">
        <f>SUM(O220:O223)</f>
        <v>2535967</v>
      </c>
      <c r="P219" s="19">
        <f t="shared" si="71"/>
        <v>0</v>
      </c>
      <c r="Q219" s="250"/>
      <c r="R219" s="467">
        <f>SUM(R220:R223)</f>
        <v>2554567</v>
      </c>
      <c r="S219" s="88">
        <f t="shared" si="65"/>
        <v>18600</v>
      </c>
      <c r="T219" s="250"/>
      <c r="U219" s="467">
        <f>SUM(U220:U223)</f>
        <v>2554567</v>
      </c>
      <c r="V219" s="88">
        <f t="shared" si="67"/>
        <v>0</v>
      </c>
      <c r="W219" s="250"/>
      <c r="X219" s="192">
        <f>SUM(X220:X223)</f>
        <v>2431145.59</v>
      </c>
      <c r="Y219" s="353">
        <f t="shared" si="77"/>
        <v>0.95168597652752884</v>
      </c>
      <c r="Z219" s="192"/>
    </row>
    <row r="220" spans="2:26" ht="18.75" customHeight="1" x14ac:dyDescent="0.25">
      <c r="B220" s="56" t="s">
        <v>262</v>
      </c>
      <c r="C220" s="79" t="s">
        <v>182</v>
      </c>
      <c r="D220" s="142" t="s">
        <v>235</v>
      </c>
      <c r="E220" s="227">
        <v>361243</v>
      </c>
      <c r="F220" s="227">
        <v>361243</v>
      </c>
      <c r="G220" s="15">
        <f t="shared" si="68"/>
        <v>0</v>
      </c>
      <c r="H220" s="251"/>
      <c r="I220" s="227">
        <v>368052</v>
      </c>
      <c r="J220" s="15">
        <f t="shared" si="69"/>
        <v>6809</v>
      </c>
      <c r="K220" s="251" t="s">
        <v>725</v>
      </c>
      <c r="L220" s="227">
        <f>ROUND(I220,0)</f>
        <v>368052</v>
      </c>
      <c r="M220" s="15">
        <f t="shared" si="70"/>
        <v>0</v>
      </c>
      <c r="N220" s="251"/>
      <c r="O220" s="227">
        <f>ROUND(L220,0)</f>
        <v>368052</v>
      </c>
      <c r="P220" s="15">
        <f t="shared" si="71"/>
        <v>0</v>
      </c>
      <c r="Q220" s="251"/>
      <c r="R220" s="514">
        <f>ROUND(O220,0)-1768+137</f>
        <v>366421</v>
      </c>
      <c r="S220" s="515">
        <f t="shared" si="65"/>
        <v>-1631</v>
      </c>
      <c r="T220" s="251" t="s">
        <v>817</v>
      </c>
      <c r="U220" s="514">
        <f>ROUND(R220,0)</f>
        <v>366421</v>
      </c>
      <c r="V220" s="515">
        <f t="shared" si="67"/>
        <v>0</v>
      </c>
      <c r="W220" s="251"/>
      <c r="X220" s="357">
        <v>361872.72</v>
      </c>
      <c r="Y220" s="391">
        <f t="shared" si="77"/>
        <v>0.98758728347993152</v>
      </c>
      <c r="Z220" s="357"/>
    </row>
    <row r="221" spans="2:26" ht="19.5" customHeight="1" x14ac:dyDescent="0.25">
      <c r="B221" s="56" t="s">
        <v>219</v>
      </c>
      <c r="C221" s="79" t="s">
        <v>184</v>
      </c>
      <c r="D221" s="142" t="s">
        <v>185</v>
      </c>
      <c r="E221" s="227">
        <v>1638439</v>
      </c>
      <c r="F221" s="227">
        <v>1670882</v>
      </c>
      <c r="G221" s="15">
        <f t="shared" si="68"/>
        <v>32443</v>
      </c>
      <c r="H221" s="568" t="s">
        <v>686</v>
      </c>
      <c r="I221" s="227">
        <v>1670882</v>
      </c>
      <c r="J221" s="15">
        <f t="shared" si="69"/>
        <v>0</v>
      </c>
      <c r="K221" s="568"/>
      <c r="L221" s="227">
        <f>ROUND(I221,0)</f>
        <v>1670882</v>
      </c>
      <c r="M221" s="15">
        <f t="shared" si="70"/>
        <v>0</v>
      </c>
      <c r="N221" s="568"/>
      <c r="O221" s="227">
        <f>ROUND(L221,0)</f>
        <v>1670882</v>
      </c>
      <c r="P221" s="15">
        <f t="shared" si="71"/>
        <v>0</v>
      </c>
      <c r="Q221" s="568"/>
      <c r="R221" s="514">
        <f>ROUND(O221,0)-1400</f>
        <v>1669482</v>
      </c>
      <c r="S221" s="515">
        <f t="shared" si="65"/>
        <v>-1400</v>
      </c>
      <c r="T221" s="251" t="s">
        <v>781</v>
      </c>
      <c r="U221" s="514">
        <f>ROUND(R221,0)</f>
        <v>1669482</v>
      </c>
      <c r="V221" s="515">
        <f t="shared" si="67"/>
        <v>0</v>
      </c>
      <c r="W221" s="251"/>
      <c r="X221" s="357">
        <f>2108480.87-510542</f>
        <v>1597938.87</v>
      </c>
      <c r="Y221" s="391">
        <f t="shared" si="77"/>
        <v>0.95714651011511365</v>
      </c>
      <c r="Z221" s="357" t="s">
        <v>457</v>
      </c>
    </row>
    <row r="222" spans="2:26" ht="46.5" customHeight="1" x14ac:dyDescent="0.25">
      <c r="B222" s="56" t="s">
        <v>414</v>
      </c>
      <c r="C222" s="79" t="s">
        <v>612</v>
      </c>
      <c r="D222" s="547" t="s">
        <v>788</v>
      </c>
      <c r="E222" s="551"/>
      <c r="F222" s="551"/>
      <c r="G222" s="550"/>
      <c r="H222" s="570"/>
      <c r="I222" s="551"/>
      <c r="J222" s="550"/>
      <c r="K222" s="570"/>
      <c r="L222" s="551"/>
      <c r="M222" s="550"/>
      <c r="N222" s="570"/>
      <c r="O222" s="551"/>
      <c r="P222" s="550"/>
      <c r="Q222" s="570"/>
      <c r="R222" s="514">
        <f>ROUND(O222,0)+4307</f>
        <v>4307</v>
      </c>
      <c r="S222" s="515">
        <f t="shared" si="65"/>
        <v>4307</v>
      </c>
      <c r="T222" s="545" t="s">
        <v>794</v>
      </c>
      <c r="U222" s="514">
        <f>ROUND(R222,0)</f>
        <v>4307</v>
      </c>
      <c r="V222" s="515">
        <f t="shared" si="67"/>
        <v>0</v>
      </c>
      <c r="W222" s="545"/>
      <c r="X222" s="550">
        <v>1450</v>
      </c>
      <c r="Y222" s="391">
        <f t="shared" si="77"/>
        <v>0.33666124912932438</v>
      </c>
      <c r="Z222" s="550"/>
    </row>
    <row r="223" spans="2:26" ht="18" customHeight="1" x14ac:dyDescent="0.25">
      <c r="B223" s="56"/>
      <c r="C223" s="79" t="s">
        <v>799</v>
      </c>
      <c r="D223" s="142" t="s">
        <v>439</v>
      </c>
      <c r="E223" s="246">
        <v>529476</v>
      </c>
      <c r="F223" s="246">
        <v>497033</v>
      </c>
      <c r="G223" s="15">
        <f t="shared" si="68"/>
        <v>-32443</v>
      </c>
      <c r="H223" s="569"/>
      <c r="I223" s="246">
        <v>497033</v>
      </c>
      <c r="J223" s="15">
        <f t="shared" si="69"/>
        <v>0</v>
      </c>
      <c r="K223" s="569"/>
      <c r="L223" s="246">
        <f>ROUND(I223,0)</f>
        <v>497033</v>
      </c>
      <c r="M223" s="15">
        <f t="shared" si="70"/>
        <v>0</v>
      </c>
      <c r="N223" s="569"/>
      <c r="O223" s="246">
        <f>ROUND(L223,0)</f>
        <v>497033</v>
      </c>
      <c r="P223" s="15">
        <f t="shared" si="71"/>
        <v>0</v>
      </c>
      <c r="Q223" s="569"/>
      <c r="R223" s="516">
        <f>ROUND(O223,0)+17324</f>
        <v>514357</v>
      </c>
      <c r="S223" s="515">
        <f t="shared" si="65"/>
        <v>17324</v>
      </c>
      <c r="T223" s="323" t="s">
        <v>780</v>
      </c>
      <c r="U223" s="516">
        <f>ROUND(R223,0)</f>
        <v>514357</v>
      </c>
      <c r="V223" s="515">
        <f t="shared" si="67"/>
        <v>0</v>
      </c>
      <c r="W223" s="323"/>
      <c r="X223" s="565">
        <v>469884</v>
      </c>
      <c r="Y223" s="391">
        <f t="shared" si="77"/>
        <v>0.91353670699533596</v>
      </c>
      <c r="Z223" s="357"/>
    </row>
    <row r="224" spans="2:26" ht="18" customHeight="1" x14ac:dyDescent="0.25">
      <c r="C224" s="77" t="s">
        <v>81</v>
      </c>
      <c r="D224" s="160" t="s">
        <v>186</v>
      </c>
      <c r="E224" s="37">
        <v>1499060</v>
      </c>
      <c r="F224" s="37">
        <v>1499060</v>
      </c>
      <c r="G224" s="19">
        <f t="shared" si="68"/>
        <v>0</v>
      </c>
      <c r="H224" s="250"/>
      <c r="I224" s="37">
        <v>1501706</v>
      </c>
      <c r="J224" s="19">
        <f t="shared" si="69"/>
        <v>2646</v>
      </c>
      <c r="K224" s="250"/>
      <c r="L224" s="37">
        <f>L225+L226+L228</f>
        <v>1501706</v>
      </c>
      <c r="M224" s="19">
        <f t="shared" si="70"/>
        <v>0</v>
      </c>
      <c r="N224" s="250"/>
      <c r="O224" s="37">
        <f>O225+O226+O228</f>
        <v>1501706</v>
      </c>
      <c r="P224" s="19">
        <f t="shared" si="71"/>
        <v>0</v>
      </c>
      <c r="Q224" s="250"/>
      <c r="R224" s="467">
        <f>R225+R226+R227+R228</f>
        <v>1507350</v>
      </c>
      <c r="S224" s="88">
        <f t="shared" si="65"/>
        <v>5644</v>
      </c>
      <c r="T224" s="250"/>
      <c r="U224" s="467">
        <f>U225+U226+U227+U228</f>
        <v>1507350</v>
      </c>
      <c r="V224" s="88">
        <f t="shared" si="67"/>
        <v>0</v>
      </c>
      <c r="W224" s="250"/>
      <c r="X224" s="192">
        <f>X225+X226+X227+X228</f>
        <v>1372574.2599999998</v>
      </c>
      <c r="Y224" s="353">
        <f t="shared" si="77"/>
        <v>0.91058762729293119</v>
      </c>
      <c r="Z224" s="192"/>
    </row>
    <row r="225" spans="2:26" ht="17.25" customHeight="1" x14ac:dyDescent="0.25">
      <c r="B225" s="56" t="s">
        <v>263</v>
      </c>
      <c r="C225" s="79" t="s">
        <v>187</v>
      </c>
      <c r="D225" s="142" t="s">
        <v>235</v>
      </c>
      <c r="E225" s="179">
        <v>144697</v>
      </c>
      <c r="F225" s="179">
        <v>144697</v>
      </c>
      <c r="G225" s="12">
        <f t="shared" si="68"/>
        <v>0</v>
      </c>
      <c r="H225" s="251"/>
      <c r="I225" s="179">
        <v>147343</v>
      </c>
      <c r="J225" s="12">
        <f t="shared" si="69"/>
        <v>2646</v>
      </c>
      <c r="K225" s="251" t="s">
        <v>725</v>
      </c>
      <c r="L225" s="179">
        <f>ROUND(I225,0)</f>
        <v>147343</v>
      </c>
      <c r="M225" s="12">
        <f t="shared" si="70"/>
        <v>0</v>
      </c>
      <c r="N225" s="251"/>
      <c r="O225" s="179">
        <f>ROUND(L225,0)</f>
        <v>147343</v>
      </c>
      <c r="P225" s="12">
        <f t="shared" si="71"/>
        <v>0</v>
      </c>
      <c r="Q225" s="251"/>
      <c r="R225" s="453">
        <f>ROUND(O225,0)+4948+53</f>
        <v>152344</v>
      </c>
      <c r="S225" s="454">
        <f t="shared" si="65"/>
        <v>5001</v>
      </c>
      <c r="T225" s="251" t="s">
        <v>810</v>
      </c>
      <c r="U225" s="453">
        <f>ROUND(R225,0)</f>
        <v>152344</v>
      </c>
      <c r="V225" s="454">
        <f t="shared" si="67"/>
        <v>0</v>
      </c>
      <c r="W225" s="251"/>
      <c r="X225" s="188">
        <v>151884.10999999999</v>
      </c>
      <c r="Y225" s="340">
        <f t="shared" si="77"/>
        <v>0.99698123982565767</v>
      </c>
      <c r="Z225" s="188"/>
    </row>
    <row r="226" spans="2:26" ht="19.5" customHeight="1" x14ac:dyDescent="0.25">
      <c r="B226" s="56" t="s">
        <v>392</v>
      </c>
      <c r="C226" s="79" t="s">
        <v>188</v>
      </c>
      <c r="D226" s="142" t="s">
        <v>185</v>
      </c>
      <c r="E226" s="179">
        <v>1108510</v>
      </c>
      <c r="F226" s="179">
        <v>1108510</v>
      </c>
      <c r="G226" s="12">
        <f t="shared" si="68"/>
        <v>0</v>
      </c>
      <c r="H226" s="251"/>
      <c r="I226" s="179">
        <v>1108510</v>
      </c>
      <c r="J226" s="12">
        <f t="shared" si="69"/>
        <v>0</v>
      </c>
      <c r="K226" s="251"/>
      <c r="L226" s="179">
        <f>ROUND(I226,0)</f>
        <v>1108510</v>
      </c>
      <c r="M226" s="12">
        <f t="shared" si="70"/>
        <v>0</v>
      </c>
      <c r="N226" s="251"/>
      <c r="O226" s="179">
        <f>ROUND(L226,0)</f>
        <v>1108510</v>
      </c>
      <c r="P226" s="12">
        <f t="shared" si="71"/>
        <v>0</v>
      </c>
      <c r="Q226" s="251"/>
      <c r="R226" s="453">
        <f>ROUND(O226,0)-1000</f>
        <v>1107510</v>
      </c>
      <c r="S226" s="454">
        <f t="shared" si="65"/>
        <v>-1000</v>
      </c>
      <c r="T226" s="251" t="s">
        <v>781</v>
      </c>
      <c r="U226" s="453">
        <f>ROUND(R226,0)</f>
        <v>1107510</v>
      </c>
      <c r="V226" s="454">
        <f t="shared" si="67"/>
        <v>0</v>
      </c>
      <c r="W226" s="251"/>
      <c r="X226" s="188">
        <f>1252550.15-244922</f>
        <v>1007628.1499999999</v>
      </c>
      <c r="Y226" s="340">
        <f t="shared" si="77"/>
        <v>0.90981404231113028</v>
      </c>
      <c r="Z226" s="188" t="s">
        <v>457</v>
      </c>
    </row>
    <row r="227" spans="2:26" ht="45" customHeight="1" x14ac:dyDescent="0.25">
      <c r="B227" s="56" t="s">
        <v>801</v>
      </c>
      <c r="C227" s="79" t="s">
        <v>342</v>
      </c>
      <c r="D227" s="547" t="s">
        <v>788</v>
      </c>
      <c r="E227" s="436"/>
      <c r="F227" s="436"/>
      <c r="G227" s="435"/>
      <c r="H227" s="552"/>
      <c r="I227" s="436"/>
      <c r="J227" s="435"/>
      <c r="K227" s="552"/>
      <c r="L227" s="436"/>
      <c r="M227" s="435"/>
      <c r="N227" s="552"/>
      <c r="O227" s="436"/>
      <c r="P227" s="435"/>
      <c r="Q227" s="552"/>
      <c r="R227" s="453">
        <f>ROUND(O227,0)+1643</f>
        <v>1643</v>
      </c>
      <c r="S227" s="454">
        <f t="shared" ref="S227" si="78">R227-O227</f>
        <v>1643</v>
      </c>
      <c r="T227" s="545" t="s">
        <v>794</v>
      </c>
      <c r="U227" s="453">
        <f>ROUND(R227,0)</f>
        <v>1643</v>
      </c>
      <c r="V227" s="454">
        <f t="shared" si="67"/>
        <v>0</v>
      </c>
      <c r="W227" s="545"/>
      <c r="X227" s="435"/>
      <c r="Y227" s="437"/>
      <c r="Z227" s="435"/>
    </row>
    <row r="228" spans="2:26" ht="16.95" customHeight="1" x14ac:dyDescent="0.25">
      <c r="B228" s="56"/>
      <c r="C228" s="79" t="s">
        <v>800</v>
      </c>
      <c r="D228" s="142" t="s">
        <v>439</v>
      </c>
      <c r="E228" s="224">
        <v>245853</v>
      </c>
      <c r="F228" s="224">
        <v>245853</v>
      </c>
      <c r="G228" s="12">
        <f t="shared" si="68"/>
        <v>0</v>
      </c>
      <c r="H228" s="249"/>
      <c r="I228" s="224">
        <v>245853</v>
      </c>
      <c r="J228" s="12">
        <f t="shared" si="69"/>
        <v>0</v>
      </c>
      <c r="K228" s="249"/>
      <c r="L228" s="224">
        <f>ROUND(I228,0)</f>
        <v>245853</v>
      </c>
      <c r="M228" s="12">
        <f t="shared" si="70"/>
        <v>0</v>
      </c>
      <c r="N228" s="249"/>
      <c r="O228" s="224">
        <f>ROUND(L228,0)</f>
        <v>245853</v>
      </c>
      <c r="P228" s="12">
        <f t="shared" si="71"/>
        <v>0</v>
      </c>
      <c r="Q228" s="249"/>
      <c r="R228" s="465">
        <f>ROUND(O228,0)</f>
        <v>245853</v>
      </c>
      <c r="S228" s="454">
        <f t="shared" si="65"/>
        <v>0</v>
      </c>
      <c r="T228" s="249"/>
      <c r="U228" s="465">
        <f>ROUND(R228,0)</f>
        <v>245853</v>
      </c>
      <c r="V228" s="454">
        <f t="shared" si="67"/>
        <v>0</v>
      </c>
      <c r="W228" s="249"/>
      <c r="X228" s="565">
        <v>213062</v>
      </c>
      <c r="Y228" s="340">
        <f t="shared" si="77"/>
        <v>0.86662355147181447</v>
      </c>
      <c r="Z228" s="188"/>
    </row>
    <row r="229" spans="2:26" ht="27.6" customHeight="1" x14ac:dyDescent="0.25">
      <c r="C229" s="77" t="s">
        <v>189</v>
      </c>
      <c r="D229" s="160" t="s">
        <v>286</v>
      </c>
      <c r="E229" s="37">
        <v>1850322</v>
      </c>
      <c r="F229" s="37">
        <v>1850322</v>
      </c>
      <c r="G229" s="19">
        <f t="shared" si="68"/>
        <v>0</v>
      </c>
      <c r="H229" s="250"/>
      <c r="I229" s="37">
        <v>1854025</v>
      </c>
      <c r="J229" s="19">
        <f t="shared" si="69"/>
        <v>3703</v>
      </c>
      <c r="K229" s="250"/>
      <c r="L229" s="37">
        <f>L230+L231+L233</f>
        <v>1854025</v>
      </c>
      <c r="M229" s="19">
        <f t="shared" si="70"/>
        <v>0</v>
      </c>
      <c r="N229" s="250"/>
      <c r="O229" s="37">
        <f>O230+O231+O233</f>
        <v>1854025</v>
      </c>
      <c r="P229" s="19">
        <f t="shared" si="71"/>
        <v>0</v>
      </c>
      <c r="Q229" s="250"/>
      <c r="R229" s="467">
        <f>R230+R231+R232+R233</f>
        <v>1854007</v>
      </c>
      <c r="S229" s="88">
        <f t="shared" si="65"/>
        <v>-18</v>
      </c>
      <c r="T229" s="250"/>
      <c r="U229" s="467">
        <f>U230+U231+U232+U233</f>
        <v>1854007</v>
      </c>
      <c r="V229" s="88">
        <f t="shared" si="67"/>
        <v>0</v>
      </c>
      <c r="W229" s="250"/>
      <c r="X229" s="192">
        <f>X230+X231+X232+X233</f>
        <v>1726715.7799999998</v>
      </c>
      <c r="Y229" s="353">
        <f t="shared" si="77"/>
        <v>0.93134264325862837</v>
      </c>
      <c r="Z229" s="192"/>
    </row>
    <row r="230" spans="2:26" ht="27" customHeight="1" x14ac:dyDescent="0.25">
      <c r="B230" s="3" t="s">
        <v>311</v>
      </c>
      <c r="C230" s="79" t="s">
        <v>613</v>
      </c>
      <c r="D230" s="142" t="s">
        <v>235</v>
      </c>
      <c r="E230" s="179">
        <v>200053</v>
      </c>
      <c r="F230" s="179">
        <v>200053</v>
      </c>
      <c r="G230" s="12">
        <f t="shared" si="68"/>
        <v>0</v>
      </c>
      <c r="H230" s="251"/>
      <c r="I230" s="179">
        <v>203756</v>
      </c>
      <c r="J230" s="12">
        <f t="shared" si="69"/>
        <v>3703</v>
      </c>
      <c r="K230" s="251" t="s">
        <v>725</v>
      </c>
      <c r="L230" s="179">
        <f>ROUND(I230,0)</f>
        <v>203756</v>
      </c>
      <c r="M230" s="12">
        <f t="shared" si="70"/>
        <v>0</v>
      </c>
      <c r="N230" s="251"/>
      <c r="O230" s="179">
        <f>ROUND(L230,0)</f>
        <v>203756</v>
      </c>
      <c r="P230" s="12">
        <f t="shared" si="71"/>
        <v>0</v>
      </c>
      <c r="Q230" s="251"/>
      <c r="R230" s="453">
        <f>ROUND(O230,0)-1224+75</f>
        <v>202607</v>
      </c>
      <c r="S230" s="454">
        <f t="shared" si="65"/>
        <v>-1149</v>
      </c>
      <c r="T230" s="251" t="s">
        <v>810</v>
      </c>
      <c r="U230" s="453">
        <f>ROUND(R230,0)</f>
        <v>202607</v>
      </c>
      <c r="V230" s="454">
        <f t="shared" si="67"/>
        <v>0</v>
      </c>
      <c r="W230" s="251"/>
      <c r="X230" s="188">
        <v>194122.95</v>
      </c>
      <c r="Y230" s="340">
        <f t="shared" si="77"/>
        <v>0.95812558302526574</v>
      </c>
      <c r="Z230" s="188"/>
    </row>
    <row r="231" spans="2:26" ht="15.6" customHeight="1" x14ac:dyDescent="0.25">
      <c r="B231" s="3" t="s">
        <v>312</v>
      </c>
      <c r="C231" s="79" t="s">
        <v>614</v>
      </c>
      <c r="D231" s="142" t="s">
        <v>185</v>
      </c>
      <c r="E231" s="179">
        <v>1406595</v>
      </c>
      <c r="F231" s="179">
        <v>1406595</v>
      </c>
      <c r="G231" s="12">
        <f t="shared" si="68"/>
        <v>0</v>
      </c>
      <c r="H231" s="322"/>
      <c r="I231" s="179">
        <v>1406595</v>
      </c>
      <c r="J231" s="12">
        <f t="shared" si="69"/>
        <v>0</v>
      </c>
      <c r="K231" s="322"/>
      <c r="L231" s="179">
        <f>ROUND(I231,0)</f>
        <v>1406595</v>
      </c>
      <c r="M231" s="12">
        <f t="shared" si="70"/>
        <v>0</v>
      </c>
      <c r="N231" s="322"/>
      <c r="O231" s="179">
        <f>ROUND(L231,0)</f>
        <v>1406595</v>
      </c>
      <c r="P231" s="12">
        <f t="shared" si="71"/>
        <v>0</v>
      </c>
      <c r="Q231" s="322"/>
      <c r="R231" s="453">
        <f>ROUND(O231,0)-1200</f>
        <v>1405395</v>
      </c>
      <c r="S231" s="454">
        <f t="shared" si="65"/>
        <v>-1200</v>
      </c>
      <c r="T231" s="251" t="s">
        <v>781</v>
      </c>
      <c r="U231" s="453">
        <f>ROUND(R231,0)</f>
        <v>1405395</v>
      </c>
      <c r="V231" s="454">
        <f t="shared" si="67"/>
        <v>0</v>
      </c>
      <c r="W231" s="251"/>
      <c r="X231" s="188">
        <f>1571272.91-234347</f>
        <v>1336925.9099999999</v>
      </c>
      <c r="Y231" s="340">
        <f t="shared" si="77"/>
        <v>0.95128124833231931</v>
      </c>
      <c r="Z231" s="188"/>
    </row>
    <row r="232" spans="2:26" ht="54" customHeight="1" x14ac:dyDescent="0.25">
      <c r="B232" s="3">
        <v>9012</v>
      </c>
      <c r="C232" s="543" t="s">
        <v>615</v>
      </c>
      <c r="D232" s="547" t="s">
        <v>788</v>
      </c>
      <c r="E232" s="436"/>
      <c r="F232" s="436"/>
      <c r="G232" s="435"/>
      <c r="H232" s="549"/>
      <c r="I232" s="436"/>
      <c r="J232" s="435"/>
      <c r="K232" s="549"/>
      <c r="L232" s="436"/>
      <c r="M232" s="435"/>
      <c r="N232" s="549"/>
      <c r="O232" s="436"/>
      <c r="P232" s="435"/>
      <c r="Q232" s="549"/>
      <c r="R232" s="453">
        <f>ROUND(O232,0)+2331</f>
        <v>2331</v>
      </c>
      <c r="S232" s="454">
        <f t="shared" ref="S232" si="79">R232-O232</f>
        <v>2331</v>
      </c>
      <c r="T232" s="545" t="s">
        <v>794</v>
      </c>
      <c r="U232" s="453">
        <f>ROUND(R232,0)</f>
        <v>2331</v>
      </c>
      <c r="V232" s="454">
        <f t="shared" si="67"/>
        <v>0</v>
      </c>
      <c r="W232" s="545"/>
      <c r="X232" s="435">
        <v>111.92</v>
      </c>
      <c r="Y232" s="340">
        <f t="shared" si="77"/>
        <v>4.8013728013728017E-2</v>
      </c>
      <c r="Z232" s="435"/>
    </row>
    <row r="233" spans="2:26" ht="17.399999999999999" customHeight="1" x14ac:dyDescent="0.25">
      <c r="C233" s="79" t="s">
        <v>798</v>
      </c>
      <c r="D233" s="142" t="s">
        <v>439</v>
      </c>
      <c r="E233" s="213">
        <v>243674</v>
      </c>
      <c r="F233" s="179">
        <v>243674</v>
      </c>
      <c r="G233" s="12">
        <f t="shared" si="68"/>
        <v>0</v>
      </c>
      <c r="H233" s="323"/>
      <c r="I233" s="179">
        <v>243674</v>
      </c>
      <c r="J233" s="12">
        <f t="shared" si="69"/>
        <v>0</v>
      </c>
      <c r="K233" s="323"/>
      <c r="L233" s="179">
        <f>ROUND(I233,0)</f>
        <v>243674</v>
      </c>
      <c r="M233" s="12">
        <f t="shared" si="70"/>
        <v>0</v>
      </c>
      <c r="N233" s="323"/>
      <c r="O233" s="179">
        <f>ROUND(L233,0)</f>
        <v>243674</v>
      </c>
      <c r="P233" s="12">
        <f t="shared" si="71"/>
        <v>0</v>
      </c>
      <c r="Q233" s="323"/>
      <c r="R233" s="453">
        <f>ROUND(O233,0)</f>
        <v>243674</v>
      </c>
      <c r="S233" s="454">
        <f t="shared" si="65"/>
        <v>0</v>
      </c>
      <c r="T233" s="323"/>
      <c r="U233" s="453">
        <f>ROUND(R233,0)</f>
        <v>243674</v>
      </c>
      <c r="V233" s="454">
        <f t="shared" si="67"/>
        <v>0</v>
      </c>
      <c r="W233" s="323"/>
      <c r="X233" s="565">
        <v>195555</v>
      </c>
      <c r="Y233" s="355">
        <f t="shared" si="77"/>
        <v>0.80252714692581073</v>
      </c>
      <c r="Z233" s="188"/>
    </row>
    <row r="234" spans="2:26" ht="27.6" x14ac:dyDescent="0.25">
      <c r="B234" s="3" t="s">
        <v>313</v>
      </c>
      <c r="C234" s="77" t="s">
        <v>192</v>
      </c>
      <c r="D234" s="160" t="s">
        <v>289</v>
      </c>
      <c r="E234" s="37">
        <v>1570891</v>
      </c>
      <c r="F234" s="37">
        <v>1570891</v>
      </c>
      <c r="G234" s="19">
        <f t="shared" si="68"/>
        <v>0</v>
      </c>
      <c r="H234" s="250"/>
      <c r="I234" s="37">
        <v>1575794</v>
      </c>
      <c r="J234" s="19">
        <f t="shared" si="69"/>
        <v>4903</v>
      </c>
      <c r="K234" s="250"/>
      <c r="L234" s="37">
        <f>SUM(L235:L238)</f>
        <v>1575794</v>
      </c>
      <c r="M234" s="19">
        <f t="shared" si="70"/>
        <v>0</v>
      </c>
      <c r="N234" s="250"/>
      <c r="O234" s="37">
        <f>SUM(O235:O238)</f>
        <v>1575794</v>
      </c>
      <c r="P234" s="19">
        <f t="shared" si="71"/>
        <v>0</v>
      </c>
      <c r="Q234" s="250"/>
      <c r="R234" s="467">
        <f>SUM(R235:R238)</f>
        <v>1571620</v>
      </c>
      <c r="S234" s="88">
        <f t="shared" si="65"/>
        <v>-4174</v>
      </c>
      <c r="T234" s="250"/>
      <c r="U234" s="467">
        <f>SUM(U235:U238)</f>
        <v>1571620</v>
      </c>
      <c r="V234" s="88">
        <f t="shared" si="67"/>
        <v>0</v>
      </c>
      <c r="W234" s="250"/>
      <c r="X234" s="192">
        <f>SUM(X235:X238)</f>
        <v>1461501.59</v>
      </c>
      <c r="Y234" s="353">
        <f t="shared" si="77"/>
        <v>0.92993318359399857</v>
      </c>
      <c r="Z234" s="192"/>
    </row>
    <row r="235" spans="2:26" s="28" customFormat="1" ht="31.5" customHeight="1" x14ac:dyDescent="0.25">
      <c r="B235" s="60" t="s">
        <v>314</v>
      </c>
      <c r="C235" s="79" t="s">
        <v>616</v>
      </c>
      <c r="D235" s="142" t="s">
        <v>235</v>
      </c>
      <c r="E235" s="179">
        <v>263376</v>
      </c>
      <c r="F235" s="179">
        <v>263376</v>
      </c>
      <c r="G235" s="15">
        <f t="shared" si="68"/>
        <v>0</v>
      </c>
      <c r="H235" s="251"/>
      <c r="I235" s="179">
        <v>268279</v>
      </c>
      <c r="J235" s="15">
        <f t="shared" si="69"/>
        <v>4903</v>
      </c>
      <c r="K235" s="251" t="s">
        <v>725</v>
      </c>
      <c r="L235" s="179">
        <f>ROUND(I235,0)</f>
        <v>268279</v>
      </c>
      <c r="M235" s="15">
        <f t="shared" si="70"/>
        <v>0</v>
      </c>
      <c r="N235" s="251"/>
      <c r="O235" s="179">
        <f>ROUND(L235,0)</f>
        <v>268279</v>
      </c>
      <c r="P235" s="15">
        <f t="shared" si="71"/>
        <v>0</v>
      </c>
      <c r="Q235" s="251"/>
      <c r="R235" s="453">
        <f>ROUND(O235,0)-6359+99</f>
        <v>262019</v>
      </c>
      <c r="S235" s="515">
        <f t="shared" si="65"/>
        <v>-6260</v>
      </c>
      <c r="T235" s="251" t="s">
        <v>811</v>
      </c>
      <c r="U235" s="453">
        <f>ROUND(R235,0)</f>
        <v>262019</v>
      </c>
      <c r="V235" s="515">
        <f t="shared" si="67"/>
        <v>0</v>
      </c>
      <c r="W235" s="251"/>
      <c r="X235" s="188">
        <v>259039.06</v>
      </c>
      <c r="Y235" s="340">
        <f t="shared" si="77"/>
        <v>0.98862700796507119</v>
      </c>
      <c r="Z235" s="188"/>
    </row>
    <row r="236" spans="2:26" s="28" customFormat="1" ht="42" customHeight="1" x14ac:dyDescent="0.25">
      <c r="C236" s="79" t="s">
        <v>617</v>
      </c>
      <c r="D236" s="142" t="s">
        <v>185</v>
      </c>
      <c r="E236" s="179">
        <v>1141525</v>
      </c>
      <c r="F236" s="179">
        <v>1141525</v>
      </c>
      <c r="G236" s="324">
        <f t="shared" si="68"/>
        <v>0</v>
      </c>
      <c r="H236" s="251"/>
      <c r="I236" s="179">
        <v>1141525</v>
      </c>
      <c r="J236" s="324">
        <f t="shared" si="69"/>
        <v>0</v>
      </c>
      <c r="K236" s="251"/>
      <c r="L236" s="179">
        <f>ROUND(I236,0)</f>
        <v>1141525</v>
      </c>
      <c r="M236" s="324">
        <f t="shared" si="70"/>
        <v>0</v>
      </c>
      <c r="N236" s="251"/>
      <c r="O236" s="179">
        <f>ROUND(L236,0)</f>
        <v>1141525</v>
      </c>
      <c r="P236" s="324">
        <f t="shared" si="71"/>
        <v>0</v>
      </c>
      <c r="Q236" s="251"/>
      <c r="R236" s="453">
        <f>ROUND(O236,0)-1000</f>
        <v>1140525</v>
      </c>
      <c r="S236" s="517">
        <f t="shared" si="65"/>
        <v>-1000</v>
      </c>
      <c r="T236" s="251" t="s">
        <v>781</v>
      </c>
      <c r="U236" s="453">
        <f>ROUND(R236,0)</f>
        <v>1140525</v>
      </c>
      <c r="V236" s="517">
        <f t="shared" si="67"/>
        <v>0</v>
      </c>
      <c r="W236" s="251"/>
      <c r="X236" s="188">
        <f>1224954.53-165990</f>
        <v>1058964.53</v>
      </c>
      <c r="Y236" s="340">
        <f t="shared" si="77"/>
        <v>0.92848866092369742</v>
      </c>
      <c r="Z236" s="188"/>
    </row>
    <row r="237" spans="2:26" s="28" customFormat="1" ht="45.75" customHeight="1" x14ac:dyDescent="0.25">
      <c r="B237" s="60" t="s">
        <v>314</v>
      </c>
      <c r="C237" s="79" t="s">
        <v>618</v>
      </c>
      <c r="D237" s="547" t="s">
        <v>788</v>
      </c>
      <c r="E237" s="436"/>
      <c r="F237" s="436"/>
      <c r="G237" s="550"/>
      <c r="H237" s="552"/>
      <c r="I237" s="436"/>
      <c r="J237" s="550"/>
      <c r="K237" s="552"/>
      <c r="L237" s="436"/>
      <c r="M237" s="550"/>
      <c r="N237" s="552"/>
      <c r="O237" s="436"/>
      <c r="P237" s="550"/>
      <c r="Q237" s="552"/>
      <c r="R237" s="453">
        <f>ROUND(O237,0)+3086</f>
        <v>3086</v>
      </c>
      <c r="S237" s="517">
        <f t="shared" ref="S237" si="80">R237-O237</f>
        <v>3086</v>
      </c>
      <c r="T237" s="545" t="s">
        <v>794</v>
      </c>
      <c r="U237" s="453">
        <f>ROUND(R237,0)</f>
        <v>3086</v>
      </c>
      <c r="V237" s="517">
        <f t="shared" si="67"/>
        <v>0</v>
      </c>
      <c r="W237" s="545"/>
      <c r="X237" s="435">
        <v>590</v>
      </c>
      <c r="Y237" s="340">
        <f t="shared" si="77"/>
        <v>0.19118600129617627</v>
      </c>
      <c r="Z237" s="435"/>
    </row>
    <row r="238" spans="2:26" s="28" customFormat="1" ht="13.95" customHeight="1" x14ac:dyDescent="0.25">
      <c r="C238" s="79" t="s">
        <v>802</v>
      </c>
      <c r="D238" s="142" t="s">
        <v>439</v>
      </c>
      <c r="E238" s="213">
        <v>165990</v>
      </c>
      <c r="F238" s="179">
        <v>165990</v>
      </c>
      <c r="G238" s="324">
        <f t="shared" si="68"/>
        <v>0</v>
      </c>
      <c r="H238" s="256"/>
      <c r="I238" s="179">
        <v>165990</v>
      </c>
      <c r="J238" s="324">
        <f t="shared" si="69"/>
        <v>0</v>
      </c>
      <c r="K238" s="256"/>
      <c r="L238" s="179">
        <f>ROUND(I238,0)</f>
        <v>165990</v>
      </c>
      <c r="M238" s="324">
        <f t="shared" si="70"/>
        <v>0</v>
      </c>
      <c r="N238" s="256"/>
      <c r="O238" s="179">
        <f>ROUND(L238,0)</f>
        <v>165990</v>
      </c>
      <c r="P238" s="324">
        <f t="shared" si="71"/>
        <v>0</v>
      </c>
      <c r="Q238" s="256"/>
      <c r="R238" s="453">
        <f>ROUND(O238,0)</f>
        <v>165990</v>
      </c>
      <c r="S238" s="517">
        <f t="shared" si="65"/>
        <v>0</v>
      </c>
      <c r="T238" s="256"/>
      <c r="U238" s="453">
        <f>ROUND(R238,0)</f>
        <v>165990</v>
      </c>
      <c r="V238" s="517">
        <f t="shared" si="67"/>
        <v>0</v>
      </c>
      <c r="W238" s="256"/>
      <c r="X238" s="565">
        <v>142908</v>
      </c>
      <c r="Y238" s="355">
        <f t="shared" si="77"/>
        <v>0.86094343032712817</v>
      </c>
      <c r="Z238" s="188"/>
    </row>
    <row r="239" spans="2:26" x14ac:dyDescent="0.25">
      <c r="C239" s="77" t="s">
        <v>194</v>
      </c>
      <c r="D239" s="160" t="s">
        <v>190</v>
      </c>
      <c r="E239" s="37">
        <v>3805461</v>
      </c>
      <c r="F239" s="37">
        <v>3797888</v>
      </c>
      <c r="G239" s="19">
        <f t="shared" si="68"/>
        <v>-7573</v>
      </c>
      <c r="H239" s="250"/>
      <c r="I239" s="37">
        <v>3797888</v>
      </c>
      <c r="J239" s="19">
        <f t="shared" si="69"/>
        <v>0</v>
      </c>
      <c r="K239" s="250"/>
      <c r="L239" s="37">
        <f>L240+L241+L242</f>
        <v>3797888</v>
      </c>
      <c r="M239" s="19">
        <f t="shared" si="70"/>
        <v>0</v>
      </c>
      <c r="N239" s="250"/>
      <c r="O239" s="37">
        <f>O240+O241+O242</f>
        <v>3797888</v>
      </c>
      <c r="P239" s="19">
        <f t="shared" si="71"/>
        <v>0</v>
      </c>
      <c r="Q239" s="250"/>
      <c r="R239" s="467">
        <f>R240+R241+R242</f>
        <v>3828674</v>
      </c>
      <c r="S239" s="88">
        <f t="shared" si="65"/>
        <v>30786</v>
      </c>
      <c r="T239" s="250"/>
      <c r="U239" s="467">
        <f>U240+U241+U242</f>
        <v>3828674</v>
      </c>
      <c r="V239" s="88">
        <f t="shared" si="67"/>
        <v>0</v>
      </c>
      <c r="W239" s="250"/>
      <c r="X239" s="192">
        <f>X240+X241+X242</f>
        <v>3000098.63</v>
      </c>
      <c r="Y239" s="353">
        <f t="shared" si="77"/>
        <v>0.78358685800880401</v>
      </c>
      <c r="Z239" s="192"/>
    </row>
    <row r="240" spans="2:26" s="28" customFormat="1" ht="18" customHeight="1" x14ac:dyDescent="0.25">
      <c r="B240" s="60" t="s">
        <v>222</v>
      </c>
      <c r="C240" s="83" t="s">
        <v>619</v>
      </c>
      <c r="D240" s="173" t="s">
        <v>191</v>
      </c>
      <c r="E240" s="179">
        <v>705444</v>
      </c>
      <c r="F240" s="179">
        <v>697871</v>
      </c>
      <c r="G240" s="15">
        <f t="shared" si="68"/>
        <v>-7573</v>
      </c>
      <c r="H240" s="251" t="s">
        <v>680</v>
      </c>
      <c r="I240" s="179">
        <v>697871</v>
      </c>
      <c r="J240" s="15">
        <f t="shared" si="69"/>
        <v>0</v>
      </c>
      <c r="K240" s="251"/>
      <c r="L240" s="179">
        <f>ROUND(I240,0)</f>
        <v>697871</v>
      </c>
      <c r="M240" s="15">
        <f t="shared" si="70"/>
        <v>0</v>
      </c>
      <c r="N240" s="251"/>
      <c r="O240" s="179">
        <f>ROUND(L240,0)</f>
        <v>697871</v>
      </c>
      <c r="P240" s="15">
        <f t="shared" si="71"/>
        <v>0</v>
      </c>
      <c r="Q240" s="251"/>
      <c r="R240" s="453">
        <f>ROUND(O240,0)+30436+350</f>
        <v>728657</v>
      </c>
      <c r="S240" s="515">
        <f t="shared" si="65"/>
        <v>30786</v>
      </c>
      <c r="T240" s="251" t="s">
        <v>811</v>
      </c>
      <c r="U240" s="453">
        <f>ROUND(R240,0)</f>
        <v>728657</v>
      </c>
      <c r="V240" s="515">
        <f t="shared" si="67"/>
        <v>0</v>
      </c>
      <c r="W240" s="251"/>
      <c r="X240" s="188">
        <v>646706.72</v>
      </c>
      <c r="Y240" s="340">
        <f t="shared" si="77"/>
        <v>0.88753243295542339</v>
      </c>
      <c r="Z240" s="188"/>
    </row>
    <row r="241" spans="2:26" s="28" customFormat="1" ht="16.2" customHeight="1" x14ac:dyDescent="0.25">
      <c r="B241" s="60" t="s">
        <v>563</v>
      </c>
      <c r="C241" s="83" t="s">
        <v>620</v>
      </c>
      <c r="D241" s="173" t="s">
        <v>518</v>
      </c>
      <c r="E241" s="179">
        <v>2846110</v>
      </c>
      <c r="F241" s="179">
        <v>2846110</v>
      </c>
      <c r="G241" s="15">
        <f t="shared" si="68"/>
        <v>0</v>
      </c>
      <c r="H241" s="252"/>
      <c r="I241" s="179">
        <v>2846110</v>
      </c>
      <c r="J241" s="15">
        <f t="shared" si="69"/>
        <v>0</v>
      </c>
      <c r="K241" s="252"/>
      <c r="L241" s="179">
        <f>ROUND(I241,0)</f>
        <v>2846110</v>
      </c>
      <c r="M241" s="15">
        <f t="shared" si="70"/>
        <v>0</v>
      </c>
      <c r="N241" s="252"/>
      <c r="O241" s="179">
        <f>ROUND(L241,0)</f>
        <v>2846110</v>
      </c>
      <c r="P241" s="15">
        <f t="shared" si="71"/>
        <v>0</v>
      </c>
      <c r="Q241" s="252"/>
      <c r="R241" s="453">
        <f>ROUND(O241,0)</f>
        <v>2846110</v>
      </c>
      <c r="S241" s="515">
        <f t="shared" si="65"/>
        <v>0</v>
      </c>
      <c r="T241" s="252"/>
      <c r="U241" s="453">
        <f>ROUND(R241,0)</f>
        <v>2846110</v>
      </c>
      <c r="V241" s="515">
        <f t="shared" si="67"/>
        <v>0</v>
      </c>
      <c r="W241" s="562"/>
      <c r="X241" s="188">
        <v>2115237.17</v>
      </c>
      <c r="Y241" s="340">
        <f t="shared" si="77"/>
        <v>0.74320288744988772</v>
      </c>
      <c r="Z241" s="188"/>
    </row>
    <row r="242" spans="2:26" ht="14.4" customHeight="1" x14ac:dyDescent="0.25">
      <c r="B242" s="56" t="s">
        <v>564</v>
      </c>
      <c r="C242" s="79" t="s">
        <v>621</v>
      </c>
      <c r="D242" s="142" t="s">
        <v>258</v>
      </c>
      <c r="E242" s="179">
        <v>253907</v>
      </c>
      <c r="F242" s="179">
        <v>253907</v>
      </c>
      <c r="G242" s="15">
        <f t="shared" si="68"/>
        <v>0</v>
      </c>
      <c r="H242" s="253"/>
      <c r="I242" s="179">
        <v>253907</v>
      </c>
      <c r="J242" s="15">
        <f t="shared" si="69"/>
        <v>0</v>
      </c>
      <c r="K242" s="253"/>
      <c r="L242" s="179">
        <f>ROUND(I242,0)</f>
        <v>253907</v>
      </c>
      <c r="M242" s="15">
        <f t="shared" si="70"/>
        <v>0</v>
      </c>
      <c r="N242" s="253"/>
      <c r="O242" s="179">
        <f>ROUND(L242,0)</f>
        <v>253907</v>
      </c>
      <c r="P242" s="15">
        <f t="shared" si="71"/>
        <v>0</v>
      </c>
      <c r="Q242" s="253"/>
      <c r="R242" s="453">
        <f>ROUND(O242,0)</f>
        <v>253907</v>
      </c>
      <c r="S242" s="515">
        <f t="shared" si="65"/>
        <v>0</v>
      </c>
      <c r="T242" s="253"/>
      <c r="U242" s="453">
        <f>ROUND(R242,0)</f>
        <v>253907</v>
      </c>
      <c r="V242" s="515">
        <f t="shared" si="67"/>
        <v>0</v>
      </c>
      <c r="W242" s="253"/>
      <c r="X242" s="188">
        <v>238154.74</v>
      </c>
      <c r="Y242" s="392">
        <f t="shared" si="77"/>
        <v>0.93796051310125361</v>
      </c>
      <c r="Z242" s="188"/>
    </row>
    <row r="243" spans="2:26" s="5" customFormat="1" ht="15.75" customHeight="1" x14ac:dyDescent="0.25">
      <c r="C243" s="77" t="s">
        <v>195</v>
      </c>
      <c r="D243" s="160" t="s">
        <v>565</v>
      </c>
      <c r="E243" s="222">
        <v>2754926</v>
      </c>
      <c r="F243" s="222">
        <v>2709458</v>
      </c>
      <c r="G243" s="25">
        <f t="shared" si="68"/>
        <v>-45468</v>
      </c>
      <c r="H243" s="254"/>
      <c r="I243" s="222">
        <v>2734011</v>
      </c>
      <c r="J243" s="25">
        <f t="shared" si="69"/>
        <v>24553</v>
      </c>
      <c r="K243" s="254"/>
      <c r="L243" s="222">
        <f>L244+L248+L249+L250+L251+L253+L254</f>
        <v>2737011</v>
      </c>
      <c r="M243" s="25">
        <f t="shared" si="70"/>
        <v>3000</v>
      </c>
      <c r="N243" s="254"/>
      <c r="O243" s="222">
        <f>O244+O248+O249+O250+O251+O253+O254</f>
        <v>2761873</v>
      </c>
      <c r="P243" s="25">
        <f t="shared" si="71"/>
        <v>24862</v>
      </c>
      <c r="Q243" s="254"/>
      <c r="R243" s="495">
        <f>R244+R248+R249+R250+R251+R252+R253+R254</f>
        <v>2930022</v>
      </c>
      <c r="S243" s="496">
        <f t="shared" ref="S243:S298" si="81">R243-O243</f>
        <v>168149</v>
      </c>
      <c r="T243" s="254"/>
      <c r="U243" s="495">
        <f>U244+U248+U249+U250+U251+U252+U253+U254</f>
        <v>2930022</v>
      </c>
      <c r="V243" s="496">
        <f t="shared" ref="V243:V259" si="82">U243-R243</f>
        <v>0</v>
      </c>
      <c r="W243" s="254"/>
      <c r="X243" s="350">
        <f>X244+X248+X249+X250+X251+X252+X253+X254</f>
        <v>2786353.79</v>
      </c>
      <c r="Y243" s="383">
        <f t="shared" si="77"/>
        <v>0.95096684939567011</v>
      </c>
      <c r="Z243" s="350"/>
    </row>
    <row r="244" spans="2:26" s="11" customFormat="1" ht="24.6" customHeight="1" x14ac:dyDescent="0.25">
      <c r="B244" s="58"/>
      <c r="C244" s="79" t="s">
        <v>622</v>
      </c>
      <c r="D244" s="142" t="s">
        <v>235</v>
      </c>
      <c r="E244" s="179">
        <v>1540363</v>
      </c>
      <c r="F244" s="179">
        <v>1494895</v>
      </c>
      <c r="G244" s="12">
        <f t="shared" si="68"/>
        <v>-45468</v>
      </c>
      <c r="H244" s="251"/>
      <c r="I244" s="179">
        <v>1519448</v>
      </c>
      <c r="J244" s="12">
        <f t="shared" si="69"/>
        <v>24553</v>
      </c>
      <c r="K244" s="251"/>
      <c r="L244" s="179">
        <f>L245+L246+L247</f>
        <v>1519448</v>
      </c>
      <c r="M244" s="12">
        <f t="shared" si="70"/>
        <v>0</v>
      </c>
      <c r="N244" s="251"/>
      <c r="O244" s="179">
        <f>O245+O246+O247</f>
        <v>1519448</v>
      </c>
      <c r="P244" s="12">
        <f t="shared" si="71"/>
        <v>0</v>
      </c>
      <c r="Q244" s="251"/>
      <c r="R244" s="453">
        <f>R245+R246+R247</f>
        <v>1634540</v>
      </c>
      <c r="S244" s="454">
        <f t="shared" si="81"/>
        <v>115092</v>
      </c>
      <c r="T244" s="251"/>
      <c r="U244" s="453">
        <f>U245+U246+U247</f>
        <v>1634540</v>
      </c>
      <c r="V244" s="454">
        <f t="shared" si="82"/>
        <v>0</v>
      </c>
      <c r="W244" s="251"/>
      <c r="X244" s="188">
        <f>X245+X246+X247</f>
        <v>1629860.82</v>
      </c>
      <c r="Y244" s="340">
        <f t="shared" si="77"/>
        <v>0.99713731080303947</v>
      </c>
      <c r="Z244" s="188"/>
    </row>
    <row r="245" spans="2:26" s="183" customFormat="1" ht="33.75" customHeight="1" x14ac:dyDescent="0.25">
      <c r="B245" s="184" t="s">
        <v>316</v>
      </c>
      <c r="C245" s="110" t="s">
        <v>623</v>
      </c>
      <c r="D245" s="168" t="s">
        <v>541</v>
      </c>
      <c r="E245" s="228">
        <v>1364718</v>
      </c>
      <c r="F245" s="228">
        <v>1365831</v>
      </c>
      <c r="G245" s="185">
        <f t="shared" si="68"/>
        <v>1113</v>
      </c>
      <c r="H245" s="255" t="s">
        <v>681</v>
      </c>
      <c r="I245" s="228">
        <v>1365831</v>
      </c>
      <c r="J245" s="185">
        <f t="shared" si="69"/>
        <v>0</v>
      </c>
      <c r="K245" s="255"/>
      <c r="L245" s="228">
        <f>ROUND(I245,0)</f>
        <v>1365831</v>
      </c>
      <c r="M245" s="185">
        <f t="shared" si="70"/>
        <v>0</v>
      </c>
      <c r="N245" s="255"/>
      <c r="O245" s="228">
        <f t="shared" ref="O245:O254" si="83">ROUND(L245,0)</f>
        <v>1365831</v>
      </c>
      <c r="P245" s="185">
        <f t="shared" si="71"/>
        <v>0</v>
      </c>
      <c r="Q245" s="255"/>
      <c r="R245" s="518">
        <f>ROUND(O245,0)+116692</f>
        <v>1482523</v>
      </c>
      <c r="S245" s="519">
        <f t="shared" si="81"/>
        <v>116692</v>
      </c>
      <c r="T245" s="255" t="s">
        <v>783</v>
      </c>
      <c r="U245" s="518">
        <f>ROUND(R245,0)</f>
        <v>1482523</v>
      </c>
      <c r="V245" s="519">
        <f t="shared" si="82"/>
        <v>0</v>
      </c>
      <c r="W245" s="255"/>
      <c r="X245" s="185">
        <f>1608618.86-X247-X248</f>
        <v>1477951.86</v>
      </c>
      <c r="Y245" s="340">
        <f t="shared" si="77"/>
        <v>0.99691664817341796</v>
      </c>
      <c r="Z245" s="185"/>
    </row>
    <row r="246" spans="2:26" s="183" customFormat="1" ht="29.4" customHeight="1" x14ac:dyDescent="0.25">
      <c r="B246" s="184" t="s">
        <v>545</v>
      </c>
      <c r="C246" s="110" t="s">
        <v>624</v>
      </c>
      <c r="D246" s="168" t="s">
        <v>542</v>
      </c>
      <c r="E246" s="228">
        <v>175645</v>
      </c>
      <c r="F246" s="228">
        <v>129064</v>
      </c>
      <c r="G246" s="185">
        <f t="shared" si="68"/>
        <v>-46581</v>
      </c>
      <c r="H246" s="255" t="s">
        <v>680</v>
      </c>
      <c r="I246" s="228">
        <v>129064</v>
      </c>
      <c r="J246" s="185">
        <f t="shared" si="69"/>
        <v>0</v>
      </c>
      <c r="K246" s="255"/>
      <c r="L246" s="228">
        <f>ROUND(I246,0)</f>
        <v>129064</v>
      </c>
      <c r="M246" s="185">
        <f t="shared" si="70"/>
        <v>0</v>
      </c>
      <c r="N246" s="255"/>
      <c r="O246" s="228">
        <f t="shared" si="83"/>
        <v>129064</v>
      </c>
      <c r="P246" s="185">
        <f t="shared" si="71"/>
        <v>0</v>
      </c>
      <c r="Q246" s="255"/>
      <c r="R246" s="518">
        <f>ROUND(O246,0)-2095</f>
        <v>126969</v>
      </c>
      <c r="S246" s="519">
        <f t="shared" si="81"/>
        <v>-2095</v>
      </c>
      <c r="T246" s="255" t="s">
        <v>785</v>
      </c>
      <c r="U246" s="518">
        <f>ROUND(R246,0)</f>
        <v>126969</v>
      </c>
      <c r="V246" s="519">
        <f t="shared" si="82"/>
        <v>0</v>
      </c>
      <c r="W246" s="255"/>
      <c r="X246" s="185">
        <v>126861.96</v>
      </c>
      <c r="Y246" s="340">
        <f t="shared" si="77"/>
        <v>0.99915695957280914</v>
      </c>
      <c r="Z246" s="185"/>
    </row>
    <row r="247" spans="2:26" s="183" customFormat="1" ht="17.25" customHeight="1" x14ac:dyDescent="0.25">
      <c r="B247" s="184"/>
      <c r="C247" s="110" t="s">
        <v>625</v>
      </c>
      <c r="D247" s="168" t="s">
        <v>543</v>
      </c>
      <c r="E247" s="228">
        <v>0</v>
      </c>
      <c r="F247" s="228">
        <v>0</v>
      </c>
      <c r="G247" s="185">
        <f t="shared" si="68"/>
        <v>0</v>
      </c>
      <c r="H247" s="255"/>
      <c r="I247" s="228">
        <v>24553</v>
      </c>
      <c r="J247" s="185">
        <f t="shared" si="69"/>
        <v>24553</v>
      </c>
      <c r="K247" s="251" t="s">
        <v>725</v>
      </c>
      <c r="L247" s="228">
        <f>ROUND(I247,0)</f>
        <v>24553</v>
      </c>
      <c r="M247" s="185">
        <f t="shared" si="70"/>
        <v>0</v>
      </c>
      <c r="N247" s="251"/>
      <c r="O247" s="228">
        <f t="shared" si="83"/>
        <v>24553</v>
      </c>
      <c r="P247" s="185">
        <f t="shared" si="71"/>
        <v>0</v>
      </c>
      <c r="Q247" s="251"/>
      <c r="R247" s="518">
        <f>ROUND(O247,0)+495</f>
        <v>25048</v>
      </c>
      <c r="S247" s="519">
        <f t="shared" si="81"/>
        <v>495</v>
      </c>
      <c r="T247" s="251" t="s">
        <v>808</v>
      </c>
      <c r="U247" s="518">
        <f>ROUND(R247,0)</f>
        <v>25048</v>
      </c>
      <c r="V247" s="519">
        <f t="shared" si="82"/>
        <v>0</v>
      </c>
      <c r="W247" s="251"/>
      <c r="X247" s="185">
        <f>15226+9821</f>
        <v>25047</v>
      </c>
      <c r="Y247" s="340">
        <f t="shared" si="77"/>
        <v>0.9999600766528266</v>
      </c>
      <c r="Z247" s="185"/>
    </row>
    <row r="248" spans="2:26" s="11" customFormat="1" x14ac:dyDescent="0.25">
      <c r="B248" s="11" t="s">
        <v>316</v>
      </c>
      <c r="C248" s="79" t="s">
        <v>626</v>
      </c>
      <c r="D248" s="142" t="s">
        <v>259</v>
      </c>
      <c r="E248" s="244">
        <v>94076</v>
      </c>
      <c r="F248" s="244">
        <v>94076</v>
      </c>
      <c r="G248" s="12">
        <f t="shared" si="68"/>
        <v>0</v>
      </c>
      <c r="H248" s="251"/>
      <c r="I248" s="244">
        <v>94076</v>
      </c>
      <c r="J248" s="12">
        <f t="shared" si="69"/>
        <v>0</v>
      </c>
      <c r="K248" s="251"/>
      <c r="L248" s="244">
        <f t="shared" ref="L248:L254" si="84">ROUND(I248,0)</f>
        <v>94076</v>
      </c>
      <c r="M248" s="12">
        <f t="shared" si="70"/>
        <v>0</v>
      </c>
      <c r="N248" s="251"/>
      <c r="O248" s="244">
        <f t="shared" si="83"/>
        <v>94076</v>
      </c>
      <c r="P248" s="12">
        <f t="shared" si="71"/>
        <v>0</v>
      </c>
      <c r="Q248" s="251"/>
      <c r="R248" s="505">
        <f t="shared" ref="R248" si="85">ROUND(O248,0)</f>
        <v>94076</v>
      </c>
      <c r="S248" s="454">
        <f t="shared" si="81"/>
        <v>0</v>
      </c>
      <c r="T248" s="251"/>
      <c r="U248" s="505">
        <f t="shared" ref="U248" si="86">ROUND(R248,0)</f>
        <v>94076</v>
      </c>
      <c r="V248" s="454">
        <f t="shared" si="82"/>
        <v>0</v>
      </c>
      <c r="W248" s="251"/>
      <c r="X248" s="188">
        <v>105620</v>
      </c>
      <c r="Y248" s="340">
        <f t="shared" ref="Y248:Y253" si="87">X248/R248</f>
        <v>1.1227092988647476</v>
      </c>
      <c r="Z248" s="188"/>
    </row>
    <row r="249" spans="2:26" s="11" customFormat="1" ht="76.5" customHeight="1" x14ac:dyDescent="0.25">
      <c r="B249" s="58" t="s">
        <v>315</v>
      </c>
      <c r="C249" s="79" t="s">
        <v>627</v>
      </c>
      <c r="D249" s="142" t="s">
        <v>185</v>
      </c>
      <c r="E249" s="179">
        <v>645648</v>
      </c>
      <c r="F249" s="179">
        <v>689772</v>
      </c>
      <c r="G249" s="12">
        <f t="shared" si="68"/>
        <v>44124</v>
      </c>
      <c r="H249" s="568" t="s">
        <v>683</v>
      </c>
      <c r="I249" s="179">
        <v>689772</v>
      </c>
      <c r="J249" s="12">
        <f t="shared" si="69"/>
        <v>0</v>
      </c>
      <c r="K249" s="568"/>
      <c r="L249" s="179">
        <f>ROUND(I249,0)+3000</f>
        <v>692772</v>
      </c>
      <c r="M249" s="12">
        <f t="shared" si="70"/>
        <v>3000</v>
      </c>
      <c r="N249" s="413" t="s">
        <v>740</v>
      </c>
      <c r="O249" s="179">
        <f>ROUND(L249,0)+24862</f>
        <v>717634</v>
      </c>
      <c r="P249" s="12">
        <f t="shared" si="71"/>
        <v>24862</v>
      </c>
      <c r="Q249" s="413" t="s">
        <v>767</v>
      </c>
      <c r="R249" s="453">
        <f>ROUND(O249,0)-1400</f>
        <v>716234</v>
      </c>
      <c r="S249" s="454">
        <f t="shared" si="81"/>
        <v>-1400</v>
      </c>
      <c r="T249" s="413" t="s">
        <v>781</v>
      </c>
      <c r="U249" s="453">
        <f>ROUND(R249,0)</f>
        <v>716234</v>
      </c>
      <c r="V249" s="454">
        <f t="shared" si="82"/>
        <v>0</v>
      </c>
      <c r="W249" s="413"/>
      <c r="X249" s="188">
        <f>1012429.37-342547</f>
        <v>669882.37</v>
      </c>
      <c r="Y249" s="340">
        <f t="shared" si="87"/>
        <v>0.93528423671593364</v>
      </c>
      <c r="Z249" s="188"/>
    </row>
    <row r="250" spans="2:26" s="11" customFormat="1" ht="16.95" customHeight="1" x14ac:dyDescent="0.25">
      <c r="B250" s="58"/>
      <c r="C250" s="107" t="s">
        <v>628</v>
      </c>
      <c r="D250" s="142" t="s">
        <v>439</v>
      </c>
      <c r="E250" s="213">
        <v>386671</v>
      </c>
      <c r="F250" s="179">
        <v>342547</v>
      </c>
      <c r="G250" s="12">
        <f t="shared" si="68"/>
        <v>-44124</v>
      </c>
      <c r="H250" s="569"/>
      <c r="I250" s="179">
        <v>342547</v>
      </c>
      <c r="J250" s="12">
        <f t="shared" si="69"/>
        <v>0</v>
      </c>
      <c r="K250" s="569"/>
      <c r="L250" s="179">
        <f t="shared" si="84"/>
        <v>342547</v>
      </c>
      <c r="M250" s="12">
        <f t="shared" si="70"/>
        <v>0</v>
      </c>
      <c r="N250" s="323"/>
      <c r="O250" s="179">
        <f t="shared" si="83"/>
        <v>342547</v>
      </c>
      <c r="P250" s="12">
        <f t="shared" si="71"/>
        <v>0</v>
      </c>
      <c r="Q250" s="323"/>
      <c r="R250" s="453">
        <f t="shared" ref="R250:R254" si="88">ROUND(O250,0)</f>
        <v>342547</v>
      </c>
      <c r="S250" s="454">
        <f t="shared" si="81"/>
        <v>0</v>
      </c>
      <c r="T250" s="323"/>
      <c r="U250" s="453">
        <f t="shared" ref="U250" si="89">ROUND(R250,0)</f>
        <v>342547</v>
      </c>
      <c r="V250" s="454">
        <f t="shared" si="82"/>
        <v>0</v>
      </c>
      <c r="W250" s="323"/>
      <c r="X250" s="565">
        <v>299432</v>
      </c>
      <c r="Y250" s="355">
        <f t="shared" si="87"/>
        <v>0.87413406043550224</v>
      </c>
      <c r="Z250" s="188"/>
    </row>
    <row r="251" spans="2:26" s="11" customFormat="1" ht="16.95" customHeight="1" x14ac:dyDescent="0.25">
      <c r="B251" s="58" t="s">
        <v>317</v>
      </c>
      <c r="C251" s="79" t="s">
        <v>629</v>
      </c>
      <c r="D251" s="142" t="s">
        <v>255</v>
      </c>
      <c r="E251" s="179">
        <v>11200</v>
      </c>
      <c r="F251" s="179">
        <v>11200</v>
      </c>
      <c r="G251" s="12">
        <f t="shared" si="68"/>
        <v>0</v>
      </c>
      <c r="H251" s="253"/>
      <c r="I251" s="179">
        <v>11200</v>
      </c>
      <c r="J251" s="12">
        <f t="shared" si="69"/>
        <v>0</v>
      </c>
      <c r="K251" s="253"/>
      <c r="L251" s="179">
        <f t="shared" si="84"/>
        <v>11200</v>
      </c>
      <c r="M251" s="12">
        <f t="shared" si="70"/>
        <v>0</v>
      </c>
      <c r="N251" s="253"/>
      <c r="O251" s="179">
        <f t="shared" si="83"/>
        <v>11200</v>
      </c>
      <c r="P251" s="12">
        <f t="shared" si="71"/>
        <v>0</v>
      </c>
      <c r="Q251" s="253"/>
      <c r="R251" s="453">
        <f>ROUND(O251,0)+2740</f>
        <v>13940</v>
      </c>
      <c r="S251" s="454">
        <f t="shared" si="81"/>
        <v>2740</v>
      </c>
      <c r="T251" s="253" t="s">
        <v>806</v>
      </c>
      <c r="U251" s="453">
        <f>ROUND(R251,0)</f>
        <v>13940</v>
      </c>
      <c r="V251" s="454">
        <f t="shared" si="82"/>
        <v>0</v>
      </c>
      <c r="W251" s="253"/>
      <c r="X251" s="188">
        <v>12143.6</v>
      </c>
      <c r="Y251" s="340">
        <f t="shared" si="87"/>
        <v>0.87113342898134871</v>
      </c>
      <c r="Z251" s="188"/>
    </row>
    <row r="252" spans="2:26" s="11" customFormat="1" ht="46.5" customHeight="1" x14ac:dyDescent="0.25">
      <c r="B252" s="58"/>
      <c r="C252" s="79" t="s">
        <v>630</v>
      </c>
      <c r="D252" s="547" t="s">
        <v>788</v>
      </c>
      <c r="E252" s="436"/>
      <c r="F252" s="436"/>
      <c r="G252" s="435"/>
      <c r="H252" s="545"/>
      <c r="I252" s="436"/>
      <c r="J252" s="435"/>
      <c r="K252" s="545"/>
      <c r="L252" s="436"/>
      <c r="M252" s="435"/>
      <c r="N252" s="545"/>
      <c r="O252" s="436"/>
      <c r="P252" s="435"/>
      <c r="Q252" s="545"/>
      <c r="R252" s="546">
        <v>15473</v>
      </c>
      <c r="S252" s="454">
        <f t="shared" si="81"/>
        <v>15473</v>
      </c>
      <c r="T252" s="545" t="s">
        <v>794</v>
      </c>
      <c r="U252" s="546">
        <v>15473</v>
      </c>
      <c r="V252" s="454">
        <f t="shared" si="82"/>
        <v>0</v>
      </c>
      <c r="W252" s="545"/>
      <c r="X252" s="435"/>
      <c r="Y252" s="340">
        <f t="shared" si="87"/>
        <v>0</v>
      </c>
      <c r="Z252" s="435"/>
    </row>
    <row r="253" spans="2:26" s="5" customFormat="1" ht="19.5" customHeight="1" x14ac:dyDescent="0.25">
      <c r="B253" s="56" t="s">
        <v>393</v>
      </c>
      <c r="C253" s="79" t="s">
        <v>631</v>
      </c>
      <c r="D253" s="142" t="s">
        <v>529</v>
      </c>
      <c r="E253" s="179">
        <v>76968</v>
      </c>
      <c r="F253" s="179">
        <v>76968</v>
      </c>
      <c r="G253" s="12">
        <f t="shared" si="68"/>
        <v>0</v>
      </c>
      <c r="H253" s="257"/>
      <c r="I253" s="179">
        <v>76968</v>
      </c>
      <c r="J253" s="12">
        <f t="shared" si="69"/>
        <v>0</v>
      </c>
      <c r="K253" s="257"/>
      <c r="L253" s="179">
        <f t="shared" si="84"/>
        <v>76968</v>
      </c>
      <c r="M253" s="12">
        <f t="shared" si="70"/>
        <v>0</v>
      </c>
      <c r="N253" s="257"/>
      <c r="O253" s="179">
        <f t="shared" si="83"/>
        <v>76968</v>
      </c>
      <c r="P253" s="12">
        <f t="shared" si="71"/>
        <v>0</v>
      </c>
      <c r="Q253" s="257"/>
      <c r="R253" s="453">
        <f>ROUND(O253,0)+18754+17490</f>
        <v>113212</v>
      </c>
      <c r="S253" s="454">
        <f t="shared" si="81"/>
        <v>36244</v>
      </c>
      <c r="T253" s="553" t="s">
        <v>822</v>
      </c>
      <c r="U253" s="453">
        <f>ROUND(R253,0)</f>
        <v>113212</v>
      </c>
      <c r="V253" s="454">
        <f t="shared" si="82"/>
        <v>0</v>
      </c>
      <c r="W253" s="553"/>
      <c r="X253" s="188">
        <v>69415</v>
      </c>
      <c r="Y253" s="340">
        <f t="shared" si="87"/>
        <v>0.6131417164258206</v>
      </c>
      <c r="Z253" s="188"/>
    </row>
    <row r="254" spans="2:26" s="5" customFormat="1" ht="15" customHeight="1" x14ac:dyDescent="0.25">
      <c r="B254" s="56" t="s">
        <v>315</v>
      </c>
      <c r="C254" s="79" t="s">
        <v>797</v>
      </c>
      <c r="D254" s="175" t="s">
        <v>335</v>
      </c>
      <c r="E254" s="179">
        <v>0</v>
      </c>
      <c r="F254" s="179">
        <v>0</v>
      </c>
      <c r="G254" s="12">
        <f t="shared" si="68"/>
        <v>0</v>
      </c>
      <c r="H254" s="258"/>
      <c r="I254" s="179">
        <v>0</v>
      </c>
      <c r="J254" s="12">
        <f t="shared" si="69"/>
        <v>0</v>
      </c>
      <c r="K254" s="258"/>
      <c r="L254" s="179">
        <f t="shared" si="84"/>
        <v>0</v>
      </c>
      <c r="M254" s="12">
        <f t="shared" si="70"/>
        <v>0</v>
      </c>
      <c r="N254" s="258"/>
      <c r="O254" s="179">
        <f t="shared" si="83"/>
        <v>0</v>
      </c>
      <c r="P254" s="12">
        <f t="shared" si="71"/>
        <v>0</v>
      </c>
      <c r="Q254" s="258"/>
      <c r="R254" s="453">
        <f t="shared" si="88"/>
        <v>0</v>
      </c>
      <c r="S254" s="454">
        <f t="shared" si="81"/>
        <v>0</v>
      </c>
      <c r="T254" s="258"/>
      <c r="U254" s="453">
        <f t="shared" ref="U254" si="90">ROUND(R254,0)</f>
        <v>0</v>
      </c>
      <c r="V254" s="454">
        <f t="shared" si="82"/>
        <v>0</v>
      </c>
      <c r="W254" s="258"/>
      <c r="X254" s="529"/>
      <c r="Y254" s="340"/>
      <c r="Z254" s="188"/>
    </row>
    <row r="255" spans="2:26" s="11" customFormat="1" ht="15.75" customHeight="1" x14ac:dyDescent="0.25">
      <c r="B255" s="58"/>
      <c r="C255" s="77" t="s">
        <v>197</v>
      </c>
      <c r="D255" s="160" t="s">
        <v>193</v>
      </c>
      <c r="E255" s="25">
        <v>8902379</v>
      </c>
      <c r="F255" s="25">
        <v>8976780</v>
      </c>
      <c r="G255" s="222">
        <f t="shared" si="68"/>
        <v>74401</v>
      </c>
      <c r="H255" s="222"/>
      <c r="I255" s="25">
        <v>9067744</v>
      </c>
      <c r="J255" s="222">
        <f t="shared" si="69"/>
        <v>90964</v>
      </c>
      <c r="K255" s="222"/>
      <c r="L255" s="25">
        <f>L256+L260+L261+L262+L263+L265+L266+L267+L268+L269+L270</f>
        <v>9068044</v>
      </c>
      <c r="M255" s="222">
        <f t="shared" si="70"/>
        <v>300</v>
      </c>
      <c r="N255" s="222"/>
      <c r="O255" s="25">
        <f>O256+O260+O261+O262+O263+O265+O266+O267+O268+O269+O270</f>
        <v>9137574</v>
      </c>
      <c r="P255" s="222">
        <f t="shared" si="71"/>
        <v>69530</v>
      </c>
      <c r="Q255" s="222"/>
      <c r="R255" s="496">
        <f>R256+R260+R261+R262+R263+R264+R265+R266+R267+R268+R269+R270</f>
        <v>9274809</v>
      </c>
      <c r="S255" s="495">
        <f t="shared" si="81"/>
        <v>137235</v>
      </c>
      <c r="T255" s="222"/>
      <c r="U255" s="496">
        <f>U256+U260+U261+U262+U263+U264+U265+U266+U267+U268+U269+U270</f>
        <v>9254101</v>
      </c>
      <c r="V255" s="495">
        <f t="shared" si="82"/>
        <v>-20708</v>
      </c>
      <c r="W255" s="222"/>
      <c r="X255" s="350">
        <f>X256+X260+X261+X262+X263+X264+X265+X266+X267+X268+X269+X270</f>
        <v>8472621.2799999993</v>
      </c>
      <c r="Y255" s="383">
        <f t="shared" ref="Y255:Y298" si="91">X255/R255</f>
        <v>0.91350897684254195</v>
      </c>
      <c r="Z255" s="350"/>
    </row>
    <row r="256" spans="2:26" s="11" customFormat="1" ht="27" customHeight="1" x14ac:dyDescent="0.25">
      <c r="B256" s="58"/>
      <c r="C256" s="79" t="s">
        <v>632</v>
      </c>
      <c r="D256" s="142" t="s">
        <v>235</v>
      </c>
      <c r="E256" s="179">
        <v>4520522</v>
      </c>
      <c r="F256" s="179">
        <v>4589323</v>
      </c>
      <c r="G256" s="12">
        <f t="shared" si="68"/>
        <v>68801</v>
      </c>
      <c r="H256" s="251"/>
      <c r="I256" s="179">
        <v>4662311</v>
      </c>
      <c r="J256" s="12">
        <f t="shared" si="69"/>
        <v>72988</v>
      </c>
      <c r="K256" s="251"/>
      <c r="L256" s="179">
        <f>SUM(L257:L259)</f>
        <v>4662311</v>
      </c>
      <c r="M256" s="12">
        <f t="shared" si="70"/>
        <v>0</v>
      </c>
      <c r="N256" s="251"/>
      <c r="O256" s="179">
        <f>SUM(O257:O259)</f>
        <v>4662311</v>
      </c>
      <c r="P256" s="12">
        <f t="shared" si="71"/>
        <v>0</v>
      </c>
      <c r="Q256" s="251"/>
      <c r="R256" s="453">
        <f>SUM(R257:R259)</f>
        <v>4741726</v>
      </c>
      <c r="S256" s="454">
        <f t="shared" si="81"/>
        <v>79415</v>
      </c>
      <c r="T256" s="251"/>
      <c r="U256" s="453">
        <f>SUM(U257:U259)</f>
        <v>4741726</v>
      </c>
      <c r="V256" s="454">
        <f t="shared" si="82"/>
        <v>0</v>
      </c>
      <c r="W256" s="251"/>
      <c r="X256" s="188">
        <f>SUM(X257:X259)</f>
        <v>4694526.88</v>
      </c>
      <c r="Y256" s="340">
        <f t="shared" si="91"/>
        <v>0.99004600434525314</v>
      </c>
      <c r="Z256" s="188"/>
    </row>
    <row r="257" spans="2:26" s="183" customFormat="1" ht="38.4" customHeight="1" x14ac:dyDescent="0.25">
      <c r="B257" s="184" t="s">
        <v>308</v>
      </c>
      <c r="C257" s="110" t="s">
        <v>633</v>
      </c>
      <c r="D257" s="168" t="s">
        <v>541</v>
      </c>
      <c r="E257" s="228">
        <v>4199279</v>
      </c>
      <c r="F257" s="228">
        <v>4198166</v>
      </c>
      <c r="G257" s="185">
        <f t="shared" si="68"/>
        <v>-1113</v>
      </c>
      <c r="H257" s="255" t="s">
        <v>684</v>
      </c>
      <c r="I257" s="228">
        <v>4198166</v>
      </c>
      <c r="J257" s="185">
        <f t="shared" si="69"/>
        <v>0</v>
      </c>
      <c r="K257" s="255"/>
      <c r="L257" s="228">
        <f>ROUND(I257,0)</f>
        <v>4198166</v>
      </c>
      <c r="M257" s="185">
        <f t="shared" si="70"/>
        <v>0</v>
      </c>
      <c r="N257" s="255"/>
      <c r="O257" s="228">
        <f t="shared" ref="O257:O269" si="92">ROUND(L257,0)</f>
        <v>4198166</v>
      </c>
      <c r="P257" s="185">
        <f t="shared" si="71"/>
        <v>0</v>
      </c>
      <c r="Q257" s="255"/>
      <c r="R257" s="518">
        <f>ROUND(O257,0)+91836+334</f>
        <v>4290336</v>
      </c>
      <c r="S257" s="519">
        <f t="shared" si="81"/>
        <v>92170</v>
      </c>
      <c r="T257" s="255" t="s">
        <v>783</v>
      </c>
      <c r="U257" s="518">
        <f>ROUND(R257,0)</f>
        <v>4290336</v>
      </c>
      <c r="V257" s="519">
        <f t="shared" si="82"/>
        <v>0</v>
      </c>
      <c r="W257" s="255"/>
      <c r="X257" s="185">
        <f>4548656.27-X259-X269</f>
        <v>4250824.2699999996</v>
      </c>
      <c r="Y257" s="340">
        <f t="shared" si="91"/>
        <v>0.99079052782812338</v>
      </c>
      <c r="Z257" s="185"/>
    </row>
    <row r="258" spans="2:26" s="183" customFormat="1" ht="18" customHeight="1" x14ac:dyDescent="0.25">
      <c r="B258" s="184" t="s">
        <v>544</v>
      </c>
      <c r="C258" s="110" t="s">
        <v>634</v>
      </c>
      <c r="D258" s="168" t="s">
        <v>542</v>
      </c>
      <c r="E258" s="228">
        <v>321243</v>
      </c>
      <c r="F258" s="228">
        <v>391157</v>
      </c>
      <c r="G258" s="185">
        <f t="shared" si="68"/>
        <v>69914</v>
      </c>
      <c r="H258" s="255" t="s">
        <v>680</v>
      </c>
      <c r="I258" s="228">
        <v>391157</v>
      </c>
      <c r="J258" s="185">
        <f t="shared" si="69"/>
        <v>0</v>
      </c>
      <c r="K258" s="255"/>
      <c r="L258" s="228">
        <f>ROUND(I258,0)</f>
        <v>391157</v>
      </c>
      <c r="M258" s="185">
        <f t="shared" si="70"/>
        <v>0</v>
      </c>
      <c r="N258" s="255"/>
      <c r="O258" s="228">
        <f t="shared" si="92"/>
        <v>391157</v>
      </c>
      <c r="P258" s="185">
        <f t="shared" si="71"/>
        <v>0</v>
      </c>
      <c r="Q258" s="255"/>
      <c r="R258" s="518">
        <f>ROUND(O258,0)+7990-22216</f>
        <v>376931</v>
      </c>
      <c r="S258" s="519">
        <f t="shared" si="81"/>
        <v>-14226</v>
      </c>
      <c r="T258" s="255" t="s">
        <v>785</v>
      </c>
      <c r="U258" s="518">
        <f>ROUND(R258,0)</f>
        <v>376931</v>
      </c>
      <c r="V258" s="519">
        <f t="shared" si="82"/>
        <v>0</v>
      </c>
      <c r="W258" s="255"/>
      <c r="X258" s="185">
        <v>372063.61</v>
      </c>
      <c r="Y258" s="340">
        <f t="shared" si="91"/>
        <v>0.98708678776752246</v>
      </c>
      <c r="Z258" s="185"/>
    </row>
    <row r="259" spans="2:26" s="183" customFormat="1" ht="17.25" customHeight="1" x14ac:dyDescent="0.25">
      <c r="B259" s="184" t="s">
        <v>308</v>
      </c>
      <c r="C259" s="110" t="s">
        <v>635</v>
      </c>
      <c r="D259" s="168" t="s">
        <v>543</v>
      </c>
      <c r="E259" s="228">
        <v>0</v>
      </c>
      <c r="F259" s="228">
        <v>0</v>
      </c>
      <c r="G259" s="185">
        <f t="shared" si="68"/>
        <v>0</v>
      </c>
      <c r="H259" s="255"/>
      <c r="I259" s="228">
        <v>72988</v>
      </c>
      <c r="J259" s="185">
        <f t="shared" si="69"/>
        <v>72988</v>
      </c>
      <c r="K259" s="251" t="s">
        <v>725</v>
      </c>
      <c r="L259" s="228">
        <f>ROUND(I259,0)</f>
        <v>72988</v>
      </c>
      <c r="M259" s="185">
        <f t="shared" si="70"/>
        <v>0</v>
      </c>
      <c r="N259" s="251"/>
      <c r="O259" s="228">
        <f t="shared" si="92"/>
        <v>72988</v>
      </c>
      <c r="P259" s="185">
        <f t="shared" si="71"/>
        <v>0</v>
      </c>
      <c r="Q259" s="251"/>
      <c r="R259" s="518">
        <f>ROUND(O259,0)+1471</f>
        <v>74459</v>
      </c>
      <c r="S259" s="519">
        <f t="shared" si="81"/>
        <v>1471</v>
      </c>
      <c r="T259" s="251" t="s">
        <v>808</v>
      </c>
      <c r="U259" s="518">
        <f>ROUND(R259,0)</f>
        <v>74459</v>
      </c>
      <c r="V259" s="519">
        <f t="shared" si="82"/>
        <v>0</v>
      </c>
      <c r="W259" s="251"/>
      <c r="X259" s="185">
        <f>8755+62884</f>
        <v>71639</v>
      </c>
      <c r="Y259" s="340">
        <f t="shared" si="91"/>
        <v>0.96212680804200967</v>
      </c>
      <c r="Z259" s="185"/>
    </row>
    <row r="260" spans="2:26" s="11" customFormat="1" ht="51" customHeight="1" x14ac:dyDescent="0.25">
      <c r="B260" s="58" t="s">
        <v>220</v>
      </c>
      <c r="C260" s="79" t="s">
        <v>636</v>
      </c>
      <c r="D260" s="142" t="s">
        <v>185</v>
      </c>
      <c r="E260" s="179">
        <v>861741</v>
      </c>
      <c r="F260" s="179">
        <v>904140</v>
      </c>
      <c r="G260" s="12">
        <f t="shared" ref="G260:G298" si="93">F260-E260</f>
        <v>42399</v>
      </c>
      <c r="H260" s="568" t="s">
        <v>694</v>
      </c>
      <c r="I260" s="179">
        <v>904140</v>
      </c>
      <c r="J260" s="12">
        <f t="shared" ref="J260:J298" si="94">I260-F260</f>
        <v>0</v>
      </c>
      <c r="K260" s="413"/>
      <c r="L260" s="179">
        <f>ROUND(I260,0)+300</f>
        <v>904440</v>
      </c>
      <c r="M260" s="12">
        <f t="shared" ref="M260:M298" si="95">L260-I260</f>
        <v>300</v>
      </c>
      <c r="N260" s="413" t="s">
        <v>735</v>
      </c>
      <c r="O260" s="179">
        <f t="shared" si="92"/>
        <v>904440</v>
      </c>
      <c r="P260" s="12">
        <f t="shared" ref="P260:P298" si="96">O260-L260</f>
        <v>0</v>
      </c>
      <c r="Q260" s="413"/>
      <c r="R260" s="453">
        <f>ROUND(O260,0)-8600</f>
        <v>895840</v>
      </c>
      <c r="S260" s="454">
        <f>R260-O260</f>
        <v>-8600</v>
      </c>
      <c r="T260" s="413" t="s">
        <v>781</v>
      </c>
      <c r="U260" s="453">
        <f>ROUND(R260,0)+300</f>
        <v>896140</v>
      </c>
      <c r="V260" s="454">
        <f>U260-R260</f>
        <v>300</v>
      </c>
      <c r="W260" s="413" t="s">
        <v>838</v>
      </c>
      <c r="X260" s="188">
        <f>2226342-893087-X266</f>
        <v>769232.12</v>
      </c>
      <c r="Y260" s="340">
        <f t="shared" si="91"/>
        <v>0.85867132523664935</v>
      </c>
      <c r="Z260" s="188"/>
    </row>
    <row r="261" spans="2:26" s="11" customFormat="1" ht="153.75" customHeight="1" x14ac:dyDescent="0.25">
      <c r="B261" s="58"/>
      <c r="C261" s="79" t="s">
        <v>637</v>
      </c>
      <c r="D261" s="164" t="s">
        <v>439</v>
      </c>
      <c r="E261" s="224">
        <v>813750</v>
      </c>
      <c r="F261" s="224">
        <v>779351</v>
      </c>
      <c r="G261" s="12">
        <f t="shared" si="93"/>
        <v>-34399</v>
      </c>
      <c r="H261" s="569"/>
      <c r="I261" s="224">
        <v>780672</v>
      </c>
      <c r="J261" s="12">
        <f t="shared" si="94"/>
        <v>1321</v>
      </c>
      <c r="K261" s="323" t="s">
        <v>721</v>
      </c>
      <c r="L261" s="224">
        <f t="shared" ref="L261:L269" si="97">ROUND(I261,0)</f>
        <v>780672</v>
      </c>
      <c r="M261" s="12">
        <f t="shared" si="95"/>
        <v>0</v>
      </c>
      <c r="N261" s="323"/>
      <c r="O261" s="224">
        <f t="shared" si="92"/>
        <v>780672</v>
      </c>
      <c r="P261" s="12">
        <f t="shared" si="96"/>
        <v>0</v>
      </c>
      <c r="Q261" s="323"/>
      <c r="R261" s="465">
        <f t="shared" ref="R261:R266" si="98">ROUND(O261,0)</f>
        <v>780672</v>
      </c>
      <c r="S261" s="454">
        <f t="shared" si="81"/>
        <v>0</v>
      </c>
      <c r="T261" s="323"/>
      <c r="U261" s="465">
        <f>ROUND(R261,0)-9600-5650-2184-4639-12969</f>
        <v>745630</v>
      </c>
      <c r="V261" s="454">
        <f t="shared" ref="V261:V269" si="99">U261-R261</f>
        <v>-35042</v>
      </c>
      <c r="W261" s="323" t="s">
        <v>836</v>
      </c>
      <c r="X261" s="565">
        <v>610684</v>
      </c>
      <c r="Y261" s="340">
        <f t="shared" si="91"/>
        <v>0.78225426299393341</v>
      </c>
      <c r="Z261" s="188"/>
    </row>
    <row r="262" spans="2:26" s="11" customFormat="1" ht="15" customHeight="1" x14ac:dyDescent="0.25">
      <c r="B262" s="11" t="s">
        <v>309</v>
      </c>
      <c r="C262" s="79" t="s">
        <v>638</v>
      </c>
      <c r="D262" s="142" t="s">
        <v>234</v>
      </c>
      <c r="E262" s="179">
        <v>51949</v>
      </c>
      <c r="F262" s="179">
        <v>51949</v>
      </c>
      <c r="G262" s="12">
        <f t="shared" si="93"/>
        <v>0</v>
      </c>
      <c r="H262" s="252"/>
      <c r="I262" s="179">
        <v>51949</v>
      </c>
      <c r="J262" s="12">
        <f t="shared" si="94"/>
        <v>0</v>
      </c>
      <c r="K262" s="252"/>
      <c r="L262" s="179">
        <f t="shared" si="97"/>
        <v>51949</v>
      </c>
      <c r="M262" s="12">
        <f t="shared" si="95"/>
        <v>0</v>
      </c>
      <c r="N262" s="252"/>
      <c r="O262" s="179">
        <f t="shared" si="92"/>
        <v>51949</v>
      </c>
      <c r="P262" s="12">
        <f t="shared" si="96"/>
        <v>0</v>
      </c>
      <c r="Q262" s="252"/>
      <c r="R262" s="453">
        <f>ROUND(O262,0)+39130</f>
        <v>91079</v>
      </c>
      <c r="S262" s="454">
        <f t="shared" si="81"/>
        <v>39130</v>
      </c>
      <c r="T262" s="252" t="s">
        <v>819</v>
      </c>
      <c r="U262" s="453">
        <f>ROUND(R262,0)</f>
        <v>91079</v>
      </c>
      <c r="V262" s="454">
        <f t="shared" si="99"/>
        <v>0</v>
      </c>
      <c r="W262" s="252"/>
      <c r="X262" s="188">
        <v>41237.360000000001</v>
      </c>
      <c r="Y262" s="340">
        <f t="shared" si="91"/>
        <v>0.45276474269590139</v>
      </c>
      <c r="Z262" s="188"/>
    </row>
    <row r="263" spans="2:26" s="11" customFormat="1" ht="16.2" customHeight="1" x14ac:dyDescent="0.25">
      <c r="B263" s="58" t="s">
        <v>265</v>
      </c>
      <c r="C263" s="79" t="s">
        <v>639</v>
      </c>
      <c r="D263" s="142" t="s">
        <v>255</v>
      </c>
      <c r="E263" s="179">
        <v>41000</v>
      </c>
      <c r="F263" s="179">
        <v>41000</v>
      </c>
      <c r="G263" s="42">
        <f t="shared" si="93"/>
        <v>0</v>
      </c>
      <c r="H263" s="253"/>
      <c r="I263" s="179">
        <v>41000</v>
      </c>
      <c r="J263" s="42">
        <f t="shared" si="94"/>
        <v>0</v>
      </c>
      <c r="K263" s="253"/>
      <c r="L263" s="179">
        <f t="shared" si="97"/>
        <v>41000</v>
      </c>
      <c r="M263" s="42">
        <f t="shared" si="95"/>
        <v>0</v>
      </c>
      <c r="N263" s="253"/>
      <c r="O263" s="179">
        <f t="shared" si="92"/>
        <v>41000</v>
      </c>
      <c r="P263" s="42">
        <f t="shared" si="96"/>
        <v>0</v>
      </c>
      <c r="Q263" s="253"/>
      <c r="R263" s="453">
        <f>ROUND(O263,0)+221</f>
        <v>41221</v>
      </c>
      <c r="S263" s="468">
        <f t="shared" si="81"/>
        <v>221</v>
      </c>
      <c r="T263" s="253" t="s">
        <v>806</v>
      </c>
      <c r="U263" s="453">
        <f>ROUND(R263,0)</f>
        <v>41221</v>
      </c>
      <c r="V263" s="468">
        <f t="shared" si="99"/>
        <v>0</v>
      </c>
      <c r="W263" s="253"/>
      <c r="X263" s="188">
        <v>41118.79</v>
      </c>
      <c r="Y263" s="340">
        <f t="shared" si="91"/>
        <v>0.99752043861138739</v>
      </c>
      <c r="Z263" s="188"/>
    </row>
    <row r="264" spans="2:26" s="11" customFormat="1" ht="45" customHeight="1" x14ac:dyDescent="0.25">
      <c r="B264" s="58"/>
      <c r="C264" s="543" t="s">
        <v>640</v>
      </c>
      <c r="D264" s="544" t="s">
        <v>788</v>
      </c>
      <c r="E264" s="436"/>
      <c r="F264" s="436"/>
      <c r="G264" s="435"/>
      <c r="H264" s="545"/>
      <c r="I264" s="436"/>
      <c r="J264" s="435"/>
      <c r="K264" s="545"/>
      <c r="L264" s="436"/>
      <c r="M264" s="435"/>
      <c r="N264" s="545"/>
      <c r="O264" s="436"/>
      <c r="P264" s="435"/>
      <c r="Q264" s="545"/>
      <c r="R264" s="453">
        <f>ROUND(O264,0)+45754</f>
        <v>45754</v>
      </c>
      <c r="S264" s="468">
        <f t="shared" si="81"/>
        <v>45754</v>
      </c>
      <c r="T264" s="545" t="s">
        <v>794</v>
      </c>
      <c r="U264" s="453">
        <f>ROUND(R264,0)</f>
        <v>45754</v>
      </c>
      <c r="V264" s="468">
        <f t="shared" si="99"/>
        <v>0</v>
      </c>
      <c r="W264" s="545"/>
      <c r="X264" s="435">
        <v>3378.02</v>
      </c>
      <c r="Y264" s="340">
        <f>X264/R264</f>
        <v>7.3830047646107441E-2</v>
      </c>
      <c r="Z264" s="435"/>
    </row>
    <row r="265" spans="2:26" s="6" customFormat="1" ht="32.4" customHeight="1" x14ac:dyDescent="0.25">
      <c r="B265" s="58" t="s">
        <v>220</v>
      </c>
      <c r="C265" s="79" t="s">
        <v>641</v>
      </c>
      <c r="D265" s="142" t="s">
        <v>568</v>
      </c>
      <c r="E265" s="179">
        <v>300000</v>
      </c>
      <c r="F265" s="179">
        <v>300000</v>
      </c>
      <c r="G265" s="51">
        <f t="shared" si="93"/>
        <v>0</v>
      </c>
      <c r="H265" s="253"/>
      <c r="I265" s="179">
        <v>300000</v>
      </c>
      <c r="J265" s="51">
        <f t="shared" si="94"/>
        <v>0</v>
      </c>
      <c r="K265" s="287"/>
      <c r="L265" s="179">
        <f t="shared" si="97"/>
        <v>300000</v>
      </c>
      <c r="M265" s="51">
        <f t="shared" si="95"/>
        <v>0</v>
      </c>
      <c r="N265" s="287"/>
      <c r="O265" s="179">
        <f t="shared" si="92"/>
        <v>300000</v>
      </c>
      <c r="P265" s="51">
        <f t="shared" si="96"/>
        <v>0</v>
      </c>
      <c r="Q265" s="287"/>
      <c r="R265" s="453">
        <f t="shared" si="98"/>
        <v>300000</v>
      </c>
      <c r="S265" s="456">
        <f t="shared" si="81"/>
        <v>0</v>
      </c>
      <c r="T265" s="287"/>
      <c r="U265" s="453">
        <f>ROUND(R265,0)+5650</f>
        <v>305650</v>
      </c>
      <c r="V265" s="456">
        <f t="shared" si="99"/>
        <v>5650</v>
      </c>
      <c r="W265" s="287" t="s">
        <v>830</v>
      </c>
      <c r="X265" s="188">
        <v>207799</v>
      </c>
      <c r="Y265" s="340">
        <f t="shared" si="91"/>
        <v>0.6926633333333333</v>
      </c>
      <c r="Z265" s="188"/>
    </row>
    <row r="266" spans="2:26" s="6" customFormat="1" ht="73.95" customHeight="1" x14ac:dyDescent="0.25">
      <c r="B266" s="58" t="s">
        <v>220</v>
      </c>
      <c r="C266" s="79" t="s">
        <v>642</v>
      </c>
      <c r="D266" s="164" t="s">
        <v>513</v>
      </c>
      <c r="E266" s="224">
        <v>542914</v>
      </c>
      <c r="F266" s="179">
        <v>542914</v>
      </c>
      <c r="G266" s="51">
        <f t="shared" si="93"/>
        <v>0</v>
      </c>
      <c r="H266" s="358" t="s">
        <v>692</v>
      </c>
      <c r="I266" s="179">
        <v>557629</v>
      </c>
      <c r="J266" s="51">
        <f t="shared" si="94"/>
        <v>14715</v>
      </c>
      <c r="K266" s="287" t="s">
        <v>720</v>
      </c>
      <c r="L266" s="179">
        <f t="shared" si="97"/>
        <v>557629</v>
      </c>
      <c r="M266" s="51">
        <f t="shared" si="95"/>
        <v>0</v>
      </c>
      <c r="N266" s="432"/>
      <c r="O266" s="179">
        <f t="shared" si="92"/>
        <v>557629</v>
      </c>
      <c r="P266" s="51">
        <f t="shared" si="96"/>
        <v>0</v>
      </c>
      <c r="Q266" s="432"/>
      <c r="R266" s="453">
        <f t="shared" si="98"/>
        <v>557629</v>
      </c>
      <c r="S266" s="456">
        <f t="shared" si="81"/>
        <v>0</v>
      </c>
      <c r="T266" s="432"/>
      <c r="U266" s="453">
        <f>ROUND(R266,0)+9600</f>
        <v>567229</v>
      </c>
      <c r="V266" s="456">
        <f t="shared" si="99"/>
        <v>9600</v>
      </c>
      <c r="W266" s="323" t="s">
        <v>829</v>
      </c>
      <c r="X266" s="188">
        <f>564022.88</f>
        <v>564022.88</v>
      </c>
      <c r="Y266" s="376">
        <f t="shared" si="91"/>
        <v>1.011466189886107</v>
      </c>
      <c r="Z266" s="188"/>
    </row>
    <row r="267" spans="2:26" s="6" customFormat="1" ht="15.75" customHeight="1" x14ac:dyDescent="0.25">
      <c r="B267" s="57" t="s">
        <v>240</v>
      </c>
      <c r="C267" s="79" t="s">
        <v>643</v>
      </c>
      <c r="D267" s="142" t="s">
        <v>253</v>
      </c>
      <c r="E267" s="179">
        <v>707203</v>
      </c>
      <c r="F267" s="179">
        <v>727923</v>
      </c>
      <c r="G267" s="12">
        <f t="shared" si="93"/>
        <v>20720</v>
      </c>
      <c r="H267" s="568" t="s">
        <v>695</v>
      </c>
      <c r="I267" s="179">
        <v>727923</v>
      </c>
      <c r="J267" s="12">
        <f t="shared" si="94"/>
        <v>0</v>
      </c>
      <c r="K267" s="568"/>
      <c r="L267" s="179">
        <f t="shared" si="97"/>
        <v>727923</v>
      </c>
      <c r="M267" s="12">
        <f t="shared" si="95"/>
        <v>0</v>
      </c>
      <c r="N267" s="568"/>
      <c r="O267" s="179">
        <f>ROUND(L267,0)+42138+27392</f>
        <v>797453</v>
      </c>
      <c r="P267" s="12">
        <f t="shared" si="96"/>
        <v>69530</v>
      </c>
      <c r="Q267" s="413" t="s">
        <v>768</v>
      </c>
      <c r="R267" s="453">
        <f>ROUND(O267,0)</f>
        <v>797453</v>
      </c>
      <c r="S267" s="454">
        <f t="shared" si="81"/>
        <v>0</v>
      </c>
      <c r="T267" s="413"/>
      <c r="U267" s="453">
        <f>ROUND(R267,0)</f>
        <v>797453</v>
      </c>
      <c r="V267" s="454">
        <f t="shared" si="99"/>
        <v>0</v>
      </c>
      <c r="W267" s="413"/>
      <c r="X267" s="188">
        <f>1089816.97-421032</f>
        <v>668784.97</v>
      </c>
      <c r="Y267" s="340">
        <f t="shared" si="91"/>
        <v>0.83865126847601046</v>
      </c>
      <c r="Z267" s="188"/>
    </row>
    <row r="268" spans="2:26" s="6" customFormat="1" ht="47.25" customHeight="1" x14ac:dyDescent="0.25">
      <c r="B268" s="57"/>
      <c r="C268" s="79" t="s">
        <v>644</v>
      </c>
      <c r="D268" s="164" t="s">
        <v>533</v>
      </c>
      <c r="E268" s="224">
        <v>451553</v>
      </c>
      <c r="F268" s="224">
        <v>428433</v>
      </c>
      <c r="G268" s="12">
        <f t="shared" si="93"/>
        <v>-23120</v>
      </c>
      <c r="H268" s="569"/>
      <c r="I268" s="224">
        <v>428433</v>
      </c>
      <c r="J268" s="12">
        <f t="shared" si="94"/>
        <v>0</v>
      </c>
      <c r="K268" s="569"/>
      <c r="L268" s="224">
        <f t="shared" si="97"/>
        <v>428433</v>
      </c>
      <c r="M268" s="12">
        <f t="shared" si="95"/>
        <v>0</v>
      </c>
      <c r="N268" s="569"/>
      <c r="O268" s="224">
        <f t="shared" si="92"/>
        <v>428433</v>
      </c>
      <c r="P268" s="12">
        <f t="shared" si="96"/>
        <v>0</v>
      </c>
      <c r="Q268" s="323"/>
      <c r="R268" s="465">
        <f>ROUND(O268,0)-4000</f>
        <v>424433</v>
      </c>
      <c r="S268" s="454">
        <f t="shared" si="81"/>
        <v>-4000</v>
      </c>
      <c r="T268" s="558" t="s">
        <v>828</v>
      </c>
      <c r="U268" s="465">
        <f>ROUND(R268,0)-3400</f>
        <v>421033</v>
      </c>
      <c r="V268" s="454">
        <f t="shared" si="99"/>
        <v>-3400</v>
      </c>
      <c r="W268" s="251" t="s">
        <v>842</v>
      </c>
      <c r="X268" s="565">
        <v>377561</v>
      </c>
      <c r="Y268" s="340">
        <f t="shared" si="91"/>
        <v>0.88956560870620338</v>
      </c>
      <c r="Z268" s="188"/>
    </row>
    <row r="269" spans="2:26" s="6" customFormat="1" ht="15" customHeight="1" x14ac:dyDescent="0.25">
      <c r="B269" s="58" t="s">
        <v>308</v>
      </c>
      <c r="C269" s="79" t="s">
        <v>645</v>
      </c>
      <c r="D269" s="142" t="s">
        <v>260</v>
      </c>
      <c r="E269" s="179">
        <v>263797</v>
      </c>
      <c r="F269" s="179">
        <v>263797</v>
      </c>
      <c r="G269" s="42">
        <f t="shared" si="93"/>
        <v>0</v>
      </c>
      <c r="H269" s="251"/>
      <c r="I269" s="179">
        <v>263797</v>
      </c>
      <c r="J269" s="42">
        <f t="shared" si="94"/>
        <v>0</v>
      </c>
      <c r="K269" s="251"/>
      <c r="L269" s="179">
        <f t="shared" si="97"/>
        <v>263797</v>
      </c>
      <c r="M269" s="42">
        <f t="shared" si="95"/>
        <v>0</v>
      </c>
      <c r="N269" s="251"/>
      <c r="O269" s="179">
        <f t="shared" si="92"/>
        <v>263797</v>
      </c>
      <c r="P269" s="42">
        <f t="shared" si="96"/>
        <v>0</v>
      </c>
      <c r="Q269" s="251"/>
      <c r="R269" s="453">
        <f t="shared" ref="R269" si="100">ROUND(O269,0)</f>
        <v>263797</v>
      </c>
      <c r="S269" s="468">
        <f t="shared" si="81"/>
        <v>0</v>
      </c>
      <c r="T269" s="251"/>
      <c r="U269" s="453">
        <f t="shared" ref="U269" si="101">ROUND(R269,0)</f>
        <v>263797</v>
      </c>
      <c r="V269" s="468">
        <f t="shared" si="99"/>
        <v>0</v>
      </c>
      <c r="W269" s="251"/>
      <c r="X269" s="188">
        <v>226193</v>
      </c>
      <c r="Y269" s="340">
        <f t="shared" si="91"/>
        <v>0.85745099451472151</v>
      </c>
      <c r="Z269" s="188"/>
    </row>
    <row r="270" spans="2:26" s="86" customFormat="1" ht="13.95" customHeight="1" x14ac:dyDescent="0.25">
      <c r="B270" s="57"/>
      <c r="C270" s="87" t="s">
        <v>790</v>
      </c>
      <c r="D270" s="174" t="s">
        <v>267</v>
      </c>
      <c r="E270" s="229">
        <v>347950</v>
      </c>
      <c r="F270" s="229">
        <v>347950</v>
      </c>
      <c r="G270" s="99">
        <f t="shared" ref="G270:S270" si="102">G271+G272+G273+G274</f>
        <v>0</v>
      </c>
      <c r="H270" s="99">
        <f t="shared" si="102"/>
        <v>0</v>
      </c>
      <c r="I270" s="229">
        <v>349890</v>
      </c>
      <c r="J270" s="99">
        <f t="shared" si="102"/>
        <v>1940</v>
      </c>
      <c r="K270" s="99" t="e">
        <f t="shared" si="102"/>
        <v>#VALUE!</v>
      </c>
      <c r="L270" s="229">
        <f t="shared" si="102"/>
        <v>349890</v>
      </c>
      <c r="M270" s="99">
        <f t="shared" si="102"/>
        <v>0</v>
      </c>
      <c r="N270" s="99">
        <f t="shared" si="102"/>
        <v>0</v>
      </c>
      <c r="O270" s="229">
        <f t="shared" si="102"/>
        <v>349890</v>
      </c>
      <c r="P270" s="99">
        <f t="shared" si="102"/>
        <v>0</v>
      </c>
      <c r="Q270" s="99">
        <f t="shared" si="102"/>
        <v>0</v>
      </c>
      <c r="R270" s="520">
        <f t="shared" si="102"/>
        <v>335205</v>
      </c>
      <c r="S270" s="521">
        <f t="shared" si="102"/>
        <v>-14685</v>
      </c>
      <c r="T270" s="99"/>
      <c r="U270" s="520">
        <f t="shared" ref="U270:V270" si="103">U271+U272+U273+U274</f>
        <v>337389</v>
      </c>
      <c r="V270" s="521">
        <f t="shared" si="103"/>
        <v>2184</v>
      </c>
      <c r="W270" s="99"/>
      <c r="X270" s="359">
        <f>X271+X272+X273+X274</f>
        <v>268083.26</v>
      </c>
      <c r="Y270" s="401">
        <f t="shared" si="91"/>
        <v>0.79975913247117436</v>
      </c>
      <c r="Z270" s="359"/>
    </row>
    <row r="271" spans="2:26" s="6" customFormat="1" ht="15.75" customHeight="1" x14ac:dyDescent="0.25">
      <c r="B271" s="56" t="s">
        <v>307</v>
      </c>
      <c r="C271" s="84" t="s">
        <v>791</v>
      </c>
      <c r="D271" s="142" t="s">
        <v>546</v>
      </c>
      <c r="E271" s="179">
        <v>100105</v>
      </c>
      <c r="F271" s="179">
        <v>100105</v>
      </c>
      <c r="G271" s="51">
        <f t="shared" si="93"/>
        <v>0</v>
      </c>
      <c r="H271" s="251"/>
      <c r="I271" s="179">
        <v>102045</v>
      </c>
      <c r="J271" s="51">
        <f t="shared" si="94"/>
        <v>1940</v>
      </c>
      <c r="K271" s="251" t="s">
        <v>725</v>
      </c>
      <c r="L271" s="179">
        <f>ROUND(I271,0)</f>
        <v>102045</v>
      </c>
      <c r="M271" s="51">
        <f t="shared" si="95"/>
        <v>0</v>
      </c>
      <c r="N271" s="251"/>
      <c r="O271" s="179">
        <f>ROUND(L271,0)</f>
        <v>102045</v>
      </c>
      <c r="P271" s="51">
        <f t="shared" si="96"/>
        <v>0</v>
      </c>
      <c r="Q271" s="251"/>
      <c r="R271" s="453">
        <f>ROUND(O271,0)-15745+39</f>
        <v>86339</v>
      </c>
      <c r="S271" s="456">
        <f t="shared" si="81"/>
        <v>-15706</v>
      </c>
      <c r="T271" s="251" t="s">
        <v>809</v>
      </c>
      <c r="U271" s="453">
        <f>ROUND(R271,0)</f>
        <v>86339</v>
      </c>
      <c r="V271" s="456">
        <f t="shared" ref="V271:V298" si="104">U271-R271</f>
        <v>0</v>
      </c>
      <c r="W271" s="251"/>
      <c r="X271" s="188">
        <v>82868.56</v>
      </c>
      <c r="Y271" s="340">
        <f t="shared" si="91"/>
        <v>0.95980449159707659</v>
      </c>
      <c r="Z271" s="188"/>
    </row>
    <row r="272" spans="2:26" s="5" customFormat="1" ht="19.5" customHeight="1" x14ac:dyDescent="0.25">
      <c r="B272" s="57" t="s">
        <v>266</v>
      </c>
      <c r="C272" s="84" t="s">
        <v>792</v>
      </c>
      <c r="D272" s="142" t="s">
        <v>268</v>
      </c>
      <c r="E272" s="179">
        <v>232189</v>
      </c>
      <c r="F272" s="179">
        <v>232189</v>
      </c>
      <c r="G272" s="51">
        <f t="shared" si="93"/>
        <v>0</v>
      </c>
      <c r="H272" s="270"/>
      <c r="I272" s="179">
        <v>232189</v>
      </c>
      <c r="J272" s="51">
        <f t="shared" si="94"/>
        <v>0</v>
      </c>
      <c r="K272" s="270"/>
      <c r="L272" s="179">
        <f>ROUND(I272,0)</f>
        <v>232189</v>
      </c>
      <c r="M272" s="51">
        <f t="shared" si="95"/>
        <v>0</v>
      </c>
      <c r="N272" s="270"/>
      <c r="O272" s="179">
        <f>ROUND(L272,0)</f>
        <v>232189</v>
      </c>
      <c r="P272" s="51">
        <f t="shared" si="96"/>
        <v>0</v>
      </c>
      <c r="Q272" s="270"/>
      <c r="R272" s="453">
        <f>ROUND(O272,0)-200</f>
        <v>231989</v>
      </c>
      <c r="S272" s="456">
        <f t="shared" si="81"/>
        <v>-200</v>
      </c>
      <c r="T272" s="413" t="s">
        <v>781</v>
      </c>
      <c r="U272" s="453">
        <f>ROUND(R272,0)</f>
        <v>231989</v>
      </c>
      <c r="V272" s="456">
        <f t="shared" si="104"/>
        <v>0</v>
      </c>
      <c r="W272" s="413"/>
      <c r="X272" s="188">
        <f>185933.7-17840</f>
        <v>168093.7</v>
      </c>
      <c r="Y272" s="340">
        <f t="shared" si="91"/>
        <v>0.72457616524921442</v>
      </c>
      <c r="Z272" s="188"/>
    </row>
    <row r="273" spans="2:26" s="5" customFormat="1" ht="47.25" customHeight="1" x14ac:dyDescent="0.25">
      <c r="B273" s="57"/>
      <c r="C273" s="84" t="s">
        <v>793</v>
      </c>
      <c r="D273" s="547" t="s">
        <v>796</v>
      </c>
      <c r="E273" s="436"/>
      <c r="F273" s="436"/>
      <c r="G273" s="435"/>
      <c r="H273" s="545"/>
      <c r="I273" s="436"/>
      <c r="J273" s="435"/>
      <c r="K273" s="545"/>
      <c r="L273" s="436"/>
      <c r="M273" s="435"/>
      <c r="N273" s="545"/>
      <c r="O273" s="436"/>
      <c r="P273" s="435"/>
      <c r="Q273" s="545"/>
      <c r="R273" s="453">
        <f>ROUND(O273,0)+1221</f>
        <v>1221</v>
      </c>
      <c r="S273" s="456">
        <f t="shared" ref="S273" si="105">R273-O273</f>
        <v>1221</v>
      </c>
      <c r="T273" s="548" t="s">
        <v>818</v>
      </c>
      <c r="U273" s="453">
        <f>ROUND(R273,0)</f>
        <v>1221</v>
      </c>
      <c r="V273" s="456">
        <f t="shared" si="104"/>
        <v>0</v>
      </c>
      <c r="W273" s="548"/>
      <c r="X273" s="188"/>
      <c r="Y273" s="340">
        <f t="shared" ref="Y273" si="106">X273/R273</f>
        <v>0</v>
      </c>
      <c r="Z273" s="435"/>
    </row>
    <row r="274" spans="2:26" s="5" customFormat="1" ht="13.95" customHeight="1" x14ac:dyDescent="0.25">
      <c r="B274" s="57"/>
      <c r="C274" s="84" t="s">
        <v>795</v>
      </c>
      <c r="D274" s="164" t="s">
        <v>532</v>
      </c>
      <c r="E274" s="224">
        <v>15656</v>
      </c>
      <c r="F274" s="224">
        <v>15656</v>
      </c>
      <c r="G274" s="51">
        <f t="shared" si="93"/>
        <v>0</v>
      </c>
      <c r="H274" s="274"/>
      <c r="I274" s="224">
        <v>15656</v>
      </c>
      <c r="J274" s="51">
        <f t="shared" si="94"/>
        <v>0</v>
      </c>
      <c r="K274" s="274"/>
      <c r="L274" s="224">
        <f>ROUND(I274,0)</f>
        <v>15656</v>
      </c>
      <c r="M274" s="51">
        <f t="shared" si="95"/>
        <v>0</v>
      </c>
      <c r="N274" s="274"/>
      <c r="O274" s="224">
        <f>ROUND(L274,0)</f>
        <v>15656</v>
      </c>
      <c r="P274" s="51">
        <f t="shared" si="96"/>
        <v>0</v>
      </c>
      <c r="Q274" s="274"/>
      <c r="R274" s="465">
        <f>ROUND(O274,0)</f>
        <v>15656</v>
      </c>
      <c r="S274" s="456">
        <f t="shared" si="81"/>
        <v>0</v>
      </c>
      <c r="T274" s="274"/>
      <c r="U274" s="465">
        <f>ROUND(R274,0)+2184</f>
        <v>17840</v>
      </c>
      <c r="V274" s="456">
        <f t="shared" si="104"/>
        <v>2184</v>
      </c>
      <c r="W274" s="274" t="s">
        <v>831</v>
      </c>
      <c r="X274" s="565">
        <v>17121</v>
      </c>
      <c r="Y274" s="340">
        <f t="shared" si="91"/>
        <v>1.0935743484925906</v>
      </c>
      <c r="Z274" s="188"/>
    </row>
    <row r="275" spans="2:26" ht="18" customHeight="1" x14ac:dyDescent="0.25">
      <c r="C275" s="82" t="s">
        <v>556</v>
      </c>
      <c r="D275" s="160" t="s">
        <v>429</v>
      </c>
      <c r="E275" s="222">
        <v>1819829</v>
      </c>
      <c r="F275" s="222">
        <v>1819829</v>
      </c>
      <c r="G275" s="25">
        <f t="shared" si="93"/>
        <v>0</v>
      </c>
      <c r="H275" s="25"/>
      <c r="I275" s="222">
        <v>1819829</v>
      </c>
      <c r="J275" s="25">
        <f t="shared" si="94"/>
        <v>0</v>
      </c>
      <c r="K275" s="25"/>
      <c r="L275" s="222">
        <f>L276+L277</f>
        <v>1819529</v>
      </c>
      <c r="M275" s="25">
        <f t="shared" si="95"/>
        <v>-300</v>
      </c>
      <c r="N275" s="25"/>
      <c r="O275" s="222">
        <f>O276+O277</f>
        <v>1819529</v>
      </c>
      <c r="P275" s="25">
        <f t="shared" si="96"/>
        <v>0</v>
      </c>
      <c r="Q275" s="25"/>
      <c r="R275" s="495">
        <f>R276+R277</f>
        <v>1864001</v>
      </c>
      <c r="S275" s="496">
        <f t="shared" si="81"/>
        <v>44472</v>
      </c>
      <c r="T275" s="25"/>
      <c r="U275" s="495">
        <f>U276+U277</f>
        <v>1863701</v>
      </c>
      <c r="V275" s="496">
        <f t="shared" si="104"/>
        <v>-300</v>
      </c>
      <c r="W275" s="25"/>
      <c r="X275" s="350">
        <f>X276+X277</f>
        <v>1832705.8</v>
      </c>
      <c r="Y275" s="383">
        <f t="shared" si="91"/>
        <v>0.9832107386208484</v>
      </c>
      <c r="Z275" s="350"/>
    </row>
    <row r="276" spans="2:26" ht="13.5" customHeight="1" x14ac:dyDescent="0.25">
      <c r="C276" s="79" t="s">
        <v>646</v>
      </c>
      <c r="D276" s="142" t="s">
        <v>183</v>
      </c>
      <c r="E276" s="179">
        <v>735359</v>
      </c>
      <c r="F276" s="179">
        <v>735359</v>
      </c>
      <c r="G276" s="12">
        <f t="shared" si="93"/>
        <v>0</v>
      </c>
      <c r="H276" s="251"/>
      <c r="I276" s="179">
        <v>735359</v>
      </c>
      <c r="J276" s="12">
        <f t="shared" si="94"/>
        <v>0</v>
      </c>
      <c r="K276" s="251"/>
      <c r="L276" s="179">
        <f>ROUND(I276,0)</f>
        <v>735359</v>
      </c>
      <c r="M276" s="12">
        <f t="shared" si="95"/>
        <v>0</v>
      </c>
      <c r="N276" s="251"/>
      <c r="O276" s="179">
        <f>ROUND(L276,0)</f>
        <v>735359</v>
      </c>
      <c r="P276" s="12">
        <f t="shared" si="96"/>
        <v>0</v>
      </c>
      <c r="Q276" s="251"/>
      <c r="R276" s="453">
        <f>ROUND(O276,0)+114472</f>
        <v>849831</v>
      </c>
      <c r="S276" s="454">
        <f t="shared" si="81"/>
        <v>114472</v>
      </c>
      <c r="T276" s="251" t="s">
        <v>821</v>
      </c>
      <c r="U276" s="453">
        <f>ROUND(R276,0)</f>
        <v>849831</v>
      </c>
      <c r="V276" s="454">
        <f t="shared" si="104"/>
        <v>0</v>
      </c>
      <c r="W276" s="251"/>
      <c r="X276" s="188">
        <v>849088.87</v>
      </c>
      <c r="Y276" s="340">
        <f t="shared" si="91"/>
        <v>0.99912673225617799</v>
      </c>
      <c r="Z276" s="188"/>
    </row>
    <row r="277" spans="2:26" ht="44.25" customHeight="1" x14ac:dyDescent="0.25">
      <c r="C277" s="79" t="s">
        <v>646</v>
      </c>
      <c r="D277" s="142" t="s">
        <v>185</v>
      </c>
      <c r="E277" s="179">
        <v>1084470</v>
      </c>
      <c r="F277" s="179">
        <v>1084470</v>
      </c>
      <c r="G277" s="12">
        <f t="shared" si="93"/>
        <v>0</v>
      </c>
      <c r="H277" s="325"/>
      <c r="I277" s="179">
        <v>1084470</v>
      </c>
      <c r="J277" s="12">
        <f t="shared" si="94"/>
        <v>0</v>
      </c>
      <c r="K277" s="325"/>
      <c r="L277" s="179">
        <f>ROUND(I277,0)-300</f>
        <v>1084170</v>
      </c>
      <c r="M277" s="12">
        <f t="shared" si="95"/>
        <v>-300</v>
      </c>
      <c r="N277" s="325" t="s">
        <v>735</v>
      </c>
      <c r="O277" s="179">
        <f>ROUND(L277,0)</f>
        <v>1084170</v>
      </c>
      <c r="P277" s="12">
        <f t="shared" si="96"/>
        <v>0</v>
      </c>
      <c r="Q277" s="325"/>
      <c r="R277" s="453">
        <f>ROUND(O277,0)-70000</f>
        <v>1014170</v>
      </c>
      <c r="S277" s="454">
        <f t="shared" si="81"/>
        <v>-70000</v>
      </c>
      <c r="T277" s="251" t="s">
        <v>820</v>
      </c>
      <c r="U277" s="453">
        <f>ROUND(R277,0)-300</f>
        <v>1013870</v>
      </c>
      <c r="V277" s="454">
        <f t="shared" si="104"/>
        <v>-300</v>
      </c>
      <c r="W277" s="413" t="s">
        <v>838</v>
      </c>
      <c r="X277" s="188">
        <v>983616.93</v>
      </c>
      <c r="Y277" s="340">
        <f t="shared" si="91"/>
        <v>0.96987381799895489</v>
      </c>
      <c r="Z277" s="338"/>
    </row>
    <row r="278" spans="2:26" ht="16.2" customHeight="1" x14ac:dyDescent="0.25">
      <c r="C278" s="85" t="s">
        <v>647</v>
      </c>
      <c r="D278" s="160" t="s">
        <v>196</v>
      </c>
      <c r="E278" s="222">
        <v>845947</v>
      </c>
      <c r="F278" s="222">
        <v>845947</v>
      </c>
      <c r="G278" s="25">
        <f t="shared" si="93"/>
        <v>0</v>
      </c>
      <c r="H278" s="254"/>
      <c r="I278" s="222">
        <v>845947</v>
      </c>
      <c r="J278" s="25">
        <f t="shared" si="94"/>
        <v>0</v>
      </c>
      <c r="K278" s="254"/>
      <c r="L278" s="222">
        <f>L279+L280</f>
        <v>845947</v>
      </c>
      <c r="M278" s="25">
        <f t="shared" si="95"/>
        <v>0</v>
      </c>
      <c r="N278" s="254"/>
      <c r="O278" s="222">
        <f>O279+O280</f>
        <v>845947</v>
      </c>
      <c r="P278" s="25">
        <f t="shared" si="96"/>
        <v>0</v>
      </c>
      <c r="Q278" s="254"/>
      <c r="R278" s="495">
        <f>R279+R280</f>
        <v>845947</v>
      </c>
      <c r="S278" s="496">
        <f t="shared" si="81"/>
        <v>0</v>
      </c>
      <c r="T278" s="254"/>
      <c r="U278" s="495">
        <f>U279+U280</f>
        <v>845947</v>
      </c>
      <c r="V278" s="496">
        <f t="shared" si="104"/>
        <v>0</v>
      </c>
      <c r="W278" s="254"/>
      <c r="X278" s="350">
        <f>X279+X280</f>
        <v>802025.02</v>
      </c>
      <c r="Y278" s="383">
        <f t="shared" si="91"/>
        <v>0.94807951325555861</v>
      </c>
      <c r="Z278" s="350"/>
    </row>
    <row r="279" spans="2:26" ht="16.5" customHeight="1" x14ac:dyDescent="0.25">
      <c r="B279" s="56" t="s">
        <v>391</v>
      </c>
      <c r="C279" s="79" t="s">
        <v>649</v>
      </c>
      <c r="D279" s="142" t="s">
        <v>183</v>
      </c>
      <c r="E279" s="179">
        <v>313283</v>
      </c>
      <c r="F279" s="179">
        <v>313283</v>
      </c>
      <c r="G279" s="12">
        <f t="shared" si="93"/>
        <v>0</v>
      </c>
      <c r="H279" s="253"/>
      <c r="I279" s="179">
        <v>313283</v>
      </c>
      <c r="J279" s="12">
        <f t="shared" si="94"/>
        <v>0</v>
      </c>
      <c r="K279" s="253"/>
      <c r="L279" s="179">
        <f>ROUND(I279,0)</f>
        <v>313283</v>
      </c>
      <c r="M279" s="12">
        <f t="shared" si="95"/>
        <v>0</v>
      </c>
      <c r="N279" s="253"/>
      <c r="O279" s="179">
        <f>ROUND(L279,0)</f>
        <v>313283</v>
      </c>
      <c r="P279" s="12">
        <f t="shared" si="96"/>
        <v>0</v>
      </c>
      <c r="Q279" s="253"/>
      <c r="R279" s="453">
        <f>ROUND(O279,0)</f>
        <v>313283</v>
      </c>
      <c r="S279" s="454">
        <f t="shared" si="81"/>
        <v>0</v>
      </c>
      <c r="T279" s="253"/>
      <c r="U279" s="453">
        <f>ROUND(R279,0)</f>
        <v>313283</v>
      </c>
      <c r="V279" s="454">
        <f t="shared" si="104"/>
        <v>0</v>
      </c>
      <c r="W279" s="253"/>
      <c r="X279" s="188">
        <v>339286.26</v>
      </c>
      <c r="Y279" s="340">
        <f t="shared" si="91"/>
        <v>1.0830024610336342</v>
      </c>
      <c r="Z279" s="188"/>
    </row>
    <row r="280" spans="2:26" ht="16.5" customHeight="1" x14ac:dyDescent="0.25">
      <c r="B280" s="56" t="s">
        <v>221</v>
      </c>
      <c r="C280" s="79" t="s">
        <v>648</v>
      </c>
      <c r="D280" s="142" t="s">
        <v>224</v>
      </c>
      <c r="E280" s="179">
        <v>532664</v>
      </c>
      <c r="F280" s="179">
        <v>532664</v>
      </c>
      <c r="G280" s="12">
        <f t="shared" si="93"/>
        <v>0</v>
      </c>
      <c r="H280" s="251"/>
      <c r="I280" s="179">
        <v>532664</v>
      </c>
      <c r="J280" s="12">
        <f t="shared" si="94"/>
        <v>0</v>
      </c>
      <c r="K280" s="251"/>
      <c r="L280" s="179">
        <f>ROUND(I280,0)</f>
        <v>532664</v>
      </c>
      <c r="M280" s="12">
        <f t="shared" si="95"/>
        <v>0</v>
      </c>
      <c r="N280" s="251"/>
      <c r="O280" s="179">
        <f>ROUND(L280,0)</f>
        <v>532664</v>
      </c>
      <c r="P280" s="12">
        <f t="shared" si="96"/>
        <v>0</v>
      </c>
      <c r="Q280" s="251"/>
      <c r="R280" s="453">
        <f>ROUND(O280,0)</f>
        <v>532664</v>
      </c>
      <c r="S280" s="454">
        <f t="shared" si="81"/>
        <v>0</v>
      </c>
      <c r="T280" s="251"/>
      <c r="U280" s="453">
        <f>ROUND(R280,0)</f>
        <v>532664</v>
      </c>
      <c r="V280" s="454">
        <f t="shared" si="104"/>
        <v>0</v>
      </c>
      <c r="W280" s="251"/>
      <c r="X280" s="188">
        <v>462738.76</v>
      </c>
      <c r="Y280" s="340">
        <f t="shared" si="91"/>
        <v>0.8687254254088882</v>
      </c>
      <c r="Z280" s="338"/>
    </row>
    <row r="281" spans="2:26" ht="61.2" customHeight="1" x14ac:dyDescent="0.25">
      <c r="B281" s="56" t="s">
        <v>231</v>
      </c>
      <c r="C281" s="85" t="s">
        <v>650</v>
      </c>
      <c r="D281" s="160" t="s">
        <v>509</v>
      </c>
      <c r="E281" s="37">
        <v>508477</v>
      </c>
      <c r="F281" s="37">
        <v>540405</v>
      </c>
      <c r="G281" s="19">
        <f t="shared" si="93"/>
        <v>31928</v>
      </c>
      <c r="H281" s="277" t="s">
        <v>689</v>
      </c>
      <c r="I281" s="37">
        <v>544860</v>
      </c>
      <c r="J281" s="19">
        <f t="shared" si="94"/>
        <v>4455</v>
      </c>
      <c r="K281" s="277" t="s">
        <v>729</v>
      </c>
      <c r="L281" s="37">
        <f>ROUND(I281,0)+44477+8781+38003+5643</f>
        <v>641764</v>
      </c>
      <c r="M281" s="19">
        <f t="shared" si="95"/>
        <v>96904</v>
      </c>
      <c r="N281" s="277" t="s">
        <v>742</v>
      </c>
      <c r="O281" s="37">
        <f>ROUND(L281,0)+14838+2193-1000+(5400+24600)</f>
        <v>687795</v>
      </c>
      <c r="P281" s="19">
        <f t="shared" si="96"/>
        <v>46031</v>
      </c>
      <c r="Q281" s="277" t="s">
        <v>765</v>
      </c>
      <c r="R281" s="467">
        <f>ROUND(O281,0)+35</f>
        <v>687830</v>
      </c>
      <c r="S281" s="88">
        <f t="shared" si="81"/>
        <v>35</v>
      </c>
      <c r="T281" s="277" t="s">
        <v>812</v>
      </c>
      <c r="U281" s="467">
        <f>ROUND(R281,0)+2480</f>
        <v>690310</v>
      </c>
      <c r="V281" s="88">
        <f t="shared" si="104"/>
        <v>2480</v>
      </c>
      <c r="W281" s="327" t="s">
        <v>832</v>
      </c>
      <c r="X281" s="192">
        <v>530313</v>
      </c>
      <c r="Y281" s="353">
        <f t="shared" si="91"/>
        <v>0.77099428637890177</v>
      </c>
      <c r="Z281" s="192" t="s">
        <v>488</v>
      </c>
    </row>
    <row r="282" spans="2:26" ht="32.4" customHeight="1" x14ac:dyDescent="0.25">
      <c r="B282" s="56"/>
      <c r="C282" s="85" t="s">
        <v>651</v>
      </c>
      <c r="D282" s="160" t="s">
        <v>508</v>
      </c>
      <c r="E282" s="226">
        <v>3000</v>
      </c>
      <c r="F282" s="37">
        <v>3000</v>
      </c>
      <c r="G282" s="19">
        <f t="shared" si="93"/>
        <v>0</v>
      </c>
      <c r="H282" s="304"/>
      <c r="I282" s="37">
        <v>3000</v>
      </c>
      <c r="J282" s="19">
        <f t="shared" si="94"/>
        <v>0</v>
      </c>
      <c r="K282" s="304"/>
      <c r="L282" s="37">
        <f t="shared" ref="L282:L288" si="107">ROUND(I282,0)</f>
        <v>3000</v>
      </c>
      <c r="M282" s="19">
        <f t="shared" si="95"/>
        <v>0</v>
      </c>
      <c r="N282" s="304"/>
      <c r="O282" s="37">
        <f>ROUND(L282,0)</f>
        <v>3000</v>
      </c>
      <c r="P282" s="19">
        <f t="shared" si="96"/>
        <v>0</v>
      </c>
      <c r="Q282" s="304"/>
      <c r="R282" s="467">
        <f>ROUND(O282,0)</f>
        <v>3000</v>
      </c>
      <c r="S282" s="88">
        <f t="shared" si="81"/>
        <v>0</v>
      </c>
      <c r="T282" s="304"/>
      <c r="U282" s="467">
        <f>ROUND(R282,0)</f>
        <v>3000</v>
      </c>
      <c r="V282" s="88">
        <f t="shared" si="104"/>
        <v>0</v>
      </c>
      <c r="W282" s="304"/>
      <c r="X282" s="192">
        <v>0</v>
      </c>
      <c r="Y282" s="390">
        <f t="shared" si="91"/>
        <v>0</v>
      </c>
      <c r="Z282" s="192"/>
    </row>
    <row r="283" spans="2:26" ht="31.95" hidden="1" customHeight="1" outlineLevel="1" x14ac:dyDescent="0.25">
      <c r="B283" s="56" t="s">
        <v>319</v>
      </c>
      <c r="C283" s="85" t="s">
        <v>652</v>
      </c>
      <c r="D283" s="204" t="s">
        <v>526</v>
      </c>
      <c r="E283" s="37">
        <v>0</v>
      </c>
      <c r="F283" s="37">
        <v>0</v>
      </c>
      <c r="G283" s="302">
        <f t="shared" si="93"/>
        <v>0</v>
      </c>
      <c r="H283" s="303" t="s">
        <v>438</v>
      </c>
      <c r="I283" s="37">
        <v>0</v>
      </c>
      <c r="J283" s="302">
        <f t="shared" si="94"/>
        <v>0</v>
      </c>
      <c r="K283" s="303" t="s">
        <v>438</v>
      </c>
      <c r="L283" s="37">
        <f t="shared" si="107"/>
        <v>0</v>
      </c>
      <c r="M283" s="302">
        <f t="shared" si="95"/>
        <v>0</v>
      </c>
      <c r="N283" s="303" t="s">
        <v>438</v>
      </c>
      <c r="O283" s="37">
        <f t="shared" ref="O283:O288" si="108">ROUND(L283,0)</f>
        <v>0</v>
      </c>
      <c r="P283" s="302">
        <f t="shared" si="96"/>
        <v>0</v>
      </c>
      <c r="Q283" s="303" t="s">
        <v>438</v>
      </c>
      <c r="R283" s="467">
        <f t="shared" ref="R283:R286" si="109">ROUND(O283,0)</f>
        <v>0</v>
      </c>
      <c r="S283" s="491">
        <f t="shared" si="81"/>
        <v>0</v>
      </c>
      <c r="T283" s="303" t="s">
        <v>438</v>
      </c>
      <c r="U283" s="467">
        <f t="shared" ref="U283:U285" si="110">ROUND(R283,0)</f>
        <v>0</v>
      </c>
      <c r="V283" s="491">
        <f t="shared" si="104"/>
        <v>0</v>
      </c>
      <c r="W283" s="303" t="s">
        <v>438</v>
      </c>
      <c r="X283" s="532">
        <v>0</v>
      </c>
      <c r="Y283" s="353" t="e">
        <f t="shared" si="91"/>
        <v>#DIV/0!</v>
      </c>
      <c r="Z283" s="192" t="s">
        <v>548</v>
      </c>
    </row>
    <row r="284" spans="2:26" ht="27" hidden="1" customHeight="1" outlineLevel="1" x14ac:dyDescent="0.25">
      <c r="B284" s="56" t="s">
        <v>318</v>
      </c>
      <c r="C284" s="85" t="s">
        <v>653</v>
      </c>
      <c r="D284" s="204" t="s">
        <v>292</v>
      </c>
      <c r="E284" s="37">
        <v>0</v>
      </c>
      <c r="F284" s="37">
        <v>0</v>
      </c>
      <c r="G284" s="302">
        <f t="shared" si="93"/>
        <v>0</v>
      </c>
      <c r="H284" s="303"/>
      <c r="I284" s="37">
        <v>0</v>
      </c>
      <c r="J284" s="302">
        <f t="shared" si="94"/>
        <v>0</v>
      </c>
      <c r="K284" s="303"/>
      <c r="L284" s="37">
        <f t="shared" si="107"/>
        <v>0</v>
      </c>
      <c r="M284" s="302">
        <f t="shared" si="95"/>
        <v>0</v>
      </c>
      <c r="N284" s="303"/>
      <c r="O284" s="37">
        <f t="shared" si="108"/>
        <v>0</v>
      </c>
      <c r="P284" s="302">
        <f t="shared" si="96"/>
        <v>0</v>
      </c>
      <c r="Q284" s="303"/>
      <c r="R284" s="467">
        <f t="shared" si="109"/>
        <v>0</v>
      </c>
      <c r="S284" s="491">
        <f t="shared" si="81"/>
        <v>0</v>
      </c>
      <c r="T284" s="303"/>
      <c r="U284" s="467">
        <f t="shared" si="110"/>
        <v>0</v>
      </c>
      <c r="V284" s="491">
        <f t="shared" si="104"/>
        <v>0</v>
      </c>
      <c r="W284" s="303"/>
      <c r="X284" s="532">
        <v>0</v>
      </c>
      <c r="Y284" s="353" t="e">
        <f t="shared" si="91"/>
        <v>#DIV/0!</v>
      </c>
      <c r="Z284" s="192" t="s">
        <v>548</v>
      </c>
    </row>
    <row r="285" spans="2:26" ht="57.6" hidden="1" customHeight="1" outlineLevel="1" x14ac:dyDescent="0.25">
      <c r="B285" s="56" t="s">
        <v>390</v>
      </c>
      <c r="C285" s="85" t="s">
        <v>654</v>
      </c>
      <c r="D285" s="205" t="s">
        <v>413</v>
      </c>
      <c r="E285" s="37">
        <v>0</v>
      </c>
      <c r="F285" s="37">
        <v>0</v>
      </c>
      <c r="G285" s="91">
        <f t="shared" si="93"/>
        <v>0</v>
      </c>
      <c r="H285" s="304"/>
      <c r="I285" s="37">
        <v>0</v>
      </c>
      <c r="J285" s="91">
        <f t="shared" si="94"/>
        <v>0</v>
      </c>
      <c r="K285" s="304"/>
      <c r="L285" s="37">
        <f t="shared" si="107"/>
        <v>0</v>
      </c>
      <c r="M285" s="91">
        <f t="shared" si="95"/>
        <v>0</v>
      </c>
      <c r="N285" s="304"/>
      <c r="O285" s="37">
        <f t="shared" si="108"/>
        <v>0</v>
      </c>
      <c r="P285" s="91">
        <f t="shared" si="96"/>
        <v>0</v>
      </c>
      <c r="Q285" s="304"/>
      <c r="R285" s="467">
        <f t="shared" si="109"/>
        <v>0</v>
      </c>
      <c r="S285" s="492">
        <f t="shared" si="81"/>
        <v>0</v>
      </c>
      <c r="T285" s="304"/>
      <c r="U285" s="467">
        <f t="shared" si="110"/>
        <v>0</v>
      </c>
      <c r="V285" s="492">
        <f t="shared" si="104"/>
        <v>0</v>
      </c>
      <c r="W285" s="304"/>
      <c r="X285" s="532">
        <v>0</v>
      </c>
      <c r="Y285" s="353" t="e">
        <f t="shared" si="91"/>
        <v>#DIV/0!</v>
      </c>
      <c r="Z285" s="192" t="s">
        <v>548</v>
      </c>
    </row>
    <row r="286" spans="2:26" ht="30.6" customHeight="1" collapsed="1" x14ac:dyDescent="0.25">
      <c r="B286" s="56" t="s">
        <v>537</v>
      </c>
      <c r="C286" s="82" t="s">
        <v>652</v>
      </c>
      <c r="D286" s="160" t="s">
        <v>536</v>
      </c>
      <c r="E286" s="247">
        <v>5600179</v>
      </c>
      <c r="F286" s="37">
        <v>5600179</v>
      </c>
      <c r="G286" s="91">
        <f t="shared" si="93"/>
        <v>0</v>
      </c>
      <c r="H286" s="326"/>
      <c r="I286" s="37">
        <v>5600179</v>
      </c>
      <c r="J286" s="91">
        <f t="shared" si="94"/>
        <v>0</v>
      </c>
      <c r="K286" s="326"/>
      <c r="L286" s="37">
        <f t="shared" si="107"/>
        <v>5600179</v>
      </c>
      <c r="M286" s="91">
        <f t="shared" si="95"/>
        <v>0</v>
      </c>
      <c r="N286" s="326"/>
      <c r="O286" s="37">
        <f t="shared" si="108"/>
        <v>5600179</v>
      </c>
      <c r="P286" s="91">
        <f t="shared" si="96"/>
        <v>0</v>
      </c>
      <c r="Q286" s="326"/>
      <c r="R286" s="467">
        <f t="shared" si="109"/>
        <v>5600179</v>
      </c>
      <c r="S286" s="492">
        <f t="shared" si="81"/>
        <v>0</v>
      </c>
      <c r="T286" s="326"/>
      <c r="U286" s="467">
        <f>ROUND(R286,0)</f>
        <v>5600179</v>
      </c>
      <c r="V286" s="88">
        <f t="shared" si="104"/>
        <v>0</v>
      </c>
      <c r="W286" s="304"/>
      <c r="X286" s="192">
        <v>1267736.1599999999</v>
      </c>
      <c r="Y286" s="402">
        <f t="shared" si="91"/>
        <v>0.22637422125257067</v>
      </c>
      <c r="Z286" s="192" t="s">
        <v>560</v>
      </c>
    </row>
    <row r="287" spans="2:26" ht="54.6" customHeight="1" x14ac:dyDescent="0.25">
      <c r="B287" s="56" t="s">
        <v>571</v>
      </c>
      <c r="C287" s="82" t="s">
        <v>653</v>
      </c>
      <c r="D287" s="200" t="s">
        <v>661</v>
      </c>
      <c r="E287" s="236">
        <v>267067</v>
      </c>
      <c r="F287" s="236">
        <v>267067</v>
      </c>
      <c r="G287" s="91">
        <f t="shared" si="93"/>
        <v>0</v>
      </c>
      <c r="H287" s="327"/>
      <c r="I287" s="236">
        <v>267067</v>
      </c>
      <c r="J287" s="91">
        <f t="shared" si="94"/>
        <v>0</v>
      </c>
      <c r="K287" s="327"/>
      <c r="L287" s="236">
        <f t="shared" si="107"/>
        <v>267067</v>
      </c>
      <c r="M287" s="91">
        <f t="shared" si="95"/>
        <v>0</v>
      </c>
      <c r="N287" s="327"/>
      <c r="O287" s="236">
        <f>ROUND(L287,0)-9600-4100-8200-24600</f>
        <v>220567</v>
      </c>
      <c r="P287" s="91">
        <f t="shared" si="96"/>
        <v>-46500</v>
      </c>
      <c r="Q287" s="327" t="s">
        <v>766</v>
      </c>
      <c r="R287" s="493">
        <f>ROUND(O287,0)</f>
        <v>220567</v>
      </c>
      <c r="S287" s="492">
        <f t="shared" si="81"/>
        <v>0</v>
      </c>
      <c r="T287" s="556"/>
      <c r="U287" s="493">
        <f>ROUND(R287,0)-2480</f>
        <v>218087</v>
      </c>
      <c r="V287" s="492">
        <f t="shared" si="104"/>
        <v>-2480</v>
      </c>
      <c r="W287" s="327" t="s">
        <v>832</v>
      </c>
      <c r="X287" s="192">
        <v>0</v>
      </c>
      <c r="Y287" s="381">
        <f t="shared" si="91"/>
        <v>0</v>
      </c>
      <c r="Z287" s="192"/>
    </row>
    <row r="288" spans="2:26" ht="31.5" customHeight="1" thickBot="1" x14ac:dyDescent="0.3">
      <c r="B288" s="209" t="s">
        <v>676</v>
      </c>
      <c r="C288" s="82" t="s">
        <v>654</v>
      </c>
      <c r="D288" s="200" t="s">
        <v>664</v>
      </c>
      <c r="E288" s="236">
        <v>285277</v>
      </c>
      <c r="F288" s="236">
        <v>285277</v>
      </c>
      <c r="G288" s="91">
        <f t="shared" si="93"/>
        <v>0</v>
      </c>
      <c r="H288" s="327"/>
      <c r="I288" s="236">
        <v>285277</v>
      </c>
      <c r="J288" s="91">
        <f t="shared" si="94"/>
        <v>0</v>
      </c>
      <c r="K288" s="327"/>
      <c r="L288" s="236">
        <f t="shared" si="107"/>
        <v>285277</v>
      </c>
      <c r="M288" s="91">
        <f t="shared" si="95"/>
        <v>0</v>
      </c>
      <c r="N288" s="327"/>
      <c r="O288" s="236">
        <f t="shared" si="108"/>
        <v>285277</v>
      </c>
      <c r="P288" s="91">
        <f t="shared" si="96"/>
        <v>0</v>
      </c>
      <c r="Q288" s="327"/>
      <c r="R288" s="493">
        <f t="shared" ref="R288" si="111">ROUND(O288,0)</f>
        <v>285277</v>
      </c>
      <c r="S288" s="492">
        <f t="shared" si="81"/>
        <v>0</v>
      </c>
      <c r="T288" s="327"/>
      <c r="U288" s="493">
        <f t="shared" ref="U288" si="112">ROUND(R288,0)</f>
        <v>285277</v>
      </c>
      <c r="V288" s="492">
        <f t="shared" si="104"/>
        <v>0</v>
      </c>
      <c r="W288" s="327"/>
      <c r="X288" s="192">
        <v>122947.19</v>
      </c>
      <c r="Y288" s="381">
        <f t="shared" si="91"/>
        <v>0.43097477188837519</v>
      </c>
      <c r="Z288" s="192"/>
    </row>
    <row r="289" spans="2:26" ht="27" hidden="1" customHeight="1" outlineLevel="1" x14ac:dyDescent="0.25">
      <c r="C289" s="82" t="s">
        <v>658</v>
      </c>
      <c r="D289" s="160" t="s">
        <v>247</v>
      </c>
      <c r="E289" s="225">
        <v>0</v>
      </c>
      <c r="F289" s="225">
        <v>0</v>
      </c>
      <c r="G289" s="19">
        <f t="shared" si="93"/>
        <v>0</v>
      </c>
      <c r="H289" s="328"/>
      <c r="I289" s="225">
        <v>0</v>
      </c>
      <c r="J289" s="19">
        <f t="shared" si="94"/>
        <v>0</v>
      </c>
      <c r="K289" s="328"/>
      <c r="L289" s="225">
        <f>L290+L291</f>
        <v>0</v>
      </c>
      <c r="M289" s="19">
        <f t="shared" si="95"/>
        <v>0</v>
      </c>
      <c r="N289" s="328"/>
      <c r="O289" s="225">
        <f>O290+O291</f>
        <v>0</v>
      </c>
      <c r="P289" s="19">
        <f t="shared" si="96"/>
        <v>0</v>
      </c>
      <c r="Q289" s="328"/>
      <c r="R289" s="457">
        <f>R290+R291</f>
        <v>0</v>
      </c>
      <c r="S289" s="88">
        <f t="shared" si="81"/>
        <v>0</v>
      </c>
      <c r="T289" s="328"/>
      <c r="U289" s="457">
        <f>U290+U291</f>
        <v>0</v>
      </c>
      <c r="V289" s="88">
        <f t="shared" si="104"/>
        <v>0</v>
      </c>
      <c r="W289" s="328"/>
      <c r="X289" s="531">
        <f>X290+X291</f>
        <v>0</v>
      </c>
      <c r="Y289" s="373" t="e">
        <f t="shared" si="91"/>
        <v>#DIV/0!</v>
      </c>
      <c r="Z289" s="197"/>
    </row>
    <row r="290" spans="2:26" ht="14.4" hidden="1" customHeight="1" outlineLevel="1" x14ac:dyDescent="0.25">
      <c r="B290" s="56" t="s">
        <v>249</v>
      </c>
      <c r="C290" s="26" t="s">
        <v>659</v>
      </c>
      <c r="D290" s="23" t="s">
        <v>305</v>
      </c>
      <c r="E290" s="217"/>
      <c r="F290" s="217">
        <v>0</v>
      </c>
      <c r="G290" s="51">
        <f t="shared" si="93"/>
        <v>0</v>
      </c>
      <c r="H290" s="287" t="s">
        <v>438</v>
      </c>
      <c r="I290" s="217">
        <v>0</v>
      </c>
      <c r="J290" s="51">
        <f t="shared" si="94"/>
        <v>0</v>
      </c>
      <c r="K290" s="287" t="s">
        <v>438</v>
      </c>
      <c r="L290" s="217">
        <f>ROUND(J290,0)</f>
        <v>0</v>
      </c>
      <c r="M290" s="51">
        <f t="shared" si="95"/>
        <v>0</v>
      </c>
      <c r="N290" s="287" t="s">
        <v>438</v>
      </c>
      <c r="O290" s="217">
        <f>ROUND(M290,0)</f>
        <v>0</v>
      </c>
      <c r="P290" s="51">
        <f t="shared" si="96"/>
        <v>0</v>
      </c>
      <c r="Q290" s="287" t="s">
        <v>438</v>
      </c>
      <c r="R290" s="469">
        <f>ROUND(P290,0)</f>
        <v>0</v>
      </c>
      <c r="S290" s="456">
        <f t="shared" si="81"/>
        <v>0</v>
      </c>
      <c r="T290" s="287" t="s">
        <v>438</v>
      </c>
      <c r="U290" s="469">
        <f>ROUND(S290,0)</f>
        <v>0</v>
      </c>
      <c r="V290" s="456">
        <f t="shared" si="104"/>
        <v>0</v>
      </c>
      <c r="W290" s="287" t="s">
        <v>438</v>
      </c>
      <c r="X290" s="529">
        <v>0</v>
      </c>
      <c r="Y290" s="342" t="e">
        <f t="shared" si="91"/>
        <v>#DIV/0!</v>
      </c>
      <c r="Z290" s="51"/>
    </row>
    <row r="291" spans="2:26" s="5" customFormat="1" ht="15" hidden="1" customHeight="1" outlineLevel="1" x14ac:dyDescent="0.25">
      <c r="B291" s="56" t="s">
        <v>310</v>
      </c>
      <c r="C291" s="26" t="s">
        <v>660</v>
      </c>
      <c r="D291" s="23" t="s">
        <v>287</v>
      </c>
      <c r="E291" s="217"/>
      <c r="F291" s="217">
        <v>0</v>
      </c>
      <c r="G291" s="51">
        <f t="shared" si="93"/>
        <v>0</v>
      </c>
      <c r="H291" s="287"/>
      <c r="I291" s="217">
        <v>0</v>
      </c>
      <c r="J291" s="51">
        <f t="shared" si="94"/>
        <v>0</v>
      </c>
      <c r="K291" s="287"/>
      <c r="L291" s="217">
        <f>ROUND(J291,0)</f>
        <v>0</v>
      </c>
      <c r="M291" s="51">
        <f t="shared" si="95"/>
        <v>0</v>
      </c>
      <c r="N291" s="287"/>
      <c r="O291" s="217">
        <f>ROUND(M291,0)</f>
        <v>0</v>
      </c>
      <c r="P291" s="51">
        <f t="shared" si="96"/>
        <v>0</v>
      </c>
      <c r="Q291" s="287"/>
      <c r="R291" s="469">
        <f>ROUND(P291,0)</f>
        <v>0</v>
      </c>
      <c r="S291" s="456">
        <f t="shared" si="81"/>
        <v>0</v>
      </c>
      <c r="T291" s="287"/>
      <c r="U291" s="469">
        <f>ROUND(S291,0)</f>
        <v>0</v>
      </c>
      <c r="V291" s="456">
        <f t="shared" si="104"/>
        <v>0</v>
      </c>
      <c r="W291" s="287"/>
      <c r="X291" s="529">
        <v>0</v>
      </c>
      <c r="Y291" s="342" t="e">
        <f t="shared" si="91"/>
        <v>#DIV/0!</v>
      </c>
      <c r="Z291" s="51"/>
    </row>
    <row r="292" spans="2:26" s="5" customFormat="1" ht="17.399999999999999" hidden="1" customHeight="1" outlineLevel="1" x14ac:dyDescent="0.25">
      <c r="C292" s="78" t="s">
        <v>82</v>
      </c>
      <c r="D292" s="155" t="s">
        <v>198</v>
      </c>
      <c r="E292" s="212">
        <v>0</v>
      </c>
      <c r="F292" s="212">
        <v>0</v>
      </c>
      <c r="G292" s="13">
        <f t="shared" si="93"/>
        <v>0</v>
      </c>
      <c r="H292" s="264"/>
      <c r="I292" s="212">
        <v>0</v>
      </c>
      <c r="J292" s="13">
        <f t="shared" si="94"/>
        <v>0</v>
      </c>
      <c r="K292" s="264"/>
      <c r="L292" s="212">
        <f>SUM(L293:L294)</f>
        <v>0</v>
      </c>
      <c r="M292" s="13">
        <f t="shared" si="95"/>
        <v>0</v>
      </c>
      <c r="N292" s="264"/>
      <c r="O292" s="212">
        <f>SUM(O293:O294)</f>
        <v>0</v>
      </c>
      <c r="P292" s="13">
        <f t="shared" si="96"/>
        <v>0</v>
      </c>
      <c r="Q292" s="264"/>
      <c r="R292" s="455">
        <f>SUM(R293:R294)</f>
        <v>0</v>
      </c>
      <c r="S292" s="14">
        <f t="shared" si="81"/>
        <v>0</v>
      </c>
      <c r="T292" s="264"/>
      <c r="U292" s="455">
        <f>SUM(U293:U294)</f>
        <v>0</v>
      </c>
      <c r="V292" s="14">
        <f t="shared" si="104"/>
        <v>0</v>
      </c>
      <c r="W292" s="264"/>
      <c r="X292" s="530">
        <f>SUM(X293:X294)</f>
        <v>0</v>
      </c>
      <c r="Y292" s="366" t="e">
        <f t="shared" si="91"/>
        <v>#DIV/0!</v>
      </c>
      <c r="Z292" s="13"/>
    </row>
    <row r="293" spans="2:26" ht="17.25" hidden="1" customHeight="1" outlineLevel="1" x14ac:dyDescent="0.25">
      <c r="C293" s="77" t="s">
        <v>84</v>
      </c>
      <c r="D293" s="146" t="s">
        <v>199</v>
      </c>
      <c r="E293" s="37"/>
      <c r="F293" s="37"/>
      <c r="G293" s="19">
        <f t="shared" si="93"/>
        <v>0</v>
      </c>
      <c r="H293" s="277"/>
      <c r="I293" s="37"/>
      <c r="J293" s="19">
        <f t="shared" si="94"/>
        <v>0</v>
      </c>
      <c r="K293" s="277"/>
      <c r="L293" s="37"/>
      <c r="M293" s="19">
        <f t="shared" si="95"/>
        <v>0</v>
      </c>
      <c r="N293" s="277"/>
      <c r="O293" s="37"/>
      <c r="P293" s="19">
        <f t="shared" si="96"/>
        <v>0</v>
      </c>
      <c r="Q293" s="277"/>
      <c r="R293" s="467"/>
      <c r="S293" s="88">
        <f t="shared" si="81"/>
        <v>0</v>
      </c>
      <c r="T293" s="277"/>
      <c r="U293" s="467"/>
      <c r="V293" s="88">
        <f t="shared" si="104"/>
        <v>0</v>
      </c>
      <c r="W293" s="277"/>
      <c r="X293" s="532"/>
      <c r="Y293" s="353" t="e">
        <f t="shared" si="91"/>
        <v>#DIV/0!</v>
      </c>
      <c r="Z293" s="19"/>
    </row>
    <row r="294" spans="2:26" ht="14.4" hidden="1" outlineLevel="1" thickBot="1" x14ac:dyDescent="0.3">
      <c r="C294" s="77" t="s">
        <v>85</v>
      </c>
      <c r="D294" s="146" t="s">
        <v>200</v>
      </c>
      <c r="E294" s="37"/>
      <c r="F294" s="37"/>
      <c r="G294" s="19">
        <f t="shared" si="93"/>
        <v>0</v>
      </c>
      <c r="H294" s="277"/>
      <c r="I294" s="37"/>
      <c r="J294" s="19">
        <f t="shared" si="94"/>
        <v>0</v>
      </c>
      <c r="K294" s="277"/>
      <c r="L294" s="37"/>
      <c r="M294" s="19">
        <f t="shared" si="95"/>
        <v>0</v>
      </c>
      <c r="N294" s="277"/>
      <c r="O294" s="37"/>
      <c r="P294" s="19">
        <f t="shared" si="96"/>
        <v>0</v>
      </c>
      <c r="Q294" s="277"/>
      <c r="R294" s="467"/>
      <c r="S294" s="88">
        <f t="shared" si="81"/>
        <v>0</v>
      </c>
      <c r="T294" s="277"/>
      <c r="U294" s="467"/>
      <c r="V294" s="88">
        <f t="shared" si="104"/>
        <v>0</v>
      </c>
      <c r="W294" s="277"/>
      <c r="X294" s="532"/>
      <c r="Y294" s="353" t="e">
        <f t="shared" si="91"/>
        <v>#DIV/0!</v>
      </c>
      <c r="Z294" s="19"/>
    </row>
    <row r="295" spans="2:26" s="5" customFormat="1" ht="30" customHeight="1" collapsed="1" thickBot="1" x14ac:dyDescent="0.3">
      <c r="C295" s="29"/>
      <c r="D295" s="176" t="s">
        <v>201</v>
      </c>
      <c r="E295" s="30">
        <v>71564822</v>
      </c>
      <c r="F295" s="30">
        <v>71620010</v>
      </c>
      <c r="G295" s="230">
        <f t="shared" si="93"/>
        <v>55188</v>
      </c>
      <c r="H295" s="230"/>
      <c r="I295" s="30">
        <v>71626326</v>
      </c>
      <c r="J295" s="230">
        <f t="shared" si="94"/>
        <v>6316</v>
      </c>
      <c r="K295" s="230"/>
      <c r="L295" s="30">
        <f>L127+L137+L138+L143+L145+L182+L197+L217+L292</f>
        <v>71734530</v>
      </c>
      <c r="M295" s="230">
        <f t="shared" si="95"/>
        <v>108204</v>
      </c>
      <c r="N295" s="230"/>
      <c r="O295" s="30">
        <f>O127+O137+O138+O143+O145+O182+O197+O217+O292</f>
        <v>71826653</v>
      </c>
      <c r="P295" s="230">
        <f t="shared" si="96"/>
        <v>92123</v>
      </c>
      <c r="Q295" s="230"/>
      <c r="R295" s="522">
        <f>R127+R137+R138+R143+R145+R182+R197+R217+R292</f>
        <v>72276182</v>
      </c>
      <c r="S295" s="523">
        <f t="shared" si="81"/>
        <v>449529</v>
      </c>
      <c r="T295" s="230"/>
      <c r="U295" s="522">
        <f>U127+U137+U138+U143+U145+U182+U197+U217+U292</f>
        <v>72331447</v>
      </c>
      <c r="V295" s="523">
        <f t="shared" si="104"/>
        <v>55265</v>
      </c>
      <c r="W295" s="230"/>
      <c r="X295" s="30">
        <f>X127+X137+X138+X143+X145+X182+X197+X217+X292</f>
        <v>56185892.910000004</v>
      </c>
      <c r="Y295" s="403">
        <f t="shared" si="91"/>
        <v>0.7773777108204194</v>
      </c>
      <c r="Z295" s="30"/>
    </row>
    <row r="296" spans="2:26" s="11" customFormat="1" ht="15" customHeight="1" thickBot="1" x14ac:dyDescent="0.3">
      <c r="C296" s="78" t="s">
        <v>107</v>
      </c>
      <c r="D296" s="155" t="s">
        <v>202</v>
      </c>
      <c r="E296" s="212">
        <v>3467034</v>
      </c>
      <c r="F296" s="212">
        <v>3467034</v>
      </c>
      <c r="G296" s="13">
        <f t="shared" si="93"/>
        <v>0</v>
      </c>
      <c r="H296" s="251"/>
      <c r="I296" s="212">
        <v>3658289</v>
      </c>
      <c r="J296" s="13">
        <f t="shared" si="94"/>
        <v>191255</v>
      </c>
      <c r="K296" s="412" t="s">
        <v>717</v>
      </c>
      <c r="L296" s="212">
        <f>ROUND(I296,0)+38052+6396</f>
        <v>3702737</v>
      </c>
      <c r="M296" s="13">
        <f t="shared" si="95"/>
        <v>44448</v>
      </c>
      <c r="N296" s="412" t="s">
        <v>746</v>
      </c>
      <c r="O296" s="212">
        <f>ROUND(L296,0)</f>
        <v>3702737</v>
      </c>
      <c r="P296" s="13">
        <f t="shared" si="96"/>
        <v>0</v>
      </c>
      <c r="Q296" s="412"/>
      <c r="R296" s="455">
        <f>ROUND(O296,0)</f>
        <v>3702737</v>
      </c>
      <c r="S296" s="14">
        <f t="shared" si="81"/>
        <v>0</v>
      </c>
      <c r="T296" s="412"/>
      <c r="U296" s="455">
        <f>ROUND(R296,0)</f>
        <v>3702737</v>
      </c>
      <c r="V296" s="14">
        <f t="shared" si="104"/>
        <v>0</v>
      </c>
      <c r="W296" s="412"/>
      <c r="X296" s="13">
        <v>3702737</v>
      </c>
      <c r="Y296" s="366">
        <f t="shared" si="91"/>
        <v>1</v>
      </c>
      <c r="Z296" s="13"/>
    </row>
    <row r="297" spans="2:26" ht="14.4" thickBot="1" x14ac:dyDescent="0.3">
      <c r="C297" s="29"/>
      <c r="D297" s="176" t="s">
        <v>203</v>
      </c>
      <c r="E297" s="231">
        <v>75031856</v>
      </c>
      <c r="F297" s="231">
        <v>75087044</v>
      </c>
      <c r="G297" s="31">
        <f t="shared" si="93"/>
        <v>55188</v>
      </c>
      <c r="H297" s="329"/>
      <c r="I297" s="231">
        <v>75284615</v>
      </c>
      <c r="J297" s="31">
        <f t="shared" si="94"/>
        <v>197571</v>
      </c>
      <c r="K297" s="329"/>
      <c r="L297" s="231">
        <f>L295+L296</f>
        <v>75437267</v>
      </c>
      <c r="M297" s="31">
        <f t="shared" si="95"/>
        <v>152652</v>
      </c>
      <c r="N297" s="329"/>
      <c r="O297" s="231">
        <f>O295+O296</f>
        <v>75529390</v>
      </c>
      <c r="P297" s="31">
        <f t="shared" si="96"/>
        <v>92123</v>
      </c>
      <c r="Q297" s="329"/>
      <c r="R297" s="524">
        <f>R295+R296</f>
        <v>75978919</v>
      </c>
      <c r="S297" s="525">
        <f t="shared" si="81"/>
        <v>449529</v>
      </c>
      <c r="T297" s="329"/>
      <c r="U297" s="524">
        <f>U295+U296</f>
        <v>76034184</v>
      </c>
      <c r="V297" s="525">
        <f t="shared" si="104"/>
        <v>55265</v>
      </c>
      <c r="W297" s="329"/>
      <c r="X297" s="31">
        <f>X295+X296</f>
        <v>59888629.910000004</v>
      </c>
      <c r="Y297" s="404">
        <f t="shared" si="91"/>
        <v>0.78822692791930882</v>
      </c>
      <c r="Z297" s="31"/>
    </row>
    <row r="298" spans="2:26" ht="15" thickTop="1" thickBot="1" x14ac:dyDescent="0.3">
      <c r="C298" s="32" t="s">
        <v>204</v>
      </c>
      <c r="D298" s="177" t="s">
        <v>205</v>
      </c>
      <c r="E298" s="232">
        <v>64907.20000000298</v>
      </c>
      <c r="F298" s="232">
        <v>64906.8</v>
      </c>
      <c r="G298" s="33">
        <f t="shared" si="93"/>
        <v>-0.40000000297732186</v>
      </c>
      <c r="H298" s="330"/>
      <c r="I298" s="232">
        <v>64906.8</v>
      </c>
      <c r="J298" s="33">
        <f t="shared" si="94"/>
        <v>0</v>
      </c>
      <c r="K298" s="330"/>
      <c r="L298" s="232">
        <f>L121-L297-0.2</f>
        <v>64673.8</v>
      </c>
      <c r="M298" s="33">
        <f t="shared" si="95"/>
        <v>-233</v>
      </c>
      <c r="N298" s="330"/>
      <c r="O298" s="232">
        <f>O121-O297-0.2</f>
        <v>160559.79999999999</v>
      </c>
      <c r="P298" s="33">
        <f t="shared" si="96"/>
        <v>95885.999999999985</v>
      </c>
      <c r="Q298" s="330"/>
      <c r="R298" s="526">
        <f>R121-R297-0.2</f>
        <v>218632.8</v>
      </c>
      <c r="S298" s="527">
        <f t="shared" si="81"/>
        <v>58073</v>
      </c>
      <c r="T298" s="330"/>
      <c r="U298" s="526">
        <f>U121-U297-0.2</f>
        <v>218632.8</v>
      </c>
      <c r="V298" s="527">
        <f t="shared" si="104"/>
        <v>0</v>
      </c>
      <c r="W298" s="330"/>
      <c r="X298" s="33">
        <f>X121-X297-0.2</f>
        <v>8600171.1999999844</v>
      </c>
      <c r="Y298" s="405">
        <f t="shared" si="91"/>
        <v>39.336143524667776</v>
      </c>
      <c r="Z298" s="33"/>
    </row>
    <row r="299" spans="2:26" x14ac:dyDescent="0.25">
      <c r="X299" s="198"/>
    </row>
    <row r="300" spans="2:26" x14ac:dyDescent="0.25">
      <c r="H300" s="360" t="s">
        <v>284</v>
      </c>
      <c r="K300" s="360" t="s">
        <v>284</v>
      </c>
      <c r="N300" s="360" t="s">
        <v>284</v>
      </c>
      <c r="Q300" s="360" t="s">
        <v>284</v>
      </c>
      <c r="T300" s="360" t="s">
        <v>284</v>
      </c>
      <c r="W300" s="6"/>
      <c r="X300" s="6"/>
      <c r="Y300" s="6"/>
      <c r="Z300" s="6"/>
    </row>
    <row r="301" spans="2:26" x14ac:dyDescent="0.25">
      <c r="M301" s="94"/>
      <c r="N301" s="94"/>
      <c r="P301" s="94"/>
      <c r="Q301" s="94"/>
      <c r="R301" s="94"/>
      <c r="S301" s="94"/>
      <c r="T301" s="94"/>
      <c r="U301" s="94"/>
      <c r="V301" s="94"/>
      <c r="W301" s="94"/>
      <c r="X301" s="94"/>
      <c r="Y301" s="94"/>
    </row>
    <row r="302" spans="2:26" x14ac:dyDescent="0.25">
      <c r="M302" s="94"/>
      <c r="N302" s="94"/>
      <c r="P302" s="94"/>
      <c r="Q302" s="94"/>
      <c r="R302" s="94"/>
      <c r="S302" s="94"/>
      <c r="T302" s="94"/>
      <c r="U302" s="94"/>
      <c r="V302" s="94"/>
      <c r="W302" s="94"/>
      <c r="X302" s="94"/>
      <c r="Y302" s="94"/>
    </row>
    <row r="303" spans="2:26" x14ac:dyDescent="0.25">
      <c r="M303" s="94"/>
      <c r="N303" s="94"/>
      <c r="P303" s="94"/>
      <c r="Q303" s="94"/>
      <c r="R303" s="94"/>
      <c r="S303" s="94"/>
      <c r="T303" s="94"/>
      <c r="U303" s="94"/>
      <c r="V303" s="94"/>
      <c r="W303" s="94"/>
      <c r="X303" s="94"/>
      <c r="Y303" s="94"/>
    </row>
    <row r="304" spans="2:26" x14ac:dyDescent="0.25">
      <c r="M304" s="94"/>
      <c r="N304" s="94"/>
      <c r="P304" s="94"/>
      <c r="Q304" s="94"/>
      <c r="R304" s="94"/>
      <c r="S304" s="94"/>
      <c r="T304" s="94"/>
      <c r="U304" s="94"/>
      <c r="V304" s="94"/>
      <c r="W304" s="94"/>
      <c r="X304" s="94"/>
      <c r="Y304" s="94"/>
    </row>
    <row r="305" spans="13:25" x14ac:dyDescent="0.25">
      <c r="M305" s="94"/>
      <c r="N305" s="94"/>
      <c r="P305" s="94"/>
      <c r="Q305" s="94"/>
      <c r="R305" s="94"/>
      <c r="S305" s="94"/>
      <c r="T305" s="94"/>
      <c r="U305" s="94"/>
      <c r="V305" s="94"/>
      <c r="W305" s="94"/>
      <c r="X305" s="94"/>
      <c r="Y305" s="94"/>
    </row>
    <row r="306" spans="13:25" x14ac:dyDescent="0.25">
      <c r="M306" s="94"/>
      <c r="N306" s="94"/>
      <c r="P306" s="94"/>
      <c r="Q306" s="94"/>
      <c r="R306" s="94"/>
      <c r="S306" s="94"/>
      <c r="T306" s="94"/>
      <c r="U306" s="94"/>
      <c r="V306" s="94"/>
      <c r="W306" s="94"/>
      <c r="X306" s="94"/>
      <c r="Y306" s="94"/>
    </row>
    <row r="307" spans="13:25" x14ac:dyDescent="0.25">
      <c r="M307" s="94"/>
      <c r="N307" s="94"/>
      <c r="P307" s="94"/>
      <c r="Q307" s="94"/>
      <c r="R307" s="94"/>
      <c r="S307" s="94"/>
      <c r="T307" s="94"/>
      <c r="U307" s="94"/>
      <c r="V307" s="94"/>
      <c r="W307" s="94"/>
      <c r="X307" s="94"/>
      <c r="Y307" s="94"/>
    </row>
    <row r="308" spans="13:25" x14ac:dyDescent="0.25">
      <c r="M308" s="94"/>
      <c r="N308" s="94"/>
      <c r="P308" s="94"/>
      <c r="Q308" s="94"/>
      <c r="R308" s="94"/>
      <c r="S308" s="94"/>
      <c r="T308" s="94"/>
      <c r="U308" s="94"/>
      <c r="V308" s="94"/>
      <c r="W308" s="94"/>
      <c r="X308" s="94"/>
      <c r="Y308" s="94"/>
    </row>
  </sheetData>
  <mergeCells count="27">
    <mergeCell ref="N221:N223"/>
    <mergeCell ref="N267:N268"/>
    <mergeCell ref="Y55:Y56"/>
    <mergeCell ref="Y152:Y153"/>
    <mergeCell ref="X52:X53"/>
    <mergeCell ref="Y52:Y53"/>
    <mergeCell ref="X55:X56"/>
    <mergeCell ref="X152:X153"/>
    <mergeCell ref="Q140:Q141"/>
    <mergeCell ref="Q221:Q223"/>
    <mergeCell ref="Q136:Q137"/>
    <mergeCell ref="C124:D124"/>
    <mergeCell ref="C125:D125"/>
    <mergeCell ref="N140:N141"/>
    <mergeCell ref="C2:D2"/>
    <mergeCell ref="C3:D3"/>
    <mergeCell ref="K267:K268"/>
    <mergeCell ref="K173:K174"/>
    <mergeCell ref="K221:K223"/>
    <mergeCell ref="K249:K250"/>
    <mergeCell ref="K140:K141"/>
    <mergeCell ref="H173:H174"/>
    <mergeCell ref="H260:H261"/>
    <mergeCell ref="H267:H268"/>
    <mergeCell ref="H249:H250"/>
    <mergeCell ref="H221:H223"/>
    <mergeCell ref="H193:H194"/>
  </mergeCells>
  <phoneticPr fontId="69" type="noConversion"/>
  <conditionalFormatting sqref="E298:G298">
    <cfRule type="cellIs" dxfId="8" priority="22" operator="lessThan">
      <formula>0</formula>
    </cfRule>
  </conditionalFormatting>
  <conditionalFormatting sqref="I298:J298">
    <cfRule type="cellIs" dxfId="7" priority="5" operator="lessThan">
      <formula>0</formula>
    </cfRule>
  </conditionalFormatting>
  <conditionalFormatting sqref="L298:M298">
    <cfRule type="cellIs" dxfId="6" priority="4" operator="lessThan">
      <formula>0</formula>
    </cfRule>
  </conditionalFormatting>
  <conditionalFormatting sqref="O298:P298">
    <cfRule type="cellIs" dxfId="5" priority="3" operator="lessThan">
      <formula>0</formula>
    </cfRule>
  </conditionalFormatting>
  <conditionalFormatting sqref="R298:S298">
    <cfRule type="cellIs" dxfId="4" priority="2" operator="lessThan">
      <formula>0</formula>
    </cfRule>
  </conditionalFormatting>
  <conditionalFormatting sqref="U298:V298">
    <cfRule type="cellIs" dxfId="3" priority="1" operator="lessThan">
      <formula>0</formula>
    </cfRule>
  </conditionalFormatting>
  <conditionalFormatting sqref="X298:Z298">
    <cfRule type="cellIs" dxfId="2" priority="11" operator="lessThan">
      <formula>0</formula>
    </cfRule>
  </conditionalFormatting>
  <pageMargins left="0.47244094488188981" right="0.47244094488188981" top="0.47244094488188981" bottom="0.47244094488188981" header="0.27559055118110237" footer="0.27559055118110237"/>
  <pageSetup paperSize="9" scale="85"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12EA7-5A2B-4644-8D40-B5EFC535D84E}">
  <sheetPr codeName="Lapa26">
    <tabColor rgb="FFC4EB35"/>
    <pageSetUpPr fitToPage="1"/>
  </sheetPr>
  <dimension ref="A1:R118"/>
  <sheetViews>
    <sheetView tabSelected="1" zoomScale="90" zoomScaleNormal="90" workbookViewId="0">
      <selection activeCell="E2" sqref="E2"/>
    </sheetView>
  </sheetViews>
  <sheetFormatPr defaultColWidth="9" defaultRowHeight="13.2" outlineLevelRow="1" x14ac:dyDescent="0.25"/>
  <cols>
    <col min="1" max="1" width="59.875" style="117" customWidth="1"/>
    <col min="2" max="3" width="14.375" style="117" customWidth="1"/>
    <col min="4" max="4" width="14.875" style="117" customWidth="1"/>
    <col min="5" max="5" width="16.125" style="117" customWidth="1"/>
    <col min="6" max="6" width="9" style="117"/>
    <col min="7" max="7" width="15.25" style="117" customWidth="1"/>
    <col min="8" max="10" width="9" style="117"/>
    <col min="11" max="11" width="12.125" style="117" bestFit="1" customWidth="1"/>
    <col min="12" max="17" width="9" style="117"/>
    <col min="18" max="18" width="12" style="117" customWidth="1"/>
    <col min="19" max="19" width="54.625" style="117" customWidth="1"/>
    <col min="20" max="16384" width="9" style="117"/>
  </cols>
  <sheetData>
    <row r="1" spans="1:4" s="118" customFormat="1" x14ac:dyDescent="0.25"/>
    <row r="2" spans="1:4" s="118" customFormat="1" ht="13.8" thickBot="1" x14ac:dyDescent="0.3">
      <c r="B2" s="119" t="s">
        <v>459</v>
      </c>
      <c r="C2" s="120" t="s">
        <v>851</v>
      </c>
      <c r="D2" s="120"/>
    </row>
    <row r="3" spans="1:4" s="118" customFormat="1" x14ac:dyDescent="0.25"/>
    <row r="5" spans="1:4" ht="57.6" customHeight="1" x14ac:dyDescent="0.25">
      <c r="A5" s="121" t="s">
        <v>460</v>
      </c>
      <c r="B5" s="122" t="s">
        <v>840</v>
      </c>
      <c r="C5" s="122" t="str">
        <f>"Izpilde"&amp;" "&amp;$C$2</f>
        <v>Izpilde 2025.gads</v>
      </c>
      <c r="D5" s="122" t="str">
        <f>"Ieņēmumu izpilde, %,"&amp;" "&amp;$C$2</f>
        <v>Ieņēmumu izpilde, %, 2025.gads</v>
      </c>
    </row>
    <row r="6" spans="1:4" x14ac:dyDescent="0.25">
      <c r="A6" s="116" t="s">
        <v>461</v>
      </c>
      <c r="B6" s="123">
        <f>SUM(B7,B11:B15,B19:B20)</f>
        <v>62890468</v>
      </c>
      <c r="C6" s="123">
        <f>SUM(C7,C11:C15,C19:C20)</f>
        <v>60064488.07</v>
      </c>
      <c r="D6" s="124">
        <f t="shared" ref="D6:D20" si="0">C6/B6</f>
        <v>0.9550650516704694</v>
      </c>
    </row>
    <row r="7" spans="1:4" x14ac:dyDescent="0.25">
      <c r="A7" s="117" t="s">
        <v>462</v>
      </c>
      <c r="B7" s="125">
        <f>'2025.gada budzeta plans_apvieno'!U6</f>
        <v>41793189</v>
      </c>
      <c r="C7" s="125">
        <f>'2025.gada budzeta plans_apvieno'!X6</f>
        <v>42473505</v>
      </c>
      <c r="D7" s="126">
        <f t="shared" si="0"/>
        <v>1.0162781547969455</v>
      </c>
    </row>
    <row r="8" spans="1:4" outlineLevel="1" x14ac:dyDescent="0.25">
      <c r="A8" s="127" t="s">
        <v>463</v>
      </c>
      <c r="B8" s="128">
        <f>'2025.gada budzeta plans_apvieno'!U7</f>
        <v>38486849</v>
      </c>
      <c r="C8" s="128">
        <f>'2025.gada budzeta plans_apvieno'!X7</f>
        <v>38942337.119999997</v>
      </c>
      <c r="D8" s="129">
        <f t="shared" si="0"/>
        <v>1.0118349028781233</v>
      </c>
    </row>
    <row r="9" spans="1:4" outlineLevel="1" x14ac:dyDescent="0.25">
      <c r="A9" s="127" t="s">
        <v>464</v>
      </c>
      <c r="B9" s="128">
        <f>'2025.gada budzeta plans_apvieno'!U9</f>
        <v>3211340</v>
      </c>
      <c r="C9" s="128">
        <f>'2025.gada budzeta plans_apvieno'!X9</f>
        <v>3399112.4299999997</v>
      </c>
      <c r="D9" s="129">
        <f t="shared" si="0"/>
        <v>1.0584716753753884</v>
      </c>
    </row>
    <row r="10" spans="1:4" outlineLevel="1" x14ac:dyDescent="0.25">
      <c r="A10" s="127" t="s">
        <v>701</v>
      </c>
      <c r="B10" s="128">
        <f>'2025.gada budzeta plans_apvieno'!U19</f>
        <v>95000</v>
      </c>
      <c r="C10" s="128">
        <f>'2025.gada budzeta plans_apvieno'!X19</f>
        <v>132055.88</v>
      </c>
      <c r="D10" s="129">
        <f t="shared" si="0"/>
        <v>1.3900618947368422</v>
      </c>
    </row>
    <row r="11" spans="1:4" x14ac:dyDescent="0.25">
      <c r="A11" s="130" t="s">
        <v>465</v>
      </c>
      <c r="B11" s="125">
        <f>'2025.gada budzeta plans_apvieno'!U22</f>
        <v>144060</v>
      </c>
      <c r="C11" s="125">
        <f>'2025.gada budzeta plans_apvieno'!X22</f>
        <v>163877.89000000001</v>
      </c>
      <c r="D11" s="126">
        <f t="shared" si="0"/>
        <v>1.1375669165625435</v>
      </c>
    </row>
    <row r="12" spans="1:4" x14ac:dyDescent="0.25">
      <c r="A12" s="130" t="s">
        <v>466</v>
      </c>
      <c r="B12" s="125">
        <f>'2025.gada budzeta plans_apvieno'!U34</f>
        <v>130000</v>
      </c>
      <c r="C12" s="125">
        <f>'2025.gada budzeta plans_apvieno'!X34</f>
        <v>163452.96000000002</v>
      </c>
      <c r="D12" s="126">
        <f t="shared" si="0"/>
        <v>1.2573304615384617</v>
      </c>
    </row>
    <row r="13" spans="1:4" x14ac:dyDescent="0.25">
      <c r="A13" s="130" t="s">
        <v>467</v>
      </c>
      <c r="B13" s="125">
        <f>'2025.gada budzeta plans_apvieno'!U37</f>
        <v>35728</v>
      </c>
      <c r="C13" s="125">
        <f>'2025.gada budzeta plans_apvieno'!X37</f>
        <v>49449.120000000003</v>
      </c>
      <c r="D13" s="126">
        <f t="shared" si="0"/>
        <v>1.3840438871473355</v>
      </c>
    </row>
    <row r="14" spans="1:4" x14ac:dyDescent="0.25">
      <c r="A14" s="130" t="s">
        <v>468</v>
      </c>
      <c r="B14" s="125">
        <f>'2025.gada budzeta plans_apvieno'!U41</f>
        <v>159278</v>
      </c>
      <c r="C14" s="125">
        <f>'2025.gada budzeta plans_apvieno'!X41</f>
        <v>359158.06</v>
      </c>
      <c r="D14" s="126">
        <f t="shared" si="0"/>
        <v>2.2549131706827059</v>
      </c>
    </row>
    <row r="15" spans="1:4" x14ac:dyDescent="0.25">
      <c r="A15" s="130" t="s">
        <v>469</v>
      </c>
      <c r="B15" s="125">
        <f>'2025.gada budzeta plans_apvieno'!U42</f>
        <v>19390884</v>
      </c>
      <c r="C15" s="125">
        <f>'2025.gada budzeta plans_apvieno'!X42</f>
        <v>15613295.59</v>
      </c>
      <c r="D15" s="126">
        <f t="shared" si="0"/>
        <v>0.80518740610278516</v>
      </c>
    </row>
    <row r="16" spans="1:4" outlineLevel="1" x14ac:dyDescent="0.25">
      <c r="A16" s="131" t="s">
        <v>470</v>
      </c>
      <c r="B16" s="128">
        <f>'2025.gada budzeta plans_apvieno'!U43</f>
        <v>10456975</v>
      </c>
      <c r="C16" s="128">
        <f>'2025.gada budzeta plans_apvieno'!X43</f>
        <v>11138955.880000001</v>
      </c>
      <c r="D16" s="129">
        <f t="shared" si="0"/>
        <v>1.0652177976900585</v>
      </c>
    </row>
    <row r="17" spans="1:4" outlineLevel="1" x14ac:dyDescent="0.25">
      <c r="A17" s="131" t="s">
        <v>493</v>
      </c>
      <c r="B17" s="128">
        <f>'2025.gada budzeta plans_apvieno'!U67</f>
        <v>7981640</v>
      </c>
      <c r="C17" s="128">
        <f>'2025.gada budzeta plans_apvieno'!X67</f>
        <v>3522070.71</v>
      </c>
      <c r="D17" s="129">
        <f t="shared" si="0"/>
        <v>0.4412715569732536</v>
      </c>
    </row>
    <row r="18" spans="1:4" outlineLevel="1" x14ac:dyDescent="0.25">
      <c r="A18" s="131" t="s">
        <v>753</v>
      </c>
      <c r="B18" s="128">
        <f>'2025.gada budzeta plans_apvieno'!U87</f>
        <v>952269</v>
      </c>
      <c r="C18" s="128">
        <f>'2025.gada budzeta plans_apvieno'!X87</f>
        <v>952269</v>
      </c>
      <c r="D18" s="129">
        <f t="shared" si="0"/>
        <v>1</v>
      </c>
    </row>
    <row r="19" spans="1:4" x14ac:dyDescent="0.25">
      <c r="A19" s="130" t="s">
        <v>471</v>
      </c>
      <c r="B19" s="125">
        <f>'2025.gada budzeta plans_apvieno'!U88</f>
        <v>350000</v>
      </c>
      <c r="C19" s="125">
        <f>'2025.gada budzeta plans_apvieno'!X88</f>
        <v>355772.19</v>
      </c>
      <c r="D19" s="126">
        <f t="shared" si="0"/>
        <v>1.0164919714285714</v>
      </c>
    </row>
    <row r="20" spans="1:4" x14ac:dyDescent="0.25">
      <c r="A20" s="130" t="s">
        <v>472</v>
      </c>
      <c r="B20" s="125">
        <f>'2025.gada budzeta plans_apvieno'!U91</f>
        <v>887329</v>
      </c>
      <c r="C20" s="125">
        <f>'2025.gada budzeta plans_apvieno'!X91</f>
        <v>885977.26000000013</v>
      </c>
      <c r="D20" s="126">
        <f t="shared" si="0"/>
        <v>0.99847661915704333</v>
      </c>
    </row>
    <row r="21" spans="1:4" outlineLevel="1" x14ac:dyDescent="0.25">
      <c r="A21" s="131" t="s">
        <v>561</v>
      </c>
      <c r="B21" s="128">
        <f>B20-B22-B23</f>
        <v>418773</v>
      </c>
      <c r="C21" s="128">
        <f>C20-C22-C23</f>
        <v>364075.00000000012</v>
      </c>
      <c r="D21" s="129">
        <f>C21/B21</f>
        <v>0.86938508452073104</v>
      </c>
    </row>
    <row r="22" spans="1:4" outlineLevel="1" x14ac:dyDescent="0.25">
      <c r="A22" s="131" t="s">
        <v>494</v>
      </c>
      <c r="B22" s="128">
        <f>'2025.gada budzeta plans_apvieno'!U98</f>
        <v>332370</v>
      </c>
      <c r="C22" s="128">
        <f>'2025.gada budzeta plans_apvieno'!X98</f>
        <v>372177.06</v>
      </c>
      <c r="D22" s="129">
        <f>C22/B22</f>
        <v>1.1197673075187291</v>
      </c>
    </row>
    <row r="23" spans="1:4" outlineLevel="1" x14ac:dyDescent="0.25">
      <c r="A23" s="131" t="s">
        <v>702</v>
      </c>
      <c r="B23" s="128">
        <f>'2025.gada budzeta plans_apvieno'!U95</f>
        <v>136186</v>
      </c>
      <c r="C23" s="128">
        <f>'2025.gada budzeta plans_apvieno'!X95</f>
        <v>149725.20000000001</v>
      </c>
      <c r="D23" s="129">
        <f>C23/B23</f>
        <v>1.0994169738445949</v>
      </c>
    </row>
    <row r="24" spans="1:4" x14ac:dyDescent="0.25">
      <c r="A24" s="130"/>
    </row>
    <row r="25" spans="1:4" x14ac:dyDescent="0.25">
      <c r="C25" s="125"/>
    </row>
    <row r="26" spans="1:4" x14ac:dyDescent="0.25">
      <c r="A26" s="132"/>
      <c r="B26" s="125">
        <f>B6-'2025.gada budzeta plans_apvieno'!U106</f>
        <v>0</v>
      </c>
      <c r="C26" s="125">
        <f>C6-'2025.gada budzeta plans_apvieno'!X106</f>
        <v>-0.42999999225139618</v>
      </c>
      <c r="D26" s="126"/>
    </row>
    <row r="27" spans="1:4" x14ac:dyDescent="0.25">
      <c r="A27" s="132"/>
      <c r="B27" s="125"/>
      <c r="C27" s="125"/>
      <c r="D27" s="126"/>
    </row>
    <row r="28" spans="1:4" x14ac:dyDescent="0.25">
      <c r="A28" s="132"/>
      <c r="B28" s="125"/>
      <c r="C28" s="125"/>
      <c r="D28" s="126"/>
    </row>
    <row r="29" spans="1:4" x14ac:dyDescent="0.25">
      <c r="A29" s="133"/>
      <c r="B29" s="125"/>
      <c r="C29" s="125"/>
      <c r="D29" s="126"/>
    </row>
    <row r="30" spans="1:4" s="137" customFormat="1" outlineLevel="1" x14ac:dyDescent="0.25">
      <c r="A30" s="190" t="s">
        <v>3</v>
      </c>
      <c r="B30" s="128"/>
      <c r="C30" s="128"/>
      <c r="D30" s="129"/>
    </row>
    <row r="31" spans="1:4" s="137" customFormat="1" outlineLevel="1" x14ac:dyDescent="0.25">
      <c r="A31" s="362" t="s">
        <v>852</v>
      </c>
      <c r="B31" s="128"/>
      <c r="C31" s="128"/>
      <c r="D31" s="129"/>
    </row>
    <row r="32" spans="1:4" s="362" customFormat="1" outlineLevel="1" x14ac:dyDescent="0.25">
      <c r="A32" s="362" t="s">
        <v>705</v>
      </c>
      <c r="B32" s="371"/>
      <c r="C32" s="371"/>
      <c r="D32" s="372"/>
    </row>
    <row r="33" spans="1:11" s="362" customFormat="1" outlineLevel="1" x14ac:dyDescent="0.25">
      <c r="A33" s="131" t="s">
        <v>854</v>
      </c>
      <c r="B33" s="371"/>
      <c r="C33" s="371"/>
      <c r="D33" s="372"/>
    </row>
    <row r="34" spans="1:11" s="362" customFormat="1" outlineLevel="1" x14ac:dyDescent="0.25">
      <c r="A34" s="131" t="s">
        <v>855</v>
      </c>
      <c r="B34" s="371"/>
      <c r="C34" s="371"/>
      <c r="D34" s="372"/>
    </row>
    <row r="35" spans="1:11" s="362" customFormat="1" outlineLevel="1" x14ac:dyDescent="0.25">
      <c r="A35" s="131" t="s">
        <v>752</v>
      </c>
      <c r="B35" s="371"/>
      <c r="C35" s="371"/>
      <c r="D35" s="372"/>
    </row>
    <row r="36" spans="1:11" s="362" customFormat="1" outlineLevel="1" x14ac:dyDescent="0.25">
      <c r="A36" s="131" t="s">
        <v>803</v>
      </c>
      <c r="B36" s="371"/>
      <c r="C36" s="371"/>
      <c r="D36" s="372"/>
    </row>
    <row r="37" spans="1:11" s="137" customFormat="1" outlineLevel="1" x14ac:dyDescent="0.25">
      <c r="A37" s="362" t="s">
        <v>856</v>
      </c>
      <c r="B37" s="128"/>
      <c r="C37" s="128"/>
      <c r="D37" s="129"/>
    </row>
    <row r="38" spans="1:11" s="137" customFormat="1" outlineLevel="1" x14ac:dyDescent="0.25">
      <c r="A38" s="362" t="s">
        <v>853</v>
      </c>
      <c r="B38" s="128"/>
      <c r="C38" s="128"/>
      <c r="D38" s="129"/>
    </row>
    <row r="39" spans="1:11" s="137" customFormat="1" outlineLevel="1" x14ac:dyDescent="0.25">
      <c r="A39" s="362" t="s">
        <v>857</v>
      </c>
      <c r="B39" s="128"/>
      <c r="C39" s="128"/>
      <c r="D39" s="129"/>
      <c r="K39" s="433"/>
    </row>
    <row r="40" spans="1:11" s="137" customFormat="1" outlineLevel="1" x14ac:dyDescent="0.25">
      <c r="A40" s="362" t="s">
        <v>858</v>
      </c>
      <c r="B40" s="128"/>
      <c r="C40" s="128"/>
      <c r="D40" s="129"/>
      <c r="K40" s="433"/>
    </row>
    <row r="41" spans="1:11" s="137" customFormat="1" outlineLevel="1" x14ac:dyDescent="0.25">
      <c r="A41" s="362" t="s">
        <v>859</v>
      </c>
      <c r="B41" s="128"/>
      <c r="C41" s="128"/>
      <c r="D41" s="129"/>
    </row>
    <row r="42" spans="1:11" s="362" customFormat="1" ht="15" customHeight="1" outlineLevel="1" x14ac:dyDescent="0.25">
      <c r="A42" s="131" t="s">
        <v>860</v>
      </c>
      <c r="B42" s="371"/>
      <c r="C42" s="371"/>
      <c r="D42" s="372"/>
    </row>
    <row r="43" spans="1:11" s="137" customFormat="1" outlineLevel="1" x14ac:dyDescent="0.25">
      <c r="A43" s="131" t="s">
        <v>861</v>
      </c>
      <c r="B43" s="128"/>
      <c r="C43" s="128"/>
      <c r="D43" s="129"/>
    </row>
    <row r="44" spans="1:11" s="137" customFormat="1" outlineLevel="1" x14ac:dyDescent="0.25">
      <c r="A44" s="131" t="s">
        <v>862</v>
      </c>
      <c r="B44" s="128"/>
      <c r="C44" s="128"/>
      <c r="D44" s="129"/>
    </row>
    <row r="45" spans="1:11" s="137" customFormat="1" outlineLevel="1" x14ac:dyDescent="0.25">
      <c r="A45" s="362" t="s">
        <v>863</v>
      </c>
      <c r="B45" s="128"/>
      <c r="C45" s="128"/>
      <c r="D45" s="129"/>
    </row>
    <row r="46" spans="1:11" s="127" customFormat="1" outlineLevel="1" x14ac:dyDescent="0.25">
      <c r="A46" s="362" t="s">
        <v>864</v>
      </c>
      <c r="B46" s="138"/>
      <c r="C46" s="138"/>
      <c r="D46" s="139"/>
    </row>
    <row r="47" spans="1:11" s="127" customFormat="1" outlineLevel="1" x14ac:dyDescent="0.25">
      <c r="A47" s="137"/>
      <c r="B47" s="138"/>
      <c r="C47" s="138"/>
      <c r="D47" s="139"/>
    </row>
    <row r="48" spans="1:11" x14ac:dyDescent="0.25">
      <c r="A48" s="132"/>
      <c r="B48" s="125"/>
      <c r="C48" s="125"/>
      <c r="D48" s="126"/>
    </row>
    <row r="49" spans="1:6" x14ac:dyDescent="0.25">
      <c r="A49" s="132" t="s">
        <v>813</v>
      </c>
      <c r="B49" s="125"/>
      <c r="C49" s="125"/>
      <c r="D49" s="126"/>
    </row>
    <row r="52" spans="1:6" x14ac:dyDescent="0.25">
      <c r="C52" s="140"/>
    </row>
    <row r="53" spans="1:6" x14ac:dyDescent="0.25">
      <c r="C53" s="125"/>
    </row>
    <row r="54" spans="1:6" ht="57.6" customHeight="1" x14ac:dyDescent="0.25">
      <c r="A54" s="121" t="s">
        <v>473</v>
      </c>
      <c r="B54" s="122" t="str">
        <f>B5</f>
        <v>22.12.2025. grozījumi</v>
      </c>
      <c r="C54" s="122" t="str">
        <f>"Izpilde"&amp;" "&amp;$C$2</f>
        <v>Izpilde 2025.gads</v>
      </c>
      <c r="D54" s="122" t="str">
        <f>"Izdevumu izpilde, %,"&amp;" "&amp;$C$2</f>
        <v>Izdevumu izpilde, %, 2025.gads</v>
      </c>
    </row>
    <row r="55" spans="1:6" ht="12.75" customHeight="1" x14ac:dyDescent="0.25">
      <c r="A55" s="116" t="s">
        <v>474</v>
      </c>
      <c r="B55" s="134">
        <f>SUM(B56,B60:B64,B69:B71,B84)</f>
        <v>76034184</v>
      </c>
      <c r="C55" s="134">
        <f>SUM(C56,C60:C64,C69:C71,C84)</f>
        <v>59888629.910000004</v>
      </c>
      <c r="D55" s="126">
        <f t="shared" ref="D55:D75" si="1">C55/B55</f>
        <v>0.78765400980695743</v>
      </c>
    </row>
    <row r="56" spans="1:6" ht="12.75" customHeight="1" x14ac:dyDescent="0.25">
      <c r="A56" s="117" t="s">
        <v>475</v>
      </c>
      <c r="B56" s="125">
        <f>'2025.gada budzeta plans_apvieno'!U127</f>
        <v>12225212</v>
      </c>
      <c r="C56" s="125">
        <f>'2025.gada budzeta plans_apvieno'!X127</f>
        <v>11407181.41</v>
      </c>
      <c r="D56" s="126">
        <f t="shared" si="1"/>
        <v>0.93308659269058081</v>
      </c>
      <c r="E56" s="126"/>
      <c r="F56" s="135"/>
    </row>
    <row r="57" spans="1:6" ht="12.75" customHeight="1" outlineLevel="1" x14ac:dyDescent="0.25">
      <c r="A57" s="127" t="s">
        <v>489</v>
      </c>
      <c r="B57" s="128">
        <f>'2025.gada budzeta plans_apvieno'!U128+'2025.gada budzeta plans_apvieno'!U129+'2025.gada budzeta plans_apvieno'!U130+'2025.gada budzeta plans_apvieno'!U131+'2025.gada budzeta plans_apvieno'!U132+'2025.gada budzeta plans_apvieno'!U133+'2025.gada budzeta plans_apvieno'!U136</f>
        <v>3255057</v>
      </c>
      <c r="C57" s="128">
        <f>'2025.gada budzeta plans_apvieno'!X128+'2025.gada budzeta plans_apvieno'!X129+'2025.gada budzeta plans_apvieno'!X130+'2025.gada budzeta plans_apvieno'!X131+'2025.gada budzeta plans_apvieno'!X132+'2025.gada budzeta plans_apvieno'!X133+'2025.gada budzeta plans_apvieno'!X136</f>
        <v>2816813.9400000009</v>
      </c>
      <c r="D57" s="129">
        <f t="shared" si="1"/>
        <v>0.8653654728626875</v>
      </c>
      <c r="E57" s="126"/>
      <c r="F57" s="135"/>
    </row>
    <row r="58" spans="1:6" ht="12.75" customHeight="1" outlineLevel="1" x14ac:dyDescent="0.25">
      <c r="A58" s="127" t="s">
        <v>490</v>
      </c>
      <c r="B58" s="128">
        <f>'2025.gada budzeta plans_apvieno'!U134</f>
        <v>2052431</v>
      </c>
      <c r="C58" s="128">
        <f>'2025.gada budzeta plans_apvieno'!X134</f>
        <v>1672643.52</v>
      </c>
      <c r="D58" s="129">
        <f t="shared" si="1"/>
        <v>0.81495724825828497</v>
      </c>
      <c r="E58" s="126"/>
      <c r="F58" s="135"/>
    </row>
    <row r="59" spans="1:6" ht="12.75" customHeight="1" outlineLevel="1" x14ac:dyDescent="0.25">
      <c r="A59" s="127" t="s">
        <v>491</v>
      </c>
      <c r="B59" s="128">
        <f>'2025.gada budzeta plans_apvieno'!U135</f>
        <v>6917724</v>
      </c>
      <c r="C59" s="128">
        <f>'2025.gada budzeta plans_apvieno'!X135</f>
        <v>6917723.9500000002</v>
      </c>
      <c r="D59" s="129">
        <f t="shared" si="1"/>
        <v>0.99999999277218932</v>
      </c>
      <c r="E59" s="126"/>
      <c r="F59" s="135"/>
    </row>
    <row r="60" spans="1:6" ht="12.75" customHeight="1" x14ac:dyDescent="0.25">
      <c r="A60" s="117" t="s">
        <v>476</v>
      </c>
      <c r="B60" s="125">
        <f>'2025.gada budzeta plans_apvieno'!U137</f>
        <v>1122076</v>
      </c>
      <c r="C60" s="125">
        <f>'2025.gada budzeta plans_apvieno'!X137</f>
        <v>1087266.05</v>
      </c>
      <c r="D60" s="126">
        <f t="shared" si="1"/>
        <v>0.96897719049333564</v>
      </c>
      <c r="E60" s="126"/>
      <c r="F60" s="135"/>
    </row>
    <row r="61" spans="1:6" ht="12.75" customHeight="1" x14ac:dyDescent="0.25">
      <c r="A61" s="117" t="s">
        <v>477</v>
      </c>
      <c r="B61" s="125">
        <f>'2025.gada budzeta plans_apvieno'!U139</f>
        <v>200531</v>
      </c>
      <c r="C61" s="125">
        <f>'2025.gada budzeta plans_apvieno'!X139</f>
        <v>194903.67</v>
      </c>
      <c r="D61" s="126">
        <f t="shared" si="1"/>
        <v>0.97193785499498841</v>
      </c>
      <c r="E61" s="126"/>
      <c r="F61" s="135"/>
    </row>
    <row r="62" spans="1:6" ht="12.75" customHeight="1" x14ac:dyDescent="0.25">
      <c r="A62" s="117" t="s">
        <v>478</v>
      </c>
      <c r="B62" s="125">
        <f>'2025.gada budzeta plans_apvieno'!U142</f>
        <v>445527</v>
      </c>
      <c r="C62" s="125">
        <f>'2025.gada budzeta plans_apvieno'!X142</f>
        <v>364184</v>
      </c>
      <c r="D62" s="126">
        <f t="shared" si="1"/>
        <v>0.8174229620202591</v>
      </c>
      <c r="E62" s="126"/>
      <c r="F62" s="135"/>
    </row>
    <row r="63" spans="1:6" ht="12.75" customHeight="1" x14ac:dyDescent="0.25">
      <c r="A63" s="117" t="s">
        <v>479</v>
      </c>
      <c r="B63" s="125">
        <f>'2025.gada budzeta plans_apvieno'!U143</f>
        <v>255687</v>
      </c>
      <c r="C63" s="125">
        <f>'2025.gada budzeta plans_apvieno'!X143</f>
        <v>47125.94</v>
      </c>
      <c r="D63" s="126">
        <f t="shared" si="1"/>
        <v>0.18431105218489796</v>
      </c>
      <c r="E63" s="126"/>
      <c r="F63" s="135"/>
    </row>
    <row r="64" spans="1:6" ht="12.75" customHeight="1" x14ac:dyDescent="0.25">
      <c r="A64" s="117" t="s">
        <v>480</v>
      </c>
      <c r="B64" s="125">
        <f>'2025.gada budzeta plans_apvieno'!U145</f>
        <v>18063244</v>
      </c>
      <c r="C64" s="125">
        <f>'2025.gada budzeta plans_apvieno'!X145</f>
        <v>11170765.43</v>
      </c>
      <c r="D64" s="126">
        <f t="shared" si="1"/>
        <v>0.61842520811876311</v>
      </c>
      <c r="E64" s="126"/>
      <c r="F64" s="135"/>
    </row>
    <row r="65" spans="1:6" ht="12.75" customHeight="1" outlineLevel="1" x14ac:dyDescent="0.25">
      <c r="A65" s="127" t="s">
        <v>495</v>
      </c>
      <c r="B65" s="128">
        <f>SUM('2025.gada budzeta plans_apvieno'!U165,'2025.gada budzeta plans_apvieno'!U151,'2025.gada budzeta plans_apvieno'!U149,'2025.gada budzeta plans_apvieno'!U148)-31000-29687</f>
        <v>1406074</v>
      </c>
      <c r="C65" s="128">
        <f>SUM('2025.gada budzeta plans_apvieno'!X165,'2025.gada budzeta plans_apvieno'!X151,'2025.gada budzeta plans_apvieno'!X149,'2025.gada budzeta plans_apvieno'!X148)</f>
        <v>1219251.71</v>
      </c>
      <c r="D65" s="129">
        <f t="shared" si="1"/>
        <v>0.86713196460499231</v>
      </c>
      <c r="E65" s="126"/>
      <c r="F65" s="135"/>
    </row>
    <row r="66" spans="1:6" ht="12.75" customHeight="1" outlineLevel="1" x14ac:dyDescent="0.25">
      <c r="A66" s="127" t="s">
        <v>703</v>
      </c>
      <c r="B66" s="128">
        <f>'2025.gada budzeta plans_apvieno'!U168</f>
        <v>5849929</v>
      </c>
      <c r="C66" s="128">
        <f>'2025.gada budzeta plans_apvieno'!X168</f>
        <v>5268804</v>
      </c>
      <c r="D66" s="129">
        <f t="shared" si="1"/>
        <v>0.90066118751184843</v>
      </c>
      <c r="E66" s="126"/>
      <c r="F66" s="135"/>
    </row>
    <row r="67" spans="1:6" ht="12.75" customHeight="1" outlineLevel="1" x14ac:dyDescent="0.25">
      <c r="A67" s="361" t="s">
        <v>704</v>
      </c>
      <c r="B67" s="128">
        <f>'2025.gada budzeta plans_apvieno'!U146+'2025.gada budzeta plans_apvieno'!U147</f>
        <v>122568</v>
      </c>
      <c r="C67" s="128">
        <f>'2025.gada budzeta plans_apvieno'!X146+'2025.gada budzeta plans_apvieno'!X147</f>
        <v>0</v>
      </c>
      <c r="D67" s="129">
        <f t="shared" si="1"/>
        <v>0</v>
      </c>
      <c r="E67" s="126"/>
      <c r="F67" s="135"/>
    </row>
    <row r="68" spans="1:6" ht="12.75" customHeight="1" outlineLevel="1" x14ac:dyDescent="0.25">
      <c r="A68" s="127" t="s">
        <v>492</v>
      </c>
      <c r="B68" s="128">
        <f>B64-B65-B67-B66</f>
        <v>10684673</v>
      </c>
      <c r="C68" s="128">
        <f>C64-C65-C67-C66</f>
        <v>4682709.7199999988</v>
      </c>
      <c r="D68" s="129">
        <f t="shared" si="1"/>
        <v>0.43826420518437942</v>
      </c>
      <c r="E68" s="126"/>
      <c r="F68" s="135"/>
    </row>
    <row r="69" spans="1:6" ht="12.75" customHeight="1" x14ac:dyDescent="0.25">
      <c r="A69" s="117" t="s">
        <v>481</v>
      </c>
      <c r="B69" s="125">
        <f>'2025.gada budzeta plans_apvieno'!U182</f>
        <v>2625660</v>
      </c>
      <c r="C69" s="125">
        <f>'2025.gada budzeta plans_apvieno'!X182</f>
        <v>2366992.4900000002</v>
      </c>
      <c r="D69" s="126">
        <f t="shared" si="1"/>
        <v>0.9014847657350914</v>
      </c>
      <c r="E69" s="126"/>
      <c r="F69" s="135"/>
    </row>
    <row r="70" spans="1:6" ht="12.75" customHeight="1" x14ac:dyDescent="0.25">
      <c r="A70" s="117" t="s">
        <v>482</v>
      </c>
      <c r="B70" s="125">
        <f>'2025.gada budzeta plans_apvieno'!U197</f>
        <v>3534693</v>
      </c>
      <c r="C70" s="125">
        <f>'2025.gada budzeta plans_apvieno'!X197</f>
        <v>3091748.46</v>
      </c>
      <c r="D70" s="126">
        <f t="shared" si="1"/>
        <v>0.87468655976629373</v>
      </c>
      <c r="E70" s="126"/>
      <c r="F70" s="135"/>
    </row>
    <row r="71" spans="1:6" ht="12.75" customHeight="1" x14ac:dyDescent="0.25">
      <c r="A71" s="117" t="s">
        <v>483</v>
      </c>
      <c r="B71" s="125">
        <f>'2025.gada budzeta plans_apvieno'!U217</f>
        <v>33858817</v>
      </c>
      <c r="C71" s="125">
        <f>'2025.gada budzeta plans_apvieno'!X217</f>
        <v>26455725.460000001</v>
      </c>
      <c r="D71" s="126">
        <f t="shared" si="1"/>
        <v>0.78135409928822974</v>
      </c>
      <c r="E71" s="136"/>
      <c r="F71" s="135"/>
    </row>
    <row r="72" spans="1:6" ht="12.75" customHeight="1" outlineLevel="1" x14ac:dyDescent="0.25">
      <c r="A72" s="127" t="s">
        <v>507</v>
      </c>
      <c r="B72" s="128">
        <f>'2025.gada budzeta plans_apvieno'!U218</f>
        <v>851975</v>
      </c>
      <c r="C72" s="128">
        <f>'2025.gada budzeta plans_apvieno'!X218</f>
        <v>648987.37</v>
      </c>
      <c r="D72" s="129">
        <f t="shared" si="1"/>
        <v>0.76174461691951056</v>
      </c>
      <c r="E72" s="136"/>
      <c r="F72" s="135"/>
    </row>
    <row r="73" spans="1:6" ht="12.75" customHeight="1" outlineLevel="1" x14ac:dyDescent="0.25">
      <c r="A73" s="127" t="s">
        <v>503</v>
      </c>
      <c r="B73" s="128">
        <f>'2025.gada budzeta plans_apvieno'!U219</f>
        <v>2554567</v>
      </c>
      <c r="C73" s="128">
        <f>'2025.gada budzeta plans_apvieno'!X219</f>
        <v>2431145.59</v>
      </c>
      <c r="D73" s="129">
        <f t="shared" si="1"/>
        <v>0.95168597652752884</v>
      </c>
      <c r="E73" s="126"/>
      <c r="F73" s="135"/>
    </row>
    <row r="74" spans="1:6" ht="12.75" customHeight="1" outlineLevel="1" x14ac:dyDescent="0.25">
      <c r="A74" s="127" t="s">
        <v>504</v>
      </c>
      <c r="B74" s="128">
        <f>'2025.gada budzeta plans_apvieno'!U224</f>
        <v>1507350</v>
      </c>
      <c r="C74" s="128">
        <f>'2025.gada budzeta plans_apvieno'!X224</f>
        <v>1372574.2599999998</v>
      </c>
      <c r="D74" s="129">
        <f t="shared" si="1"/>
        <v>0.91058762729293119</v>
      </c>
      <c r="E74" s="126"/>
      <c r="F74" s="135"/>
    </row>
    <row r="75" spans="1:6" ht="12.75" customHeight="1" outlineLevel="1" x14ac:dyDescent="0.25">
      <c r="A75" s="127" t="s">
        <v>505</v>
      </c>
      <c r="B75" s="128">
        <f>'2025.gada budzeta plans_apvieno'!U229</f>
        <v>1854007</v>
      </c>
      <c r="C75" s="128">
        <f>'2025.gada budzeta plans_apvieno'!X229</f>
        <v>1726715.7799999998</v>
      </c>
      <c r="D75" s="129">
        <f t="shared" si="1"/>
        <v>0.93134264325862837</v>
      </c>
      <c r="E75" s="126"/>
      <c r="F75" s="135"/>
    </row>
    <row r="76" spans="1:6" ht="12.75" customHeight="1" outlineLevel="1" x14ac:dyDescent="0.25">
      <c r="A76" s="127" t="s">
        <v>506</v>
      </c>
      <c r="B76" s="128">
        <f>'2025.gada budzeta plans_apvieno'!U234</f>
        <v>1571620</v>
      </c>
      <c r="C76" s="128">
        <f>'2025.gada budzeta plans_apvieno'!X234</f>
        <v>1461501.59</v>
      </c>
      <c r="D76" s="129">
        <f t="shared" ref="D76:D83" si="2">C76/B76</f>
        <v>0.92993318359399857</v>
      </c>
      <c r="E76" s="126"/>
      <c r="F76" s="135"/>
    </row>
    <row r="77" spans="1:6" ht="12.75" customHeight="1" outlineLevel="1" x14ac:dyDescent="0.25">
      <c r="A77" s="127" t="s">
        <v>496</v>
      </c>
      <c r="B77" s="128">
        <f>'2025.gada budzeta plans_apvieno'!U239</f>
        <v>3828674</v>
      </c>
      <c r="C77" s="128">
        <f>'2025.gada budzeta plans_apvieno'!X239</f>
        <v>3000098.63</v>
      </c>
      <c r="D77" s="129">
        <f t="shared" si="2"/>
        <v>0.78358685800880401</v>
      </c>
      <c r="E77" s="126"/>
      <c r="F77" s="135"/>
    </row>
    <row r="78" spans="1:6" ht="12.75" customHeight="1" outlineLevel="1" x14ac:dyDescent="0.25">
      <c r="A78" s="127" t="s">
        <v>497</v>
      </c>
      <c r="B78" s="128">
        <f>'2025.gada budzeta plans_apvieno'!U243</f>
        <v>2930022</v>
      </c>
      <c r="C78" s="128">
        <f>'2025.gada budzeta plans_apvieno'!X243</f>
        <v>2786353.79</v>
      </c>
      <c r="D78" s="129">
        <f t="shared" si="2"/>
        <v>0.95096684939567011</v>
      </c>
      <c r="E78" s="126"/>
      <c r="F78" s="135"/>
    </row>
    <row r="79" spans="1:6" ht="12.75" customHeight="1" outlineLevel="1" x14ac:dyDescent="0.25">
      <c r="A79" s="127" t="s">
        <v>498</v>
      </c>
      <c r="B79" s="128">
        <f>'2025.gada budzeta plans_apvieno'!U255</f>
        <v>9254101</v>
      </c>
      <c r="C79" s="128">
        <f>'2025.gada budzeta plans_apvieno'!X255</f>
        <v>8472621.2799999993</v>
      </c>
      <c r="D79" s="129">
        <f t="shared" si="2"/>
        <v>0.91555314557297351</v>
      </c>
      <c r="E79" s="126"/>
      <c r="F79" s="135"/>
    </row>
    <row r="80" spans="1:6" ht="12.75" customHeight="1" outlineLevel="1" x14ac:dyDescent="0.25">
      <c r="A80" s="127" t="s">
        <v>499</v>
      </c>
      <c r="B80" s="128">
        <f>'2025.gada budzeta plans_apvieno'!U275</f>
        <v>1863701</v>
      </c>
      <c r="C80" s="128">
        <f>'2025.gada budzeta plans_apvieno'!X275</f>
        <v>1832705.8</v>
      </c>
      <c r="D80" s="129">
        <f t="shared" si="2"/>
        <v>0.9833690060798379</v>
      </c>
      <c r="E80" s="126"/>
      <c r="F80" s="135"/>
    </row>
    <row r="81" spans="1:18" ht="12.75" customHeight="1" outlineLevel="1" x14ac:dyDescent="0.25">
      <c r="A81" s="127" t="s">
        <v>500</v>
      </c>
      <c r="B81" s="128">
        <f>'2025.gada budzeta plans_apvieno'!U278</f>
        <v>845947</v>
      </c>
      <c r="C81" s="128">
        <f>'2025.gada budzeta plans_apvieno'!X278</f>
        <v>802025.02</v>
      </c>
      <c r="D81" s="129">
        <f t="shared" si="2"/>
        <v>0.94807951325555861</v>
      </c>
      <c r="E81" s="126"/>
      <c r="F81" s="135"/>
    </row>
    <row r="82" spans="1:18" ht="12.75" customHeight="1" outlineLevel="1" x14ac:dyDescent="0.25">
      <c r="A82" s="127" t="s">
        <v>501</v>
      </c>
      <c r="B82" s="128">
        <f>'2025.gada budzeta plans_apvieno'!U281+'2025.gada budzeta plans_apvieno'!U282</f>
        <v>693310</v>
      </c>
      <c r="C82" s="128">
        <f>'2025.gada budzeta plans_apvieno'!X281</f>
        <v>530313</v>
      </c>
      <c r="D82" s="129">
        <f t="shared" si="2"/>
        <v>0.76490026106647824</v>
      </c>
      <c r="E82" s="126"/>
      <c r="F82" s="135"/>
    </row>
    <row r="83" spans="1:18" ht="12.75" customHeight="1" outlineLevel="1" x14ac:dyDescent="0.25">
      <c r="A83" s="127" t="s">
        <v>502</v>
      </c>
      <c r="B83" s="128">
        <f>B71-SUM(B72:B82)</f>
        <v>6103543</v>
      </c>
      <c r="C83" s="128">
        <f>C71-SUM(C72:C82)</f>
        <v>1390683.3500000015</v>
      </c>
      <c r="D83" s="129">
        <f t="shared" si="2"/>
        <v>0.22784853813596487</v>
      </c>
      <c r="E83" s="126"/>
      <c r="F83" s="135"/>
    </row>
    <row r="84" spans="1:18" ht="12.75" customHeight="1" x14ac:dyDescent="0.25">
      <c r="A84" s="117" t="s">
        <v>484</v>
      </c>
      <c r="B84" s="125">
        <f>'2025.gada budzeta plans_apvieno'!U296</f>
        <v>3702737</v>
      </c>
      <c r="C84" s="125">
        <f>'2025.gada budzeta plans_apvieno'!X296</f>
        <v>3702737</v>
      </c>
      <c r="D84" s="126">
        <f>C84/B84</f>
        <v>1</v>
      </c>
      <c r="E84" s="126"/>
      <c r="F84" s="135"/>
    </row>
    <row r="85" spans="1:18" x14ac:dyDescent="0.25">
      <c r="B85" s="125"/>
      <c r="C85" s="125"/>
      <c r="E85" s="126"/>
      <c r="F85" s="135"/>
    </row>
    <row r="86" spans="1:18" x14ac:dyDescent="0.25">
      <c r="B86" s="125">
        <f>B55-'2025.gada budzeta plans_apvieno'!U297</f>
        <v>0</v>
      </c>
      <c r="C86" s="117">
        <f>C55-'2025.gada budzeta plans_apvieno'!X297</f>
        <v>0</v>
      </c>
    </row>
    <row r="89" spans="1:18" x14ac:dyDescent="0.25">
      <c r="B89" s="125"/>
      <c r="C89" s="125"/>
    </row>
    <row r="90" spans="1:18" s="137" customFormat="1" outlineLevel="1" x14ac:dyDescent="0.25">
      <c r="A90" s="190" t="s">
        <v>3</v>
      </c>
      <c r="B90" s="128"/>
      <c r="C90" s="128"/>
      <c r="D90" s="129"/>
    </row>
    <row r="91" spans="1:18" s="137" customFormat="1" outlineLevel="1" x14ac:dyDescent="0.25">
      <c r="A91" s="555" t="s">
        <v>865</v>
      </c>
      <c r="B91" s="537"/>
      <c r="C91" s="537"/>
      <c r="D91" s="537"/>
      <c r="E91" s="189"/>
      <c r="F91" s="189"/>
      <c r="G91" s="189"/>
      <c r="H91" s="189"/>
      <c r="I91" s="189"/>
      <c r="J91" s="189"/>
      <c r="K91" s="189"/>
      <c r="L91" s="189"/>
      <c r="M91" s="189"/>
      <c r="N91" s="189"/>
      <c r="O91" s="189"/>
      <c r="P91" s="189"/>
      <c r="Q91" s="189"/>
      <c r="R91" s="189"/>
    </row>
    <row r="92" spans="1:18" s="137" customFormat="1" ht="12.75" customHeight="1" outlineLevel="1" x14ac:dyDescent="0.25">
      <c r="A92" s="131" t="s">
        <v>866</v>
      </c>
      <c r="B92" s="536"/>
      <c r="C92" s="538"/>
      <c r="D92" s="536"/>
      <c r="E92" s="537"/>
      <c r="F92" s="537"/>
      <c r="G92" s="537"/>
      <c r="H92" s="537"/>
      <c r="I92" s="537"/>
      <c r="J92" s="537"/>
      <c r="K92" s="537"/>
      <c r="L92" s="537"/>
      <c r="M92" s="537"/>
      <c r="N92" s="537"/>
      <c r="O92" s="537"/>
      <c r="P92" s="537"/>
      <c r="Q92" s="537"/>
      <c r="R92" s="537"/>
    </row>
    <row r="93" spans="1:18" s="127" customFormat="1" outlineLevel="1" x14ac:dyDescent="0.25">
      <c r="A93" s="131" t="s">
        <v>867</v>
      </c>
      <c r="B93" s="536"/>
      <c r="C93" s="538"/>
      <c r="D93" s="536"/>
      <c r="E93" s="536"/>
      <c r="F93" s="536"/>
      <c r="G93" s="536"/>
      <c r="H93" s="536"/>
      <c r="I93" s="536"/>
      <c r="J93" s="536"/>
      <c r="K93" s="536"/>
      <c r="L93" s="536"/>
      <c r="M93" s="536"/>
      <c r="N93" s="536"/>
      <c r="O93" s="536"/>
      <c r="P93" s="536"/>
      <c r="Q93" s="536"/>
      <c r="R93" s="536"/>
    </row>
    <row r="94" spans="1:18" s="127" customFormat="1" outlineLevel="1" x14ac:dyDescent="0.25">
      <c r="A94" s="131" t="s">
        <v>551</v>
      </c>
      <c r="B94" s="536"/>
      <c r="C94" s="538"/>
      <c r="D94" s="536"/>
      <c r="E94" s="536"/>
      <c r="F94" s="536"/>
      <c r="G94" s="536"/>
      <c r="H94" s="536"/>
      <c r="I94" s="536"/>
      <c r="J94" s="536"/>
      <c r="K94" s="536"/>
      <c r="L94" s="536"/>
      <c r="M94" s="536"/>
      <c r="N94" s="536"/>
      <c r="O94" s="536"/>
      <c r="P94" s="536"/>
      <c r="Q94" s="536"/>
      <c r="R94" s="536"/>
    </row>
    <row r="95" spans="1:18" s="127" customFormat="1" outlineLevel="1" x14ac:dyDescent="0.25">
      <c r="A95" s="362" t="s">
        <v>868</v>
      </c>
      <c r="B95" s="189"/>
      <c r="C95" s="539"/>
      <c r="D95" s="189"/>
      <c r="E95" s="536"/>
      <c r="F95" s="536"/>
      <c r="G95" s="536"/>
      <c r="H95" s="536"/>
      <c r="I95" s="536"/>
      <c r="J95" s="536"/>
      <c r="K95" s="536"/>
      <c r="L95" s="536"/>
      <c r="M95" s="536"/>
      <c r="N95" s="536"/>
      <c r="O95" s="536"/>
      <c r="P95" s="536"/>
      <c r="Q95" s="536"/>
      <c r="R95" s="536"/>
    </row>
    <row r="96" spans="1:18" s="137" customFormat="1" outlineLevel="1" x14ac:dyDescent="0.25">
      <c r="A96" s="362" t="s">
        <v>869</v>
      </c>
      <c r="B96" s="189"/>
      <c r="C96" s="539"/>
      <c r="D96" s="189"/>
      <c r="E96" s="189"/>
      <c r="F96" s="189"/>
      <c r="G96" s="189"/>
      <c r="H96" s="189"/>
      <c r="I96" s="189"/>
      <c r="J96" s="189"/>
      <c r="K96" s="189"/>
      <c r="L96" s="189"/>
      <c r="M96" s="189"/>
      <c r="N96" s="189"/>
      <c r="O96" s="189"/>
      <c r="P96" s="189"/>
      <c r="Q96" s="189"/>
      <c r="R96" s="189"/>
    </row>
    <row r="97" spans="1:18" s="137" customFormat="1" outlineLevel="1" x14ac:dyDescent="0.25">
      <c r="A97" s="362" t="s">
        <v>708</v>
      </c>
      <c r="B97" s="189"/>
      <c r="C97" s="539"/>
      <c r="D97" s="189"/>
      <c r="E97" s="189"/>
      <c r="F97" s="189"/>
      <c r="G97" s="189"/>
      <c r="H97" s="189"/>
      <c r="I97" s="189"/>
      <c r="J97" s="189"/>
      <c r="K97" s="189"/>
      <c r="L97" s="189"/>
      <c r="M97" s="189"/>
      <c r="N97" s="189"/>
      <c r="O97" s="189"/>
      <c r="P97" s="189"/>
      <c r="Q97" s="189"/>
      <c r="R97" s="189"/>
    </row>
    <row r="98" spans="1:18" s="137" customFormat="1" ht="15" customHeight="1" outlineLevel="1" x14ac:dyDescent="0.25">
      <c r="A98" s="362" t="s">
        <v>709</v>
      </c>
      <c r="B98" s="189"/>
      <c r="C98" s="539"/>
      <c r="D98" s="189"/>
      <c r="E98" s="189"/>
      <c r="F98" s="189"/>
      <c r="G98" s="189"/>
      <c r="H98" s="189"/>
      <c r="I98" s="189"/>
      <c r="J98" s="189"/>
      <c r="K98" s="189"/>
      <c r="L98" s="189"/>
      <c r="M98" s="189"/>
      <c r="N98" s="189"/>
      <c r="O98" s="189"/>
      <c r="P98" s="189"/>
      <c r="Q98" s="189"/>
      <c r="R98" s="189"/>
    </row>
    <row r="99" spans="1:18" s="137" customFormat="1" outlineLevel="1" x14ac:dyDescent="0.25">
      <c r="A99" s="362" t="s">
        <v>870</v>
      </c>
      <c r="B99" s="189"/>
      <c r="C99" s="539"/>
      <c r="D99" s="189"/>
      <c r="E99" s="189"/>
      <c r="F99" s="189"/>
      <c r="G99" s="189"/>
      <c r="H99" s="189"/>
      <c r="I99" s="189"/>
      <c r="J99" s="189"/>
      <c r="K99" s="189"/>
      <c r="L99" s="189"/>
      <c r="M99" s="189"/>
      <c r="N99" s="189"/>
      <c r="O99" s="189"/>
      <c r="P99" s="189"/>
      <c r="Q99" s="189"/>
      <c r="R99" s="189"/>
    </row>
    <row r="100" spans="1:18" s="137" customFormat="1" ht="15" customHeight="1" outlineLevel="1" x14ac:dyDescent="0.25">
      <c r="A100" s="590" t="s">
        <v>871</v>
      </c>
      <c r="B100" s="590"/>
      <c r="C100" s="590"/>
      <c r="D100" s="590"/>
      <c r="E100" s="590"/>
      <c r="F100" s="590"/>
      <c r="G100" s="590"/>
      <c r="H100" s="590"/>
      <c r="I100" s="590"/>
      <c r="J100" s="590"/>
      <c r="K100" s="590"/>
      <c r="L100" s="590"/>
      <c r="M100" s="590"/>
      <c r="N100" s="590"/>
      <c r="O100" s="590"/>
      <c r="P100" s="590"/>
      <c r="Q100" s="590"/>
      <c r="R100" s="590"/>
    </row>
    <row r="101" spans="1:18" s="137" customFormat="1" ht="12" customHeight="1" outlineLevel="1" x14ac:dyDescent="0.25">
      <c r="A101" s="131" t="s">
        <v>872</v>
      </c>
      <c r="B101" s="189"/>
      <c r="C101" s="189"/>
      <c r="D101" s="189"/>
      <c r="E101" s="540"/>
      <c r="F101" s="540"/>
      <c r="G101" s="540"/>
      <c r="H101" s="540"/>
      <c r="I101" s="540"/>
      <c r="J101" s="540"/>
      <c r="K101" s="540"/>
      <c r="L101" s="540"/>
      <c r="M101" s="540"/>
      <c r="N101" s="540"/>
      <c r="O101" s="540"/>
      <c r="P101" s="540"/>
      <c r="Q101" s="540"/>
      <c r="R101" s="540"/>
    </row>
    <row r="102" spans="1:18" s="137" customFormat="1" outlineLevel="1" x14ac:dyDescent="0.25">
      <c r="A102" s="131" t="s">
        <v>754</v>
      </c>
      <c r="B102" s="189"/>
      <c r="C102" s="189"/>
      <c r="D102" s="189"/>
      <c r="E102" s="189"/>
      <c r="F102" s="189"/>
      <c r="G102" s="189"/>
      <c r="H102" s="189"/>
      <c r="I102" s="189"/>
      <c r="J102" s="189"/>
      <c r="K102" s="189"/>
      <c r="L102" s="189"/>
      <c r="M102" s="189"/>
      <c r="N102" s="189"/>
      <c r="O102" s="189"/>
      <c r="P102" s="189"/>
      <c r="Q102" s="189"/>
      <c r="R102" s="189"/>
    </row>
    <row r="103" spans="1:18" s="137" customFormat="1" outlineLevel="1" x14ac:dyDescent="0.25">
      <c r="A103" s="131" t="s">
        <v>873</v>
      </c>
      <c r="B103" s="189"/>
      <c r="C103" s="189"/>
      <c r="D103" s="189"/>
      <c r="E103" s="189"/>
      <c r="F103" s="189"/>
      <c r="G103" s="189"/>
      <c r="H103" s="189"/>
      <c r="I103" s="189"/>
      <c r="J103" s="189"/>
      <c r="K103" s="189"/>
      <c r="L103" s="189"/>
      <c r="M103" s="189"/>
      <c r="N103" s="189"/>
      <c r="O103" s="189"/>
      <c r="P103" s="189"/>
      <c r="Q103" s="189"/>
      <c r="R103" s="189"/>
    </row>
    <row r="104" spans="1:18" s="137" customFormat="1" ht="30" customHeight="1" outlineLevel="1" x14ac:dyDescent="0.25">
      <c r="A104" s="591" t="s">
        <v>874</v>
      </c>
      <c r="B104" s="591"/>
      <c r="C104" s="591"/>
      <c r="D104" s="591"/>
      <c r="E104" s="591"/>
      <c r="F104" s="591"/>
      <c r="G104" s="591"/>
      <c r="H104" s="591"/>
      <c r="I104" s="591"/>
      <c r="J104" s="591"/>
      <c r="K104" s="591"/>
      <c r="L104" s="591"/>
      <c r="M104" s="591"/>
      <c r="N104" s="591"/>
      <c r="O104" s="591"/>
      <c r="P104" s="591"/>
      <c r="Q104" s="591"/>
      <c r="R104" s="591"/>
    </row>
    <row r="105" spans="1:18" s="137" customFormat="1" ht="15" customHeight="1" outlineLevel="1" x14ac:dyDescent="0.25">
      <c r="A105" s="554" t="s">
        <v>875</v>
      </c>
      <c r="B105" s="542"/>
      <c r="C105" s="542"/>
      <c r="D105" s="542"/>
      <c r="E105" s="541"/>
      <c r="F105" s="541"/>
      <c r="G105" s="541"/>
      <c r="H105" s="541"/>
      <c r="I105" s="541"/>
      <c r="J105" s="541"/>
      <c r="K105" s="541"/>
      <c r="L105" s="541"/>
      <c r="M105" s="189"/>
      <c r="N105" s="189"/>
      <c r="O105" s="189"/>
      <c r="P105" s="189"/>
      <c r="Q105" s="189"/>
      <c r="R105" s="189"/>
    </row>
    <row r="106" spans="1:18" s="137" customFormat="1" ht="13.5" customHeight="1" outlineLevel="1" x14ac:dyDescent="0.25">
      <c r="A106" s="591" t="s">
        <v>876</v>
      </c>
      <c r="B106" s="591"/>
      <c r="C106" s="591"/>
      <c r="D106" s="591"/>
      <c r="E106" s="591"/>
      <c r="F106" s="591"/>
      <c r="G106" s="591"/>
      <c r="H106" s="591"/>
      <c r="I106" s="591"/>
      <c r="J106" s="591"/>
      <c r="K106" s="591"/>
      <c r="L106" s="591"/>
      <c r="M106" s="591"/>
      <c r="N106" s="591"/>
      <c r="O106" s="591"/>
      <c r="P106" s="591"/>
      <c r="Q106" s="591"/>
      <c r="R106" s="189"/>
    </row>
    <row r="107" spans="1:18" s="137" customFormat="1" outlineLevel="1" x14ac:dyDescent="0.25">
      <c r="A107" s="554" t="s">
        <v>877</v>
      </c>
      <c r="B107" s="541"/>
      <c r="C107" s="541"/>
      <c r="D107" s="541"/>
      <c r="E107" s="189"/>
      <c r="F107" s="189"/>
      <c r="G107" s="189"/>
      <c r="H107" s="189"/>
      <c r="I107" s="189"/>
      <c r="J107" s="189"/>
      <c r="K107" s="189"/>
      <c r="L107" s="189"/>
      <c r="M107" s="189"/>
      <c r="N107" s="189"/>
      <c r="O107" s="189"/>
      <c r="P107" s="189"/>
      <c r="Q107" s="189"/>
      <c r="R107" s="189"/>
    </row>
    <row r="108" spans="1:18" s="127" customFormat="1" ht="12.75" customHeight="1" outlineLevel="1" x14ac:dyDescent="0.25">
      <c r="A108" s="131" t="s">
        <v>878</v>
      </c>
      <c r="B108" s="189"/>
      <c r="C108" s="189"/>
      <c r="D108" s="189"/>
      <c r="E108" s="541"/>
      <c r="F108" s="541"/>
      <c r="G108" s="541"/>
      <c r="H108" s="541"/>
      <c r="I108" s="541"/>
      <c r="J108" s="541"/>
      <c r="K108" s="541"/>
      <c r="L108" s="541"/>
      <c r="M108" s="189"/>
      <c r="N108" s="189"/>
      <c r="O108" s="189"/>
      <c r="P108" s="189"/>
      <c r="Q108" s="189"/>
      <c r="R108" s="189"/>
    </row>
    <row r="109" spans="1:18" s="127" customFormat="1" outlineLevel="1" x14ac:dyDescent="0.25">
      <c r="A109" s="131" t="s">
        <v>879</v>
      </c>
      <c r="B109" s="189"/>
      <c r="C109" s="189"/>
      <c r="D109" s="189"/>
      <c r="E109" s="189"/>
      <c r="F109" s="189"/>
      <c r="G109" s="189"/>
      <c r="H109" s="189"/>
      <c r="I109" s="189"/>
      <c r="J109" s="189"/>
      <c r="K109" s="189"/>
      <c r="L109" s="189"/>
      <c r="M109" s="189"/>
      <c r="N109" s="189"/>
      <c r="O109" s="189"/>
      <c r="P109" s="189"/>
      <c r="Q109" s="189"/>
      <c r="R109" s="189"/>
    </row>
    <row r="110" spans="1:18" s="127" customFormat="1" outlineLevel="1" x14ac:dyDescent="0.25">
      <c r="A110" s="131" t="s">
        <v>880</v>
      </c>
      <c r="B110" s="189"/>
      <c r="C110" s="189"/>
      <c r="D110" s="189"/>
      <c r="E110" s="189"/>
      <c r="F110" s="189"/>
      <c r="G110" s="189"/>
      <c r="H110" s="189"/>
      <c r="I110" s="189"/>
      <c r="J110" s="189"/>
      <c r="K110" s="189"/>
      <c r="L110" s="189"/>
      <c r="M110" s="189"/>
      <c r="N110" s="189"/>
      <c r="O110" s="189"/>
      <c r="P110" s="189"/>
      <c r="Q110" s="189"/>
      <c r="R110" s="189"/>
    </row>
    <row r="111" spans="1:18" s="127" customFormat="1" outlineLevel="1" x14ac:dyDescent="0.25">
      <c r="A111" s="131" t="s">
        <v>881</v>
      </c>
      <c r="B111" s="536"/>
      <c r="C111" s="536"/>
      <c r="D111" s="536"/>
      <c r="E111" s="189"/>
      <c r="F111" s="189"/>
      <c r="G111" s="189"/>
      <c r="H111" s="189"/>
      <c r="I111" s="189"/>
      <c r="J111" s="189"/>
      <c r="K111" s="189"/>
      <c r="L111" s="189"/>
      <c r="M111" s="189"/>
      <c r="N111" s="189"/>
      <c r="O111" s="189"/>
      <c r="P111" s="189"/>
      <c r="Q111" s="189"/>
      <c r="R111" s="189"/>
    </row>
    <row r="112" spans="1:18" s="127" customFormat="1" outlineLevel="1" x14ac:dyDescent="0.25">
      <c r="A112" s="131" t="s">
        <v>882</v>
      </c>
      <c r="B112" s="536"/>
      <c r="C112" s="536"/>
      <c r="D112" s="536"/>
      <c r="E112" s="189"/>
      <c r="F112" s="189"/>
      <c r="G112" s="189"/>
      <c r="H112" s="189"/>
      <c r="I112" s="189"/>
      <c r="J112" s="189"/>
      <c r="K112" s="189"/>
      <c r="L112" s="189"/>
      <c r="M112" s="189"/>
      <c r="N112" s="189"/>
      <c r="O112" s="189"/>
      <c r="P112" s="189"/>
      <c r="Q112" s="189"/>
      <c r="R112" s="189"/>
    </row>
    <row r="113" spans="1:18" s="137" customFormat="1" outlineLevel="1" x14ac:dyDescent="0.25">
      <c r="A113" s="131" t="s">
        <v>883</v>
      </c>
      <c r="B113" s="536"/>
      <c r="C113" s="536"/>
      <c r="D113" s="536"/>
      <c r="E113" s="536"/>
      <c r="F113" s="536"/>
      <c r="G113" s="536"/>
      <c r="H113" s="536"/>
      <c r="I113" s="536"/>
      <c r="J113" s="536"/>
      <c r="K113" s="536"/>
      <c r="L113" s="536"/>
      <c r="M113" s="536"/>
      <c r="N113" s="536"/>
      <c r="O113" s="536"/>
      <c r="P113" s="536"/>
      <c r="Q113" s="536"/>
      <c r="R113" s="536"/>
    </row>
    <row r="114" spans="1:18" s="137" customFormat="1" outlineLevel="1" x14ac:dyDescent="0.25">
      <c r="A114" s="131" t="s">
        <v>884</v>
      </c>
      <c r="B114" s="536"/>
      <c r="C114" s="536"/>
      <c r="D114" s="536"/>
      <c r="E114" s="536"/>
      <c r="F114" s="536"/>
      <c r="G114" s="536"/>
      <c r="H114" s="536"/>
      <c r="I114" s="536"/>
      <c r="J114" s="536"/>
      <c r="K114" s="536"/>
      <c r="L114" s="536"/>
      <c r="M114" s="536"/>
      <c r="N114" s="536"/>
      <c r="O114" s="536"/>
      <c r="P114" s="536"/>
      <c r="Q114" s="536"/>
      <c r="R114" s="536"/>
    </row>
    <row r="115" spans="1:18" s="137" customFormat="1" outlineLevel="1" x14ac:dyDescent="0.25">
      <c r="A115" s="554" t="s">
        <v>885</v>
      </c>
      <c r="B115" s="541"/>
      <c r="C115" s="541"/>
      <c r="D115" s="541"/>
      <c r="E115" s="536"/>
      <c r="F115" s="536"/>
      <c r="G115" s="536"/>
      <c r="H115" s="536"/>
      <c r="I115" s="536"/>
      <c r="J115" s="536"/>
      <c r="K115" s="536"/>
      <c r="L115" s="536"/>
      <c r="M115" s="536"/>
      <c r="N115" s="536"/>
      <c r="O115" s="536"/>
      <c r="P115" s="536"/>
      <c r="Q115" s="536"/>
      <c r="R115" s="536"/>
    </row>
    <row r="116" spans="1:18" s="137" customFormat="1" ht="12.75" customHeight="1" outlineLevel="1" x14ac:dyDescent="0.25">
      <c r="A116" s="362" t="s">
        <v>710</v>
      </c>
      <c r="B116" s="189"/>
      <c r="C116" s="189"/>
      <c r="D116" s="189"/>
      <c r="E116" s="541"/>
      <c r="F116" s="541"/>
      <c r="G116" s="541"/>
      <c r="H116" s="541"/>
      <c r="I116" s="541"/>
      <c r="J116" s="541"/>
      <c r="K116" s="541"/>
      <c r="L116" s="541"/>
      <c r="M116" s="536"/>
      <c r="N116" s="536"/>
      <c r="O116" s="536"/>
      <c r="P116" s="536"/>
      <c r="Q116" s="536"/>
      <c r="R116" s="536"/>
    </row>
    <row r="117" spans="1:18" s="137" customFormat="1" outlineLevel="1" x14ac:dyDescent="0.25">
      <c r="E117" s="189"/>
      <c r="F117" s="189"/>
      <c r="G117" s="189"/>
      <c r="H117" s="189"/>
      <c r="I117" s="189"/>
      <c r="J117" s="189"/>
      <c r="K117" s="189"/>
      <c r="L117" s="189"/>
      <c r="M117" s="189"/>
      <c r="N117" s="189"/>
      <c r="O117" s="189"/>
      <c r="P117" s="189"/>
      <c r="Q117" s="189"/>
      <c r="R117" s="189"/>
    </row>
    <row r="118" spans="1:18" s="137" customFormat="1" outlineLevel="1" x14ac:dyDescent="0.25">
      <c r="E118" s="189"/>
      <c r="F118" s="189"/>
      <c r="G118" s="189"/>
      <c r="H118" s="189"/>
      <c r="I118" s="189"/>
      <c r="J118" s="189"/>
      <c r="K118" s="189"/>
      <c r="L118" s="189"/>
      <c r="M118" s="189"/>
      <c r="N118" s="189"/>
      <c r="O118" s="189"/>
      <c r="P118" s="189"/>
      <c r="Q118" s="189"/>
      <c r="R118" s="189"/>
    </row>
  </sheetData>
  <mergeCells count="3">
    <mergeCell ref="A100:R100"/>
    <mergeCell ref="A104:R104"/>
    <mergeCell ref="A106:Q106"/>
  </mergeCells>
  <conditionalFormatting sqref="B26:C26">
    <cfRule type="expression" dxfId="1" priority="2">
      <formula>$B$26=0</formula>
    </cfRule>
  </conditionalFormatting>
  <conditionalFormatting sqref="B86:C86">
    <cfRule type="expression" dxfId="0" priority="1">
      <formula>$B$86=0</formula>
    </cfRule>
  </conditionalFormatting>
  <pageMargins left="0.7" right="0.7" top="0.75" bottom="0.75" header="0.3" footer="0.3"/>
  <pageSetup paperSize="9" scale="37"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2</vt:i4>
      </vt:variant>
      <vt:variant>
        <vt:lpstr>Diapazoni ar nosaukumiem</vt:lpstr>
      </vt:variant>
      <vt:variant>
        <vt:i4>2</vt:i4>
      </vt:variant>
    </vt:vector>
  </HeadingPairs>
  <TitlesOfParts>
    <vt:vector size="4" baseType="lpstr">
      <vt:lpstr>2025.gada budzeta plans_apvieno</vt:lpstr>
      <vt:lpstr>Grafiki_budžeta_izpilde</vt:lpstr>
      <vt:lpstr>'2025.gada budzeta plans_apvieno'!Drukas_apgabals</vt:lpstr>
      <vt:lpstr>'2025.gada budzeta plans_apvieno'!Drukāt_virsrakstus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Sintija Tenisa</cp:lastModifiedBy>
  <cp:lastPrinted>2025-01-15T14:12:04Z</cp:lastPrinted>
  <dcterms:created xsi:type="dcterms:W3CDTF">2015-07-17T07:55:13Z</dcterms:created>
  <dcterms:modified xsi:type="dcterms:W3CDTF">2026-02-01T12:35:26Z</dcterms:modified>
</cp:coreProperties>
</file>