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7F0C2F67-D60F-4A76-931D-C5F6014A0208}" xr6:coauthVersionLast="47" xr6:coauthVersionMax="47" xr10:uidLastSave="{00000000-0000-0000-0000-000000000000}"/>
  <bookViews>
    <workbookView xWindow="-120" yWindow="-120" windowWidth="29040" windowHeight="15720" xr2:uid="{E795BF51-384E-44F9-BE64-3E04AA740747}"/>
  </bookViews>
  <sheets>
    <sheet name="2025.gada budzeta plans_apvieno" sheetId="4" r:id="rId1"/>
    <sheet name="Līgumu saraksts_28082025" sheetId="2" r:id="rId2"/>
  </sheets>
  <externalReferences>
    <externalReference r:id="rId3"/>
  </externalReferences>
  <definedNames>
    <definedName name="_0812">#REF!</definedName>
    <definedName name="_xlnm._FilterDatabase" localSheetId="0" hidden="1">'2025.gada budzeta plans_apvieno'!#REF!</definedName>
    <definedName name="_xlnm._FilterDatabase" localSheetId="1" hidden="1">'Līgumu saraksts_28082025'!$A$3:$AY$144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plans_apvieno'!$A$1:$Q$291</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0" i="4" l="1"/>
  <c r="O65" i="4"/>
  <c r="P65" i="4" s="1"/>
  <c r="G289" i="4"/>
  <c r="I289" i="4"/>
  <c r="P287" i="4"/>
  <c r="M287" i="4"/>
  <c r="J287" i="4"/>
  <c r="G287" i="4"/>
  <c r="P286" i="4"/>
  <c r="M286" i="4"/>
  <c r="J286" i="4"/>
  <c r="G286" i="4"/>
  <c r="O285" i="4"/>
  <c r="L285" i="4"/>
  <c r="I285" i="4"/>
  <c r="J285" i="4" s="1"/>
  <c r="G285" i="4"/>
  <c r="G282" i="4"/>
  <c r="G283" i="4"/>
  <c r="I283" i="4" s="1"/>
  <c r="J283" i="4" s="1"/>
  <c r="L283" i="4" s="1"/>
  <c r="I281" i="4"/>
  <c r="J281" i="4" s="1"/>
  <c r="G281" i="4"/>
  <c r="I280" i="4"/>
  <c r="L280" i="4" s="1"/>
  <c r="G280" i="4"/>
  <c r="I279" i="4"/>
  <c r="G279" i="4"/>
  <c r="G277" i="4"/>
  <c r="I277" i="4"/>
  <c r="G276" i="4"/>
  <c r="I276" i="4"/>
  <c r="G273" i="4"/>
  <c r="I273" i="4"/>
  <c r="G272" i="4"/>
  <c r="I272" i="4"/>
  <c r="G271" i="4"/>
  <c r="I270" i="4"/>
  <c r="L270" i="4" s="1"/>
  <c r="G270" i="4"/>
  <c r="I269" i="4"/>
  <c r="L269" i="4" s="1"/>
  <c r="G269" i="4"/>
  <c r="G268" i="4"/>
  <c r="I267" i="4"/>
  <c r="I266" i="4"/>
  <c r="G266" i="4"/>
  <c r="I263" i="4"/>
  <c r="J263" i="4" s="1"/>
  <c r="I262" i="4"/>
  <c r="I261" i="4"/>
  <c r="L261" i="4" s="1"/>
  <c r="G261" i="4"/>
  <c r="I260" i="4"/>
  <c r="L260" i="4" s="1"/>
  <c r="G260" i="4"/>
  <c r="G258" i="4"/>
  <c r="I258" i="4"/>
  <c r="I257" i="4"/>
  <c r="G257" i="4"/>
  <c r="I256" i="4"/>
  <c r="L256" i="4" s="1"/>
  <c r="G256" i="4"/>
  <c r="I255" i="4"/>
  <c r="J255" i="4" s="1"/>
  <c r="G255" i="4"/>
  <c r="I254" i="4"/>
  <c r="L254" i="4" s="1"/>
  <c r="G254" i="4"/>
  <c r="I253" i="4"/>
  <c r="L253" i="4" s="1"/>
  <c r="G253" i="4"/>
  <c r="I252" i="4"/>
  <c r="J252" i="4" s="1"/>
  <c r="G252" i="4"/>
  <c r="I249" i="4"/>
  <c r="L249" i="4" s="1"/>
  <c r="I248" i="4"/>
  <c r="G248" i="4"/>
  <c r="G247" i="4"/>
  <c r="I247" i="4"/>
  <c r="J247" i="4" s="1"/>
  <c r="I246" i="4"/>
  <c r="L246" i="4" s="1"/>
  <c r="G246" i="4"/>
  <c r="I243" i="4"/>
  <c r="L243" i="4" s="1"/>
  <c r="O243" i="4" s="1"/>
  <c r="P243" i="4" s="1"/>
  <c r="G243" i="4"/>
  <c r="G242" i="4"/>
  <c r="I242" i="4"/>
  <c r="J242" i="4" s="1"/>
  <c r="I241" i="4"/>
  <c r="L241" i="4" s="1"/>
  <c r="G241" i="4"/>
  <c r="I238" i="4"/>
  <c r="L238" i="4" s="1"/>
  <c r="G238" i="4"/>
  <c r="I237" i="4"/>
  <c r="L237" i="4" s="1"/>
  <c r="G237" i="4"/>
  <c r="I236" i="4"/>
  <c r="G236" i="4"/>
  <c r="G235" i="4"/>
  <c r="I234" i="4"/>
  <c r="I233" i="4"/>
  <c r="G230" i="4"/>
  <c r="I230" i="4"/>
  <c r="J230" i="4" s="1"/>
  <c r="I229" i="4"/>
  <c r="L229" i="4" s="1"/>
  <c r="G229" i="4"/>
  <c r="I228" i="4"/>
  <c r="L228" i="4" s="1"/>
  <c r="G228" i="4"/>
  <c r="G226" i="4"/>
  <c r="I226" i="4"/>
  <c r="I225" i="4"/>
  <c r="G225" i="4"/>
  <c r="I224" i="4"/>
  <c r="G224" i="4"/>
  <c r="G223" i="4"/>
  <c r="I222" i="4"/>
  <c r="J222" i="4" s="1"/>
  <c r="G222" i="4"/>
  <c r="G221" i="4"/>
  <c r="I221" i="4"/>
  <c r="I220" i="4"/>
  <c r="G219" i="4"/>
  <c r="I215" i="4"/>
  <c r="I214" i="4"/>
  <c r="G214" i="4"/>
  <c r="I213" i="4"/>
  <c r="L213" i="4" s="1"/>
  <c r="G213" i="4"/>
  <c r="I212" i="4"/>
  <c r="G212" i="4"/>
  <c r="I211" i="4"/>
  <c r="G207" i="4"/>
  <c r="I209" i="4"/>
  <c r="L209" i="4" s="1"/>
  <c r="G209" i="4"/>
  <c r="I208" i="4"/>
  <c r="L208" i="4" s="1"/>
  <c r="G208" i="4"/>
  <c r="I206" i="4"/>
  <c r="L206" i="4" s="1"/>
  <c r="G206" i="4"/>
  <c r="I203" i="4"/>
  <c r="G203" i="4"/>
  <c r="I202" i="4"/>
  <c r="G202" i="4"/>
  <c r="G201" i="4"/>
  <c r="I201" i="4"/>
  <c r="I200" i="4"/>
  <c r="L200" i="4" s="1"/>
  <c r="M200" i="4" s="1"/>
  <c r="G200" i="4"/>
  <c r="G199" i="4"/>
  <c r="I199" i="4"/>
  <c r="G195" i="4"/>
  <c r="I195" i="4"/>
  <c r="I194" i="4"/>
  <c r="I193" i="4"/>
  <c r="G193" i="4"/>
  <c r="G192" i="4"/>
  <c r="I191" i="4"/>
  <c r="L191" i="4" s="1"/>
  <c r="M191" i="4" s="1"/>
  <c r="G191" i="4"/>
  <c r="I190" i="4"/>
  <c r="L190" i="4" s="1"/>
  <c r="G190" i="4"/>
  <c r="P189" i="4"/>
  <c r="M189" i="4"/>
  <c r="J189" i="4"/>
  <c r="G189" i="4"/>
  <c r="P188" i="4"/>
  <c r="M188" i="4"/>
  <c r="J188" i="4"/>
  <c r="I187" i="4"/>
  <c r="L187" i="4" s="1"/>
  <c r="M187" i="4" s="1"/>
  <c r="I186" i="4"/>
  <c r="G185" i="4"/>
  <c r="I185" i="4"/>
  <c r="I184" i="4"/>
  <c r="Q183" i="4"/>
  <c r="N183" i="4"/>
  <c r="K183" i="4"/>
  <c r="H183" i="4"/>
  <c r="G183" i="4"/>
  <c r="G181" i="4"/>
  <c r="I181" i="4" s="1"/>
  <c r="J181" i="4" s="1"/>
  <c r="L181" i="4" s="1"/>
  <c r="G180" i="4"/>
  <c r="I180" i="4" s="1"/>
  <c r="J180" i="4" s="1"/>
  <c r="L180" i="4" s="1"/>
  <c r="M180" i="4" s="1"/>
  <c r="O180" i="4" s="1"/>
  <c r="P180" i="4" s="1"/>
  <c r="G179" i="4"/>
  <c r="I179" i="4" s="1"/>
  <c r="J179" i="4" s="1"/>
  <c r="L179" i="4" s="1"/>
  <c r="G178" i="4"/>
  <c r="I178" i="4" s="1"/>
  <c r="J178" i="4" s="1"/>
  <c r="L178" i="4" s="1"/>
  <c r="G177" i="4"/>
  <c r="I177" i="4" s="1"/>
  <c r="J177" i="4" s="1"/>
  <c r="L177" i="4" s="1"/>
  <c r="M177" i="4" s="1"/>
  <c r="O177" i="4" s="1"/>
  <c r="P177" i="4" s="1"/>
  <c r="G175" i="4"/>
  <c r="I175" i="4" s="1"/>
  <c r="J175" i="4" s="1"/>
  <c r="L175" i="4" s="1"/>
  <c r="I174" i="4"/>
  <c r="L174" i="4" s="1"/>
  <c r="G174" i="4"/>
  <c r="I173" i="4"/>
  <c r="L173" i="4" s="1"/>
  <c r="G173" i="4"/>
  <c r="I172" i="4"/>
  <c r="L172" i="4" s="1"/>
  <c r="G172" i="4"/>
  <c r="G171" i="4"/>
  <c r="I171" i="4"/>
  <c r="L171" i="4" s="1"/>
  <c r="M171" i="4" s="1"/>
  <c r="I170" i="4"/>
  <c r="J170" i="4" s="1"/>
  <c r="G170" i="4"/>
  <c r="I169" i="4"/>
  <c r="J169" i="4" s="1"/>
  <c r="G169" i="4"/>
  <c r="G168" i="4"/>
  <c r="I167" i="4"/>
  <c r="G167" i="4"/>
  <c r="I166" i="4"/>
  <c r="L166" i="4" s="1"/>
  <c r="G166" i="4"/>
  <c r="I165" i="4"/>
  <c r="L165" i="4" s="1"/>
  <c r="I163" i="4"/>
  <c r="G163" i="4"/>
  <c r="I162" i="4"/>
  <c r="L162" i="4" s="1"/>
  <c r="G162" i="4"/>
  <c r="I161" i="4"/>
  <c r="L161" i="4" s="1"/>
  <c r="M161" i="4" s="1"/>
  <c r="G159" i="4"/>
  <c r="I159" i="4"/>
  <c r="I158" i="4"/>
  <c r="G158" i="4"/>
  <c r="I157" i="4"/>
  <c r="J157" i="4" s="1"/>
  <c r="G157" i="4"/>
  <c r="I156" i="4"/>
  <c r="J156" i="4" s="1"/>
  <c r="G156" i="4"/>
  <c r="I154" i="4"/>
  <c r="J154" i="4" s="1"/>
  <c r="G154" i="4"/>
  <c r="I152" i="4"/>
  <c r="J152" i="4" s="1"/>
  <c r="G152" i="4"/>
  <c r="I151" i="4"/>
  <c r="J151" i="4" s="1"/>
  <c r="G151" i="4"/>
  <c r="I149" i="4"/>
  <c r="G149" i="4"/>
  <c r="I148" i="4"/>
  <c r="G148" i="4"/>
  <c r="I147" i="4"/>
  <c r="G147" i="4"/>
  <c r="I146" i="4"/>
  <c r="G146" i="4"/>
  <c r="I144" i="4"/>
  <c r="I143" i="4" s="1"/>
  <c r="J143" i="4" s="1"/>
  <c r="G143" i="4"/>
  <c r="I142" i="4"/>
  <c r="G142" i="4"/>
  <c r="I141" i="4"/>
  <c r="G141" i="4"/>
  <c r="I140" i="4"/>
  <c r="L140" i="4" s="1"/>
  <c r="G140" i="4"/>
  <c r="G139" i="4"/>
  <c r="G138" i="4"/>
  <c r="G135" i="4"/>
  <c r="I135" i="4"/>
  <c r="G134" i="4"/>
  <c r="I134" i="4"/>
  <c r="G133" i="4"/>
  <c r="I133" i="4"/>
  <c r="G132" i="4"/>
  <c r="I132" i="4"/>
  <c r="I131" i="4"/>
  <c r="G131" i="4"/>
  <c r="I130" i="4"/>
  <c r="G130" i="4"/>
  <c r="I129" i="4"/>
  <c r="G129" i="4"/>
  <c r="I128" i="4"/>
  <c r="J128" i="4" s="1"/>
  <c r="P126" i="4"/>
  <c r="O126" i="4"/>
  <c r="M126" i="4"/>
  <c r="L126" i="4"/>
  <c r="J126" i="4"/>
  <c r="I126" i="4"/>
  <c r="I120" i="4"/>
  <c r="L120" i="4" s="1"/>
  <c r="G120" i="4"/>
  <c r="I119" i="4"/>
  <c r="G118" i="4"/>
  <c r="I117" i="4"/>
  <c r="L117" i="4" s="1"/>
  <c r="G117" i="4"/>
  <c r="I116" i="4"/>
  <c r="L116" i="4" s="1"/>
  <c r="G116" i="4"/>
  <c r="I115" i="4"/>
  <c r="J115" i="4" s="1"/>
  <c r="G115" i="4"/>
  <c r="I114" i="4"/>
  <c r="J114" i="4" s="1"/>
  <c r="G114" i="4"/>
  <c r="G113" i="4"/>
  <c r="I113" i="4"/>
  <c r="G110" i="4"/>
  <c r="G111" i="4"/>
  <c r="I111" i="4"/>
  <c r="I109" i="4"/>
  <c r="I108" i="4"/>
  <c r="G107" i="4"/>
  <c r="G105" i="4"/>
  <c r="I104" i="4"/>
  <c r="G101" i="4"/>
  <c r="G100" i="4"/>
  <c r="I97" i="4"/>
  <c r="L97" i="4" s="1"/>
  <c r="O97" i="4" s="1"/>
  <c r="P97" i="4" s="1"/>
  <c r="G97" i="4"/>
  <c r="I96" i="4"/>
  <c r="J96" i="4" s="1"/>
  <c r="G96" i="4"/>
  <c r="I94" i="4"/>
  <c r="L94" i="4" s="1"/>
  <c r="G94" i="4"/>
  <c r="I93" i="4"/>
  <c r="J93" i="4" s="1"/>
  <c r="G93" i="4"/>
  <c r="G92" i="4"/>
  <c r="I90" i="4"/>
  <c r="J90" i="4" s="1"/>
  <c r="G90" i="4"/>
  <c r="I89" i="4"/>
  <c r="J89" i="4" s="1"/>
  <c r="G89" i="4"/>
  <c r="G88" i="4"/>
  <c r="I87" i="4"/>
  <c r="O86" i="4"/>
  <c r="P86" i="4" s="1"/>
  <c r="I85" i="4"/>
  <c r="I84" i="4"/>
  <c r="I83" i="4"/>
  <c r="I82" i="4"/>
  <c r="G78" i="4"/>
  <c r="I77" i="4"/>
  <c r="L77" i="4" s="1"/>
  <c r="O77" i="4" s="1"/>
  <c r="P77" i="4" s="1"/>
  <c r="G77" i="4"/>
  <c r="I76" i="4"/>
  <c r="J76" i="4" s="1"/>
  <c r="G76" i="4"/>
  <c r="G75" i="4"/>
  <c r="I75" i="4"/>
  <c r="L75" i="4" s="1"/>
  <c r="I74" i="4"/>
  <c r="L74" i="4" s="1"/>
  <c r="G74" i="4"/>
  <c r="I73" i="4"/>
  <c r="L73" i="4" s="1"/>
  <c r="G73" i="4"/>
  <c r="I72" i="4"/>
  <c r="I71" i="4"/>
  <c r="I69" i="4"/>
  <c r="I68" i="4"/>
  <c r="J68" i="4" s="1"/>
  <c r="G68" i="4"/>
  <c r="N67" i="4"/>
  <c r="K67" i="4"/>
  <c r="H67" i="4"/>
  <c r="I66" i="4"/>
  <c r="J66" i="4" s="1"/>
  <c r="G66" i="4"/>
  <c r="I64" i="4"/>
  <c r="G63" i="4"/>
  <c r="I63" i="4"/>
  <c r="J63" i="4" s="1"/>
  <c r="I62" i="4"/>
  <c r="J62" i="4" s="1"/>
  <c r="G62" i="4"/>
  <c r="I61" i="4"/>
  <c r="G60" i="4"/>
  <c r="I59" i="4"/>
  <c r="G59" i="4"/>
  <c r="I56" i="4"/>
  <c r="I55" i="4"/>
  <c r="I53" i="4"/>
  <c r="I52" i="4"/>
  <c r="I49" i="4"/>
  <c r="L49" i="4" s="1"/>
  <c r="G49" i="4"/>
  <c r="I48" i="4"/>
  <c r="G47" i="4"/>
  <c r="G46" i="4"/>
  <c r="I46" i="4"/>
  <c r="J46" i="4" s="1"/>
  <c r="G45" i="4"/>
  <c r="I45" i="4"/>
  <c r="L45" i="4" s="1"/>
  <c r="M45" i="4" s="1"/>
  <c r="G44" i="4"/>
  <c r="I44" i="4"/>
  <c r="L44" i="4" s="1"/>
  <c r="I39" i="4"/>
  <c r="G38" i="4"/>
  <c r="I38" i="4"/>
  <c r="I36" i="4"/>
  <c r="L36" i="4" s="1"/>
  <c r="G36" i="4"/>
  <c r="I35" i="4"/>
  <c r="L35" i="4" s="1"/>
  <c r="G35" i="4"/>
  <c r="G34" i="4"/>
  <c r="I33" i="4"/>
  <c r="I30" i="4"/>
  <c r="I29" i="4"/>
  <c r="I28" i="4"/>
  <c r="J28" i="4" s="1"/>
  <c r="G28" i="4"/>
  <c r="G26" i="4"/>
  <c r="I25" i="4"/>
  <c r="I24" i="4"/>
  <c r="I21" i="4"/>
  <c r="L21" i="4" s="1"/>
  <c r="G21" i="4"/>
  <c r="I20" i="4"/>
  <c r="L20" i="4" s="1"/>
  <c r="G20" i="4"/>
  <c r="G19" i="4"/>
  <c r="I18" i="4"/>
  <c r="G18" i="4"/>
  <c r="I15" i="4"/>
  <c r="I14" i="4"/>
  <c r="I12" i="4"/>
  <c r="J12" i="4" s="1"/>
  <c r="G12" i="4"/>
  <c r="I11" i="4"/>
  <c r="L11" i="4" s="1"/>
  <c r="G11" i="4"/>
  <c r="G10" i="4"/>
  <c r="I8" i="4"/>
  <c r="L8" i="4" s="1"/>
  <c r="G8" i="4"/>
  <c r="G6" i="4"/>
  <c r="N155" i="2"/>
  <c r="AM155" i="2" s="1"/>
  <c r="AC154" i="2"/>
  <c r="AB154" i="2"/>
  <c r="AA154" i="2"/>
  <c r="Z154" i="2"/>
  <c r="Y154" i="2"/>
  <c r="X154" i="2"/>
  <c r="W154" i="2"/>
  <c r="V154" i="2"/>
  <c r="U154" i="2"/>
  <c r="T154" i="2"/>
  <c r="N153" i="2"/>
  <c r="AM153" i="2" s="1"/>
  <c r="AM156" i="2" s="1"/>
  <c r="AM162" i="2" s="1"/>
  <c r="AW152" i="2"/>
  <c r="AX152" i="2" s="1"/>
  <c r="AU152" i="2"/>
  <c r="W151" i="2"/>
  <c r="U151" i="2"/>
  <c r="T151" i="2"/>
  <c r="N151" i="2"/>
  <c r="S151" i="2" s="1"/>
  <c r="AW150" i="2"/>
  <c r="AX150" i="2" s="1"/>
  <c r="AU150" i="2"/>
  <c r="AT143" i="2"/>
  <c r="AT161" i="2" s="1"/>
  <c r="AS143" i="2"/>
  <c r="AS161" i="2" s="1"/>
  <c r="AT142" i="2"/>
  <c r="AS142" i="2"/>
  <c r="AR142" i="2"/>
  <c r="AQ142" i="2"/>
  <c r="AQ160" i="2" s="1"/>
  <c r="AP142" i="2"/>
  <c r="AP160" i="2" s="1"/>
  <c r="AO142" i="2"/>
  <c r="AN142" i="2"/>
  <c r="AM142" i="2"/>
  <c r="K142" i="2"/>
  <c r="AW141" i="2"/>
  <c r="AX141" i="2" s="1"/>
  <c r="AV141" i="2"/>
  <c r="J141" i="2"/>
  <c r="AW140" i="2"/>
  <c r="AX140" i="2" s="1"/>
  <c r="AV140" i="2"/>
  <c r="P139" i="2"/>
  <c r="O139" i="2"/>
  <c r="N139" i="2"/>
  <c r="AK139" i="2" s="1"/>
  <c r="AE138" i="2"/>
  <c r="AD138" i="2"/>
  <c r="AC138" i="2"/>
  <c r="AB138" i="2"/>
  <c r="AA138" i="2"/>
  <c r="AA139" i="2" s="1"/>
  <c r="Z138" i="2"/>
  <c r="Y138" i="2"/>
  <c r="X138" i="2"/>
  <c r="W138" i="2"/>
  <c r="V138" i="2"/>
  <c r="U138" i="2"/>
  <c r="T138" i="2"/>
  <c r="S138" i="2"/>
  <c r="AW137" i="2"/>
  <c r="P137" i="2"/>
  <c r="O137" i="2"/>
  <c r="AW136" i="2"/>
  <c r="U136" i="2"/>
  <c r="T136" i="2"/>
  <c r="S136" i="2"/>
  <c r="P135" i="2"/>
  <c r="O135" i="2"/>
  <c r="N135" i="2"/>
  <c r="AB134" i="2"/>
  <c r="AA134" i="2"/>
  <c r="Z134" i="2"/>
  <c r="Y134" i="2"/>
  <c r="X134" i="2"/>
  <c r="W134" i="2"/>
  <c r="V134" i="2"/>
  <c r="U134" i="2"/>
  <c r="T134" i="2"/>
  <c r="S134" i="2"/>
  <c r="P133" i="2"/>
  <c r="N133" i="2" s="1"/>
  <c r="O133" i="2"/>
  <c r="AB132" i="2"/>
  <c r="AA132" i="2"/>
  <c r="Z132" i="2"/>
  <c r="Y132" i="2"/>
  <c r="X132" i="2"/>
  <c r="W132" i="2"/>
  <c r="V132" i="2"/>
  <c r="U132" i="2"/>
  <c r="T132" i="2"/>
  <c r="S132" i="2"/>
  <c r="AW131" i="2"/>
  <c r="P131" i="2"/>
  <c r="O131" i="2"/>
  <c r="AW130" i="2"/>
  <c r="W130" i="2"/>
  <c r="V130" i="2"/>
  <c r="U130" i="2"/>
  <c r="T130" i="2"/>
  <c r="S130" i="2"/>
  <c r="Y129" i="2"/>
  <c r="P129" i="2"/>
  <c r="O129" i="2"/>
  <c r="N129" i="2"/>
  <c r="AB128" i="2"/>
  <c r="AB129" i="2" s="1"/>
  <c r="AA128" i="2"/>
  <c r="Z128" i="2"/>
  <c r="Y128" i="2"/>
  <c r="AW128" i="2" s="1"/>
  <c r="X128" i="2"/>
  <c r="X129" i="2" s="1"/>
  <c r="W128" i="2"/>
  <c r="V128" i="2"/>
  <c r="U128" i="2"/>
  <c r="T128" i="2"/>
  <c r="P127" i="2"/>
  <c r="O127" i="2"/>
  <c r="N127" i="2" s="1"/>
  <c r="AL126" i="2"/>
  <c r="AL142" i="2" s="1"/>
  <c r="AK126" i="2"/>
  <c r="AK142" i="2" s="1"/>
  <c r="AJ126" i="2"/>
  <c r="AJ142" i="2" s="1"/>
  <c r="AI126" i="2"/>
  <c r="AI142" i="2" s="1"/>
  <c r="AH126" i="2"/>
  <c r="AH142" i="2" s="1"/>
  <c r="AG126" i="2"/>
  <c r="AF126" i="2"/>
  <c r="AE126" i="2"/>
  <c r="AD126" i="2"/>
  <c r="AC126" i="2"/>
  <c r="AB126" i="2"/>
  <c r="AA126" i="2"/>
  <c r="Z126" i="2"/>
  <c r="Y126" i="2"/>
  <c r="X126" i="2"/>
  <c r="W126" i="2"/>
  <c r="V126" i="2"/>
  <c r="U126" i="2"/>
  <c r="T126" i="2"/>
  <c r="P125" i="2"/>
  <c r="O125" i="2"/>
  <c r="AG124" i="2"/>
  <c r="AG142" i="2" s="1"/>
  <c r="AF124" i="2"/>
  <c r="AF142" i="2" s="1"/>
  <c r="AE124" i="2"/>
  <c r="AD124" i="2"/>
  <c r="AD142" i="2" s="1"/>
  <c r="AC124" i="2"/>
  <c r="AC142" i="2" s="1"/>
  <c r="AB124" i="2"/>
  <c r="AA124" i="2"/>
  <c r="Z124" i="2"/>
  <c r="Y124" i="2"/>
  <c r="X124" i="2"/>
  <c r="W124" i="2"/>
  <c r="V124" i="2"/>
  <c r="U124" i="2"/>
  <c r="AW123" i="2"/>
  <c r="P123" i="2"/>
  <c r="N123" i="2" s="1"/>
  <c r="O123" i="2"/>
  <c r="AW122" i="2"/>
  <c r="W122" i="2"/>
  <c r="V122" i="2"/>
  <c r="U122" i="2"/>
  <c r="T122" i="2"/>
  <c r="S122" i="2"/>
  <c r="AX122" i="2" s="1"/>
  <c r="AW121" i="2"/>
  <c r="R121" i="2"/>
  <c r="P121" i="2"/>
  <c r="N121" i="2" s="1"/>
  <c r="AW120" i="2"/>
  <c r="V120" i="2"/>
  <c r="U120" i="2"/>
  <c r="T120" i="2"/>
  <c r="S120" i="2"/>
  <c r="R120" i="2"/>
  <c r="AX120" i="2" s="1"/>
  <c r="P119" i="2"/>
  <c r="N119" i="2" s="1"/>
  <c r="Z118" i="2"/>
  <c r="Z119" i="2" s="1"/>
  <c r="Y118" i="2"/>
  <c r="AW118" i="2" s="1"/>
  <c r="X118" i="2"/>
  <c r="W118" i="2"/>
  <c r="V118" i="2"/>
  <c r="U118" i="2"/>
  <c r="T118" i="2"/>
  <c r="S118" i="2"/>
  <c r="R118" i="2"/>
  <c r="O117" i="2"/>
  <c r="N117" i="2" s="1"/>
  <c r="AB116" i="2"/>
  <c r="AB142" i="2" s="1"/>
  <c r="AA116" i="2"/>
  <c r="Z116" i="2"/>
  <c r="Y116" i="2"/>
  <c r="X116" i="2"/>
  <c r="W116" i="2"/>
  <c r="V116" i="2"/>
  <c r="U116" i="2"/>
  <c r="T116" i="2"/>
  <c r="S116" i="2"/>
  <c r="R116" i="2"/>
  <c r="AW115" i="2"/>
  <c r="P115" i="2"/>
  <c r="N115" i="2" s="1"/>
  <c r="AW114" i="2"/>
  <c r="AX114" i="2" s="1"/>
  <c r="AU114" i="2"/>
  <c r="AV114" i="2" s="1"/>
  <c r="V114" i="2"/>
  <c r="P113" i="2"/>
  <c r="N113" i="2" s="1"/>
  <c r="AW112" i="2"/>
  <c r="AX112" i="2" s="1"/>
  <c r="AU112" i="2"/>
  <c r="AV112" i="2" s="1"/>
  <c r="P111" i="2"/>
  <c r="O111" i="2"/>
  <c r="AU110" i="2"/>
  <c r="AA110" i="2"/>
  <c r="AW110" i="2" s="1"/>
  <c r="AX110" i="2" s="1"/>
  <c r="T109" i="2"/>
  <c r="P109" i="2"/>
  <c r="O109" i="2"/>
  <c r="N109" i="2" s="1"/>
  <c r="AW108" i="2"/>
  <c r="AX108" i="2" s="1"/>
  <c r="AU108" i="2"/>
  <c r="AV108" i="2" s="1"/>
  <c r="P107" i="2"/>
  <c r="O107" i="2"/>
  <c r="N107" i="2" s="1"/>
  <c r="V107" i="2" s="1"/>
  <c r="AW106" i="2"/>
  <c r="AX106" i="2" s="1"/>
  <c r="AU106" i="2"/>
  <c r="AW105" i="2"/>
  <c r="P105" i="2"/>
  <c r="N105" i="2" s="1"/>
  <c r="AX104" i="2"/>
  <c r="AW104" i="2"/>
  <c r="AV104" i="2"/>
  <c r="AU104" i="2"/>
  <c r="U103" i="2"/>
  <c r="P103" i="2"/>
  <c r="N103" i="2"/>
  <c r="T103" i="2" s="1"/>
  <c r="AW102" i="2"/>
  <c r="AX102" i="2" s="1"/>
  <c r="AU102" i="2"/>
  <c r="AV102" i="2" s="1"/>
  <c r="AW101" i="2"/>
  <c r="P101" i="2"/>
  <c r="N101" i="2"/>
  <c r="AW100" i="2"/>
  <c r="AX100" i="2" s="1"/>
  <c r="AU100" i="2"/>
  <c r="AV100" i="2" s="1"/>
  <c r="AW99" i="2"/>
  <c r="P99" i="2"/>
  <c r="N99" i="2" s="1"/>
  <c r="AX98" i="2"/>
  <c r="AW98" i="2"/>
  <c r="AU98" i="2"/>
  <c r="AV98" i="2" s="1"/>
  <c r="P97" i="2"/>
  <c r="N97" i="2" s="1"/>
  <c r="AD97" i="2" s="1"/>
  <c r="AA96" i="2"/>
  <c r="W97" i="2" s="1"/>
  <c r="S96" i="2"/>
  <c r="R96" i="2"/>
  <c r="AW95" i="2"/>
  <c r="P95" i="2"/>
  <c r="N95" i="2" s="1"/>
  <c r="AW94" i="2"/>
  <c r="AX94" i="2" s="1"/>
  <c r="AU94" i="2"/>
  <c r="AV94" i="2" s="1"/>
  <c r="AW93" i="2"/>
  <c r="P93" i="2"/>
  <c r="N93" i="2" s="1"/>
  <c r="AW92" i="2"/>
  <c r="AX92" i="2" s="1"/>
  <c r="AU92" i="2"/>
  <c r="AV92" i="2" s="1"/>
  <c r="AW91" i="2"/>
  <c r="P91" i="2"/>
  <c r="N91" i="2" s="1"/>
  <c r="AW90" i="2"/>
  <c r="AX90" i="2" s="1"/>
  <c r="AU90" i="2"/>
  <c r="AV90" i="2" s="1"/>
  <c r="AW89" i="2"/>
  <c r="S89" i="2"/>
  <c r="P89" i="2"/>
  <c r="N89" i="2"/>
  <c r="T89" i="2" s="1"/>
  <c r="AW88" i="2"/>
  <c r="AX88" i="2" s="1"/>
  <c r="AU88" i="2"/>
  <c r="AV88" i="2" s="1"/>
  <c r="P87" i="2"/>
  <c r="N87" i="2"/>
  <c r="AW86" i="2"/>
  <c r="AX86" i="2" s="1"/>
  <c r="AU86" i="2"/>
  <c r="AV86" i="2" s="1"/>
  <c r="U86" i="2"/>
  <c r="AW85" i="2"/>
  <c r="P85" i="2"/>
  <c r="N85" i="2" s="1"/>
  <c r="S85" i="2" s="1"/>
  <c r="AW84" i="2"/>
  <c r="AX84" i="2" s="1"/>
  <c r="AU84" i="2"/>
  <c r="AV84" i="2" s="1"/>
  <c r="W83" i="2"/>
  <c r="S83" i="2"/>
  <c r="P83" i="2"/>
  <c r="N83" i="2"/>
  <c r="V83" i="2" s="1"/>
  <c r="AW82" i="2"/>
  <c r="AX82" i="2" s="1"/>
  <c r="AU82" i="2"/>
  <c r="P81" i="2"/>
  <c r="N81" i="2" s="1"/>
  <c r="AX80" i="2"/>
  <c r="AW80" i="2"/>
  <c r="AV80" i="2"/>
  <c r="AU80" i="2"/>
  <c r="P79" i="2"/>
  <c r="N79" i="2" s="1"/>
  <c r="AX78" i="2"/>
  <c r="AW78" i="2"/>
  <c r="AU78" i="2"/>
  <c r="P77" i="2"/>
  <c r="N77" i="2" s="1"/>
  <c r="AW76" i="2"/>
  <c r="AX76" i="2" s="1"/>
  <c r="AU76" i="2"/>
  <c r="AV76" i="2" s="1"/>
  <c r="P75" i="2"/>
  <c r="N75" i="2" s="1"/>
  <c r="AW74" i="2"/>
  <c r="AX74" i="2" s="1"/>
  <c r="AU74" i="2"/>
  <c r="AV74" i="2" s="1"/>
  <c r="S73" i="2"/>
  <c r="P73" i="2"/>
  <c r="N73" i="2"/>
  <c r="AO73" i="2" s="1"/>
  <c r="AW72" i="2"/>
  <c r="AX72" i="2" s="1"/>
  <c r="AV72" i="2"/>
  <c r="AU72" i="2"/>
  <c r="AW71" i="2"/>
  <c r="P71" i="2"/>
  <c r="N71" i="2" s="1"/>
  <c r="T71" i="2" s="1"/>
  <c r="AX70" i="2"/>
  <c r="AW70" i="2"/>
  <c r="AU70" i="2"/>
  <c r="Z69" i="2"/>
  <c r="P69" i="2"/>
  <c r="N69" i="2" s="1"/>
  <c r="AR69" i="2" s="1"/>
  <c r="AW68" i="2"/>
  <c r="AX68" i="2" s="1"/>
  <c r="AU68" i="2"/>
  <c r="AV68" i="2" s="1"/>
  <c r="AW67" i="2"/>
  <c r="AX67" i="2" s="1"/>
  <c r="AU67" i="2"/>
  <c r="AV67" i="2" s="1"/>
  <c r="P67" i="2"/>
  <c r="N67" i="2"/>
  <c r="AW66" i="2"/>
  <c r="AX66" i="2" s="1"/>
  <c r="AU66" i="2"/>
  <c r="AV66" i="2" s="1"/>
  <c r="AW65" i="2"/>
  <c r="AX65" i="2" s="1"/>
  <c r="AU65" i="2"/>
  <c r="P65" i="2"/>
  <c r="N65" i="2" s="1"/>
  <c r="AW64" i="2"/>
  <c r="AX64" i="2" s="1"/>
  <c r="AU64" i="2"/>
  <c r="AV64" i="2" s="1"/>
  <c r="P63" i="2"/>
  <c r="N63" i="2" s="1"/>
  <c r="AG63" i="2" s="1"/>
  <c r="AW62" i="2"/>
  <c r="AX62" i="2" s="1"/>
  <c r="AU62" i="2"/>
  <c r="P61" i="2"/>
  <c r="N61" i="2" s="1"/>
  <c r="AC61" i="2" s="1"/>
  <c r="AW60" i="2"/>
  <c r="AX60" i="2" s="1"/>
  <c r="AU60" i="2"/>
  <c r="AV60" i="2" s="1"/>
  <c r="Z59" i="2"/>
  <c r="S59" i="2"/>
  <c r="P59" i="2"/>
  <c r="N59" i="2"/>
  <c r="AB59" i="2" s="1"/>
  <c r="AX58" i="2"/>
  <c r="AW58" i="2"/>
  <c r="AU58" i="2"/>
  <c r="AV58" i="2" s="1"/>
  <c r="P57" i="2"/>
  <c r="N57" i="2" s="1"/>
  <c r="AC57" i="2" s="1"/>
  <c r="AW56" i="2"/>
  <c r="AX56" i="2" s="1"/>
  <c r="AU56" i="2"/>
  <c r="P55" i="2"/>
  <c r="N55" i="2" s="1"/>
  <c r="AW54" i="2"/>
  <c r="AX54" i="2" s="1"/>
  <c r="AU54" i="2"/>
  <c r="P53" i="2"/>
  <c r="N53" i="2" s="1"/>
  <c r="AA53" i="2" s="1"/>
  <c r="AW52" i="2"/>
  <c r="AX52" i="2" s="1"/>
  <c r="AU52" i="2"/>
  <c r="AV52" i="2" s="1"/>
  <c r="P51" i="2"/>
  <c r="N51" i="2" s="1"/>
  <c r="AW50" i="2"/>
  <c r="AX50" i="2" s="1"/>
  <c r="AU50" i="2"/>
  <c r="AV50" i="2" s="1"/>
  <c r="AW49" i="2"/>
  <c r="V49" i="2"/>
  <c r="R49" i="2"/>
  <c r="P49" i="2"/>
  <c r="N49" i="2" s="1"/>
  <c r="S49" i="2" s="1"/>
  <c r="AW48" i="2"/>
  <c r="AX48" i="2" s="1"/>
  <c r="AU48" i="2"/>
  <c r="AV48" i="2" s="1"/>
  <c r="P47" i="2"/>
  <c r="N47" i="2" s="1"/>
  <c r="AX46" i="2"/>
  <c r="AW46" i="2"/>
  <c r="AU46" i="2"/>
  <c r="S45" i="2"/>
  <c r="P45" i="2"/>
  <c r="N45" i="2" s="1"/>
  <c r="AW44" i="2"/>
  <c r="AX44" i="2" s="1"/>
  <c r="AU44" i="2"/>
  <c r="AV44" i="2" s="1"/>
  <c r="AE43" i="2"/>
  <c r="T43" i="2"/>
  <c r="P43" i="2"/>
  <c r="N43" i="2" s="1"/>
  <c r="AD43" i="2" s="1"/>
  <c r="AW42" i="2"/>
  <c r="AX42" i="2" s="1"/>
  <c r="AV42" i="2"/>
  <c r="AU42" i="2"/>
  <c r="AW41" i="2"/>
  <c r="U41" i="2"/>
  <c r="P41" i="2"/>
  <c r="N41" i="2"/>
  <c r="T41" i="2" s="1"/>
  <c r="AX40" i="2"/>
  <c r="AW40" i="2"/>
  <c r="AU40" i="2"/>
  <c r="AV40" i="2" s="1"/>
  <c r="P39" i="2"/>
  <c r="N39" i="2" s="1"/>
  <c r="Z39" i="2" s="1"/>
  <c r="AX38" i="2"/>
  <c r="AW38" i="2"/>
  <c r="AU38" i="2"/>
  <c r="AV38" i="2" s="1"/>
  <c r="AB37" i="2"/>
  <c r="X37" i="2"/>
  <c r="R37" i="2"/>
  <c r="P37" i="2"/>
  <c r="N37" i="2"/>
  <c r="AA37" i="2" s="1"/>
  <c r="AX36" i="2"/>
  <c r="AW36" i="2"/>
  <c r="AU36" i="2"/>
  <c r="AV36" i="2" s="1"/>
  <c r="P35" i="2"/>
  <c r="N35" i="2" s="1"/>
  <c r="AW34" i="2"/>
  <c r="AX34" i="2" s="1"/>
  <c r="AU34" i="2"/>
  <c r="AV34" i="2" s="1"/>
  <c r="P33" i="2"/>
  <c r="N33" i="2" s="1"/>
  <c r="AW32" i="2"/>
  <c r="AX32" i="2" s="1"/>
  <c r="AU32" i="2"/>
  <c r="AV32" i="2" s="1"/>
  <c r="AD31" i="2"/>
  <c r="Z31" i="2"/>
  <c r="P31" i="2"/>
  <c r="N31" i="2"/>
  <c r="AE31" i="2" s="1"/>
  <c r="AW30" i="2"/>
  <c r="AX30" i="2" s="1"/>
  <c r="AU30" i="2"/>
  <c r="AV30" i="2" s="1"/>
  <c r="AW29" i="2"/>
  <c r="U29" i="2"/>
  <c r="S29" i="2"/>
  <c r="P29" i="2"/>
  <c r="N29" i="2" s="1"/>
  <c r="T29" i="2" s="1"/>
  <c r="AU29" i="2" s="1"/>
  <c r="AX28" i="2"/>
  <c r="AW28" i="2"/>
  <c r="AU28" i="2"/>
  <c r="P27" i="2"/>
  <c r="N27" i="2" s="1"/>
  <c r="W27" i="2" s="1"/>
  <c r="AW26" i="2"/>
  <c r="AX26" i="2" s="1"/>
  <c r="AU26" i="2"/>
  <c r="R25" i="2"/>
  <c r="P25" i="2"/>
  <c r="N25" i="2" s="1"/>
  <c r="AW24" i="2"/>
  <c r="AX24" i="2" s="1"/>
  <c r="AU24" i="2"/>
  <c r="AX23" i="2"/>
  <c r="AW23" i="2"/>
  <c r="AU23" i="2"/>
  <c r="AV23" i="2" s="1"/>
  <c r="P23" i="2"/>
  <c r="N23" i="2"/>
  <c r="AW22" i="2"/>
  <c r="AX22" i="2" s="1"/>
  <c r="AU22" i="2"/>
  <c r="AV22" i="2" s="1"/>
  <c r="Z21" i="2"/>
  <c r="X21" i="2"/>
  <c r="V21" i="2"/>
  <c r="S21" i="2"/>
  <c r="R21" i="2"/>
  <c r="P21" i="2"/>
  <c r="N21" i="2" s="1"/>
  <c r="AB21" i="2" s="1"/>
  <c r="AX20" i="2"/>
  <c r="AW20" i="2"/>
  <c r="AU20" i="2"/>
  <c r="AV20" i="2" s="1"/>
  <c r="R19" i="2"/>
  <c r="P19" i="2"/>
  <c r="N19" i="2" s="1"/>
  <c r="AC19" i="2" s="1"/>
  <c r="AX18" i="2"/>
  <c r="AW18" i="2"/>
  <c r="AV18" i="2"/>
  <c r="AU18" i="2"/>
  <c r="R17" i="2"/>
  <c r="P17" i="2"/>
  <c r="N17" i="2" s="1"/>
  <c r="AW16" i="2"/>
  <c r="AX16" i="2" s="1"/>
  <c r="AU16" i="2"/>
  <c r="AV16" i="2" s="1"/>
  <c r="P15" i="2"/>
  <c r="N15" i="2" s="1"/>
  <c r="AX14" i="2"/>
  <c r="AW14" i="2"/>
  <c r="AU14" i="2"/>
  <c r="AV14" i="2" s="1"/>
  <c r="R13" i="2"/>
  <c r="P13" i="2"/>
  <c r="N13" i="2" s="1"/>
  <c r="AW12" i="2"/>
  <c r="AX12" i="2" s="1"/>
  <c r="AU12" i="2"/>
  <c r="AV12" i="2" s="1"/>
  <c r="AW11" i="2"/>
  <c r="R11" i="2"/>
  <c r="AX11" i="2" s="1"/>
  <c r="P11" i="2"/>
  <c r="N11" i="2" s="1"/>
  <c r="AW10" i="2"/>
  <c r="AX10" i="2" s="1"/>
  <c r="AU10" i="2"/>
  <c r="P9" i="2"/>
  <c r="N9" i="2" s="1"/>
  <c r="AX8" i="2"/>
  <c r="AW8" i="2"/>
  <c r="AU8" i="2"/>
  <c r="AA7" i="2"/>
  <c r="X7" i="2"/>
  <c r="W7" i="2"/>
  <c r="V7" i="2"/>
  <c r="U7" i="2"/>
  <c r="T7" i="2"/>
  <c r="P7" i="2"/>
  <c r="N7" i="2"/>
  <c r="Z7" i="2" s="1"/>
  <c r="AW6" i="2"/>
  <c r="AX6" i="2" s="1"/>
  <c r="AU6" i="2"/>
  <c r="L252" i="4" l="1"/>
  <c r="M252" i="4" s="1"/>
  <c r="P285" i="4"/>
  <c r="J120" i="4"/>
  <c r="J213" i="4"/>
  <c r="I139" i="4"/>
  <c r="L255" i="4"/>
  <c r="L28" i="4"/>
  <c r="J161" i="4"/>
  <c r="J270" i="4"/>
  <c r="J171" i="4"/>
  <c r="I138" i="4"/>
  <c r="J138" i="4" s="1"/>
  <c r="J172" i="4"/>
  <c r="J117" i="4"/>
  <c r="J173" i="4"/>
  <c r="L154" i="4"/>
  <c r="J144" i="4"/>
  <c r="L157" i="4"/>
  <c r="L242" i="4"/>
  <c r="M242" i="4" s="1"/>
  <c r="L90" i="4"/>
  <c r="O90" i="4" s="1"/>
  <c r="P90" i="4" s="1"/>
  <c r="J97" i="4"/>
  <c r="L68" i="4"/>
  <c r="O68" i="4" s="1"/>
  <c r="P68" i="4" s="1"/>
  <c r="L152" i="4"/>
  <c r="J166" i="4"/>
  <c r="L281" i="4"/>
  <c r="O281" i="4" s="1"/>
  <c r="P281" i="4" s="1"/>
  <c r="J140" i="4"/>
  <c r="L96" i="4"/>
  <c r="L95" i="4" s="1"/>
  <c r="L169" i="4"/>
  <c r="O169" i="4" s="1"/>
  <c r="P169" i="4" s="1"/>
  <c r="L221" i="4"/>
  <c r="O221" i="4" s="1"/>
  <c r="P221" i="4" s="1"/>
  <c r="L76" i="4"/>
  <c r="L263" i="4"/>
  <c r="M263" i="4" s="1"/>
  <c r="I268" i="4"/>
  <c r="J268" i="4" s="1"/>
  <c r="L66" i="4"/>
  <c r="O66" i="4" s="1"/>
  <c r="P66" i="4" s="1"/>
  <c r="L115" i="4"/>
  <c r="L156" i="4"/>
  <c r="J162" i="4"/>
  <c r="O190" i="4"/>
  <c r="P190" i="4" s="1"/>
  <c r="J45" i="4"/>
  <c r="J200" i="4"/>
  <c r="L63" i="4"/>
  <c r="L89" i="4"/>
  <c r="M89" i="4" s="1"/>
  <c r="L151" i="4"/>
  <c r="L170" i="4"/>
  <c r="L222" i="4"/>
  <c r="O222" i="4" s="1"/>
  <c r="P222" i="4" s="1"/>
  <c r="J280" i="4"/>
  <c r="L46" i="4"/>
  <c r="J77" i="4"/>
  <c r="J116" i="4"/>
  <c r="L144" i="4"/>
  <c r="L143" i="4" s="1"/>
  <c r="I219" i="4"/>
  <c r="J219" i="4" s="1"/>
  <c r="I92" i="4"/>
  <c r="J92" i="4" s="1"/>
  <c r="I47" i="4"/>
  <c r="J47" i="4" s="1"/>
  <c r="L48" i="4"/>
  <c r="J48" i="4"/>
  <c r="L83" i="4"/>
  <c r="J83" i="4"/>
  <c r="G16" i="4"/>
  <c r="G9" i="4"/>
  <c r="O21" i="4"/>
  <c r="P21" i="4" s="1"/>
  <c r="M21" i="4"/>
  <c r="L84" i="4"/>
  <c r="J84" i="4"/>
  <c r="L119" i="4"/>
  <c r="J119" i="4"/>
  <c r="J72" i="4"/>
  <c r="L72" i="4"/>
  <c r="L111" i="4"/>
  <c r="J111" i="4"/>
  <c r="M35" i="4"/>
  <c r="L34" i="4"/>
  <c r="O35" i="4"/>
  <c r="G41" i="4"/>
  <c r="I41" i="4"/>
  <c r="M73" i="4"/>
  <c r="O73" i="4"/>
  <c r="P73" i="4" s="1"/>
  <c r="O11" i="4"/>
  <c r="M11" i="4"/>
  <c r="L104" i="4"/>
  <c r="J104" i="4"/>
  <c r="M175" i="4"/>
  <c r="O175" i="4" s="1"/>
  <c r="P175" i="4" s="1"/>
  <c r="O74" i="4"/>
  <c r="P74" i="4" s="1"/>
  <c r="M74" i="4"/>
  <c r="J85" i="4"/>
  <c r="L85" i="4"/>
  <c r="L24" i="4"/>
  <c r="J24" i="4"/>
  <c r="L61" i="4"/>
  <c r="J61" i="4"/>
  <c r="M94" i="4"/>
  <c r="O94" i="4"/>
  <c r="P94" i="4" s="1"/>
  <c r="L113" i="4"/>
  <c r="J113" i="4"/>
  <c r="O36" i="4"/>
  <c r="P36" i="4" s="1"/>
  <c r="M36" i="4"/>
  <c r="L82" i="4"/>
  <c r="J82" i="4"/>
  <c r="O44" i="4"/>
  <c r="P44" i="4" s="1"/>
  <c r="M44" i="4"/>
  <c r="O49" i="4"/>
  <c r="P49" i="4" s="1"/>
  <c r="M49" i="4"/>
  <c r="M20" i="4"/>
  <c r="O20" i="4"/>
  <c r="L19" i="4"/>
  <c r="L25" i="4"/>
  <c r="J25" i="4"/>
  <c r="O75" i="4"/>
  <c r="P75" i="4" s="1"/>
  <c r="M75" i="4"/>
  <c r="J87" i="4"/>
  <c r="L87" i="4"/>
  <c r="G57" i="4"/>
  <c r="I57" i="4"/>
  <c r="I105" i="4"/>
  <c r="M28" i="4"/>
  <c r="O45" i="4"/>
  <c r="P45" i="4" s="1"/>
  <c r="I60" i="4"/>
  <c r="L62" i="4"/>
  <c r="L64" i="4"/>
  <c r="J64" i="4"/>
  <c r="G71" i="4"/>
  <c r="I81" i="4"/>
  <c r="L114" i="4"/>
  <c r="I153" i="4"/>
  <c r="G153" i="4"/>
  <c r="L158" i="4"/>
  <c r="J158" i="4"/>
  <c r="O165" i="4"/>
  <c r="J8" i="4"/>
  <c r="L30" i="4"/>
  <c r="J30" i="4"/>
  <c r="I155" i="4"/>
  <c r="G155" i="4"/>
  <c r="J44" i="4"/>
  <c r="G13" i="4"/>
  <c r="G17" i="4"/>
  <c r="G40" i="4"/>
  <c r="I40" i="4"/>
  <c r="I37" i="4" s="1"/>
  <c r="J37" i="4" s="1"/>
  <c r="G37" i="4"/>
  <c r="G54" i="4"/>
  <c r="I54" i="4"/>
  <c r="G104" i="4"/>
  <c r="L108" i="4"/>
  <c r="J108" i="4"/>
  <c r="I107" i="4"/>
  <c r="J107" i="4" s="1"/>
  <c r="M165" i="4"/>
  <c r="G176" i="4"/>
  <c r="I176" i="4" s="1"/>
  <c r="J176" i="4" s="1"/>
  <c r="L176" i="4" s="1"/>
  <c r="G164" i="4"/>
  <c r="O206" i="4"/>
  <c r="P206" i="4" s="1"/>
  <c r="M206" i="4"/>
  <c r="J73" i="4"/>
  <c r="L38" i="4"/>
  <c r="J38" i="4"/>
  <c r="O28" i="4"/>
  <c r="I10" i="4"/>
  <c r="I17" i="4"/>
  <c r="G48" i="4"/>
  <c r="G58" i="4"/>
  <c r="I58" i="4"/>
  <c r="L69" i="4"/>
  <c r="J69" i="4"/>
  <c r="G79" i="4"/>
  <c r="I79" i="4"/>
  <c r="O173" i="4"/>
  <c r="P173" i="4" s="1"/>
  <c r="M173" i="4"/>
  <c r="I7" i="4"/>
  <c r="J11" i="4"/>
  <c r="J21" i="4"/>
  <c r="J36" i="4"/>
  <c r="L56" i="4"/>
  <c r="J56" i="4"/>
  <c r="J74" i="4"/>
  <c r="L93" i="4"/>
  <c r="L146" i="4"/>
  <c r="J146" i="4"/>
  <c r="L18" i="4"/>
  <c r="J18" i="4"/>
  <c r="O8" i="4"/>
  <c r="M8" i="4"/>
  <c r="J49" i="4"/>
  <c r="G85" i="4"/>
  <c r="M144" i="4"/>
  <c r="G150" i="4"/>
  <c r="G24" i="4"/>
  <c r="O172" i="4"/>
  <c r="P172" i="4" s="1"/>
  <c r="M172" i="4"/>
  <c r="I26" i="4"/>
  <c r="I23" i="4" s="1"/>
  <c r="G81" i="4"/>
  <c r="G99" i="4"/>
  <c r="I99" i="4"/>
  <c r="L167" i="4"/>
  <c r="J167" i="4"/>
  <c r="L12" i="4"/>
  <c r="L10" i="4" s="1"/>
  <c r="L7" i="4"/>
  <c r="G25" i="4"/>
  <c r="L29" i="4"/>
  <c r="J29" i="4"/>
  <c r="L33" i="4"/>
  <c r="J33" i="4"/>
  <c r="G61" i="4"/>
  <c r="G72" i="4"/>
  <c r="M77" i="4"/>
  <c r="G82" i="4"/>
  <c r="G84" i="4"/>
  <c r="G102" i="4"/>
  <c r="M116" i="4"/>
  <c r="L133" i="4"/>
  <c r="J133" i="4"/>
  <c r="L141" i="4"/>
  <c r="J141" i="4"/>
  <c r="O156" i="4"/>
  <c r="P156" i="4" s="1"/>
  <c r="M156" i="4"/>
  <c r="G182" i="4"/>
  <c r="I196" i="4"/>
  <c r="L55" i="4"/>
  <c r="J55" i="4"/>
  <c r="J94" i="4"/>
  <c r="G112" i="4"/>
  <c r="G119" i="4"/>
  <c r="L148" i="4"/>
  <c r="J148" i="4"/>
  <c r="M68" i="4"/>
  <c r="J75" i="4"/>
  <c r="G83" i="4"/>
  <c r="L194" i="4"/>
  <c r="J194" i="4"/>
  <c r="G7" i="4"/>
  <c r="G32" i="4"/>
  <c r="I32" i="4"/>
  <c r="J71" i="4"/>
  <c r="L71" i="4"/>
  <c r="L129" i="4"/>
  <c r="J129" i="4"/>
  <c r="M179" i="4"/>
  <c r="O179" i="4" s="1"/>
  <c r="P179" i="4" s="1"/>
  <c r="L52" i="4"/>
  <c r="J52" i="4"/>
  <c r="L15" i="4"/>
  <c r="J15" i="4"/>
  <c r="J20" i="4"/>
  <c r="I31" i="4"/>
  <c r="G31" i="4"/>
  <c r="G33" i="4"/>
  <c r="J35" i="4"/>
  <c r="G51" i="4"/>
  <c r="I51" i="4"/>
  <c r="G87" i="4"/>
  <c r="M97" i="4"/>
  <c r="G103" i="4"/>
  <c r="O116" i="4"/>
  <c r="P116" i="4" s="1"/>
  <c r="J139" i="4"/>
  <c r="G196" i="4"/>
  <c r="L14" i="4"/>
  <c r="J14" i="4"/>
  <c r="I13" i="4"/>
  <c r="J13" i="4" s="1"/>
  <c r="L131" i="4"/>
  <c r="J131" i="4"/>
  <c r="G95" i="4"/>
  <c r="I160" i="4"/>
  <c r="G160" i="4"/>
  <c r="M178" i="4"/>
  <c r="O178" i="4" s="1"/>
  <c r="P178" i="4" s="1"/>
  <c r="I112" i="4"/>
  <c r="G50" i="4"/>
  <c r="I19" i="4"/>
  <c r="J19" i="4" s="1"/>
  <c r="I34" i="4"/>
  <c r="J34" i="4" s="1"/>
  <c r="I103" i="4"/>
  <c r="O166" i="4"/>
  <c r="P166" i="4" s="1"/>
  <c r="M166" i="4"/>
  <c r="M181" i="4"/>
  <c r="O181" i="4" s="1"/>
  <c r="P181" i="4" s="1"/>
  <c r="O162" i="4"/>
  <c r="P162" i="4" s="1"/>
  <c r="M162" i="4"/>
  <c r="L39" i="4"/>
  <c r="J39" i="4"/>
  <c r="L53" i="4"/>
  <c r="J53" i="4"/>
  <c r="L59" i="4"/>
  <c r="J59" i="4"/>
  <c r="I70" i="4"/>
  <c r="G70" i="4"/>
  <c r="I80" i="4"/>
  <c r="G80" i="4"/>
  <c r="L109" i="4"/>
  <c r="J109" i="4"/>
  <c r="I136" i="4"/>
  <c r="I127" i="4" s="1"/>
  <c r="G136" i="4"/>
  <c r="L193" i="4"/>
  <c r="J193" i="4"/>
  <c r="I192" i="4"/>
  <c r="J192" i="4" s="1"/>
  <c r="O171" i="4"/>
  <c r="P171" i="4" s="1"/>
  <c r="L212" i="4"/>
  <c r="J212" i="4"/>
  <c r="L233" i="4"/>
  <c r="J233" i="4"/>
  <c r="L279" i="4"/>
  <c r="J279" i="4"/>
  <c r="L159" i="4"/>
  <c r="J159" i="4"/>
  <c r="J262" i="4"/>
  <c r="L262" i="4"/>
  <c r="O174" i="4"/>
  <c r="P174" i="4" s="1"/>
  <c r="M174" i="4"/>
  <c r="G30" i="4"/>
  <c r="G52" i="4"/>
  <c r="G53" i="4"/>
  <c r="G55" i="4"/>
  <c r="G56" i="4"/>
  <c r="G69" i="4"/>
  <c r="I78" i="4"/>
  <c r="I95" i="4"/>
  <c r="J95" i="4" s="1"/>
  <c r="I100" i="4"/>
  <c r="I101" i="4"/>
  <c r="G109" i="4"/>
  <c r="I118" i="4"/>
  <c r="O152" i="4"/>
  <c r="P152" i="4" s="1"/>
  <c r="M152" i="4"/>
  <c r="J174" i="4"/>
  <c r="O254" i="4"/>
  <c r="P254" i="4" s="1"/>
  <c r="M254" i="4"/>
  <c r="G264" i="4"/>
  <c r="I265" i="4"/>
  <c r="I137" i="4"/>
  <c r="G137" i="4"/>
  <c r="L149" i="4"/>
  <c r="J149" i="4"/>
  <c r="G14" i="4"/>
  <c r="G15" i="4"/>
  <c r="G27" i="4"/>
  <c r="G29" i="4"/>
  <c r="G39" i="4"/>
  <c r="G64" i="4"/>
  <c r="G108" i="4"/>
  <c r="L147" i="4"/>
  <c r="J147" i="4"/>
  <c r="O157" i="4"/>
  <c r="P157" i="4" s="1"/>
  <c r="M157" i="4"/>
  <c r="L195" i="4"/>
  <c r="J195" i="4"/>
  <c r="L203" i="4"/>
  <c r="J203" i="4"/>
  <c r="L251" i="4"/>
  <c r="O252" i="4"/>
  <c r="J254" i="4"/>
  <c r="G265" i="4"/>
  <c r="L135" i="4"/>
  <c r="J135" i="4"/>
  <c r="J185" i="4"/>
  <c r="L185" i="4"/>
  <c r="O187" i="4"/>
  <c r="P187" i="4" s="1"/>
  <c r="O191" i="4"/>
  <c r="P191" i="4" s="1"/>
  <c r="I88" i="4"/>
  <c r="J88" i="4" s="1"/>
  <c r="L128" i="4"/>
  <c r="L132" i="4"/>
  <c r="J132" i="4"/>
  <c r="O140" i="4"/>
  <c r="M140" i="4"/>
  <c r="L142" i="4"/>
  <c r="J142" i="4"/>
  <c r="O161" i="4"/>
  <c r="P161" i="4" s="1"/>
  <c r="L163" i="4"/>
  <c r="J163" i="4"/>
  <c r="L224" i="4"/>
  <c r="J224" i="4"/>
  <c r="I223" i="4"/>
  <c r="J223" i="4" s="1"/>
  <c r="M243" i="4"/>
  <c r="O260" i="4"/>
  <c r="P260" i="4" s="1"/>
  <c r="M260" i="4"/>
  <c r="O270" i="4"/>
  <c r="P270" i="4" s="1"/>
  <c r="M270" i="4"/>
  <c r="L268" i="4"/>
  <c r="L130" i="4"/>
  <c r="J130" i="4"/>
  <c r="L134" i="4"/>
  <c r="J134" i="4"/>
  <c r="O154" i="4"/>
  <c r="P154" i="4" s="1"/>
  <c r="L211" i="4"/>
  <c r="J211" i="4"/>
  <c r="O117" i="4"/>
  <c r="P117" i="4" s="1"/>
  <c r="M117" i="4"/>
  <c r="O120" i="4"/>
  <c r="P120" i="4" s="1"/>
  <c r="M120" i="4"/>
  <c r="M154" i="4"/>
  <c r="J165" i="4"/>
  <c r="M169" i="4"/>
  <c r="L184" i="4"/>
  <c r="J184" i="4"/>
  <c r="I183" i="4"/>
  <c r="J183" i="4" s="1"/>
  <c r="J186" i="4"/>
  <c r="L186" i="4"/>
  <c r="M190" i="4"/>
  <c r="G197" i="4"/>
  <c r="L214" i="4"/>
  <c r="J214" i="4"/>
  <c r="O229" i="4"/>
  <c r="P229" i="4" s="1"/>
  <c r="L234" i="4"/>
  <c r="J234" i="4"/>
  <c r="O256" i="4"/>
  <c r="P256" i="4" s="1"/>
  <c r="M256" i="4"/>
  <c r="G210" i="4"/>
  <c r="M229" i="4"/>
  <c r="G231" i="4"/>
  <c r="G234" i="4"/>
  <c r="O237" i="4"/>
  <c r="P237" i="4" s="1"/>
  <c r="M237" i="4"/>
  <c r="G239" i="4"/>
  <c r="G240" i="4"/>
  <c r="J256" i="4"/>
  <c r="I210" i="4"/>
  <c r="J220" i="4"/>
  <c r="G232" i="4"/>
  <c r="J237" i="4"/>
  <c r="O246" i="4"/>
  <c r="P246" i="4" s="1"/>
  <c r="L248" i="4"/>
  <c r="J248" i="4"/>
  <c r="L272" i="4"/>
  <c r="J272" i="4"/>
  <c r="I271" i="4"/>
  <c r="J271" i="4" s="1"/>
  <c r="L276" i="4"/>
  <c r="J276" i="4"/>
  <c r="I278" i="4"/>
  <c r="G278" i="4"/>
  <c r="M285" i="4"/>
  <c r="L289" i="4"/>
  <c r="J289" i="4"/>
  <c r="G128" i="4"/>
  <c r="G188" i="4"/>
  <c r="I205" i="4"/>
  <c r="G205" i="4"/>
  <c r="O208" i="4"/>
  <c r="M208" i="4"/>
  <c r="L215" i="4"/>
  <c r="J215" i="4"/>
  <c r="L220" i="4"/>
  <c r="L225" i="4"/>
  <c r="J225" i="4"/>
  <c r="I232" i="4"/>
  <c r="I244" i="4"/>
  <c r="G244" i="4"/>
  <c r="M246" i="4"/>
  <c r="I259" i="4"/>
  <c r="G259" i="4"/>
  <c r="J269" i="4"/>
  <c r="I274" i="4"/>
  <c r="G274" i="4"/>
  <c r="O200" i="4"/>
  <c r="P200" i="4" s="1"/>
  <c r="L202" i="4"/>
  <c r="J202" i="4"/>
  <c r="J208" i="4"/>
  <c r="O213" i="4"/>
  <c r="P213" i="4" s="1"/>
  <c r="M213" i="4"/>
  <c r="G215" i="4"/>
  <c r="O242" i="4"/>
  <c r="P242" i="4" s="1"/>
  <c r="L266" i="4"/>
  <c r="J266" i="4"/>
  <c r="O269" i="4"/>
  <c r="M269" i="4"/>
  <c r="O280" i="4"/>
  <c r="P280" i="4" s="1"/>
  <c r="M280" i="4"/>
  <c r="M283" i="4"/>
  <c r="O283" i="4" s="1"/>
  <c r="J199" i="4"/>
  <c r="I198" i="4"/>
  <c r="O228" i="4"/>
  <c r="O253" i="4"/>
  <c r="P253" i="4" s="1"/>
  <c r="M253" i="4"/>
  <c r="O255" i="4"/>
  <c r="P255" i="4" s="1"/>
  <c r="L257" i="4"/>
  <c r="J257" i="4"/>
  <c r="O263" i="4"/>
  <c r="P263" i="4" s="1"/>
  <c r="I168" i="4"/>
  <c r="J168" i="4" s="1"/>
  <c r="G186" i="4"/>
  <c r="G187" i="4"/>
  <c r="G211" i="4"/>
  <c r="M228" i="4"/>
  <c r="G233" i="4"/>
  <c r="O238" i="4"/>
  <c r="P238" i="4" s="1"/>
  <c r="M238" i="4"/>
  <c r="J253" i="4"/>
  <c r="M255" i="4"/>
  <c r="O261" i="4"/>
  <c r="P261" i="4" s="1"/>
  <c r="G165" i="4"/>
  <c r="G184" i="4"/>
  <c r="J187" i="4"/>
  <c r="J191" i="4"/>
  <c r="G194" i="4"/>
  <c r="L199" i="4"/>
  <c r="L230" i="4"/>
  <c r="L227" i="4" s="1"/>
  <c r="J238" i="4"/>
  <c r="I245" i="4"/>
  <c r="G245" i="4"/>
  <c r="M261" i="4"/>
  <c r="G144" i="4"/>
  <c r="G161" i="4"/>
  <c r="J190" i="4"/>
  <c r="G204" i="4"/>
  <c r="O209" i="4"/>
  <c r="P209" i="4" s="1"/>
  <c r="M209" i="4"/>
  <c r="I216" i="4"/>
  <c r="G216" i="4"/>
  <c r="G218" i="4"/>
  <c r="I235" i="4"/>
  <c r="J235" i="4" s="1"/>
  <c r="L236" i="4"/>
  <c r="O241" i="4"/>
  <c r="L240" i="4"/>
  <c r="O249" i="4"/>
  <c r="P249" i="4" s="1"/>
  <c r="M249" i="4"/>
  <c r="I251" i="4"/>
  <c r="L267" i="4"/>
  <c r="J267" i="4"/>
  <c r="L273" i="4"/>
  <c r="J273" i="4"/>
  <c r="L277" i="4"/>
  <c r="J277" i="4"/>
  <c r="L201" i="4"/>
  <c r="J201" i="4"/>
  <c r="J209" i="4"/>
  <c r="I218" i="4"/>
  <c r="J221" i="4"/>
  <c r="L226" i="4"/>
  <c r="J226" i="4"/>
  <c r="G227" i="4"/>
  <c r="J236" i="4"/>
  <c r="M241" i="4"/>
  <c r="L247" i="4"/>
  <c r="J249" i="4"/>
  <c r="L258" i="4"/>
  <c r="J258" i="4"/>
  <c r="G267" i="4"/>
  <c r="I275" i="4"/>
  <c r="G275" i="4"/>
  <c r="G198" i="4"/>
  <c r="I227" i="4"/>
  <c r="J227" i="4" s="1"/>
  <c r="I240" i="4"/>
  <c r="G262" i="4"/>
  <c r="G263" i="4"/>
  <c r="G284" i="4"/>
  <c r="I284" i="4" s="1"/>
  <c r="J284" i="4" s="1"/>
  <c r="L284" i="4" s="1"/>
  <c r="L282" i="4" s="1"/>
  <c r="J206" i="4"/>
  <c r="J228" i="4"/>
  <c r="J229" i="4"/>
  <c r="J241" i="4"/>
  <c r="J243" i="4"/>
  <c r="J246" i="4"/>
  <c r="G249" i="4"/>
  <c r="J260" i="4"/>
  <c r="J261" i="4"/>
  <c r="G220" i="4"/>
  <c r="X9" i="2"/>
  <c r="W9" i="2"/>
  <c r="V9" i="2"/>
  <c r="U9" i="2"/>
  <c r="AU9" i="2" s="1"/>
  <c r="T9" i="2"/>
  <c r="Y9" i="2"/>
  <c r="AW9" i="2" s="1"/>
  <c r="S9" i="2"/>
  <c r="AE33" i="2"/>
  <c r="AJ33" i="2"/>
  <c r="AI33" i="2"/>
  <c r="AC33" i="2"/>
  <c r="V33" i="2"/>
  <c r="S33" i="2"/>
  <c r="AK33" i="2"/>
  <c r="AB47" i="2"/>
  <c r="V47" i="2"/>
  <c r="W47" i="2"/>
  <c r="X47" i="2"/>
  <c r="AO75" i="2"/>
  <c r="S75" i="2"/>
  <c r="AN75" i="2"/>
  <c r="X75" i="2"/>
  <c r="AM75" i="2"/>
  <c r="AJ75" i="2"/>
  <c r="AE75" i="2"/>
  <c r="AP75" i="2"/>
  <c r="AD75" i="2"/>
  <c r="AC75" i="2"/>
  <c r="AB75" i="2"/>
  <c r="AA75" i="2"/>
  <c r="Z75" i="2"/>
  <c r="AQ75" i="2"/>
  <c r="Y75" i="2"/>
  <c r="AH81" i="2"/>
  <c r="AE81" i="2"/>
  <c r="AD81" i="2"/>
  <c r="AC81" i="2"/>
  <c r="AE113" i="2"/>
  <c r="AD113" i="2"/>
  <c r="Z35" i="2"/>
  <c r="Y35" i="2"/>
  <c r="X35" i="2"/>
  <c r="W35" i="2"/>
  <c r="V35" i="2"/>
  <c r="AA35" i="2"/>
  <c r="AC35" i="2"/>
  <c r="AD55" i="2"/>
  <c r="T55" i="2"/>
  <c r="AF55" i="2"/>
  <c r="AC55" i="2"/>
  <c r="AB55" i="2"/>
  <c r="Y55" i="2"/>
  <c r="W55" i="2"/>
  <c r="V55" i="2"/>
  <c r="U55" i="2"/>
  <c r="AD77" i="2"/>
  <c r="W77" i="2"/>
  <c r="V77" i="2"/>
  <c r="U77" i="2"/>
  <c r="X77" i="2"/>
  <c r="T77" i="2"/>
  <c r="S77" i="2"/>
  <c r="AE77" i="2"/>
  <c r="Z77" i="2"/>
  <c r="Y77" i="2"/>
  <c r="U13" i="2"/>
  <c r="Y13" i="2"/>
  <c r="AW13" i="2" s="1"/>
  <c r="X13" i="2"/>
  <c r="W13" i="2"/>
  <c r="V13" i="2"/>
  <c r="T13" i="2"/>
  <c r="S13" i="2"/>
  <c r="AU13" i="2" s="1"/>
  <c r="AC7" i="2"/>
  <c r="AA21" i="2"/>
  <c r="AN31" i="2"/>
  <c r="AC37" i="2"/>
  <c r="T63" i="2"/>
  <c r="AA69" i="2"/>
  <c r="U73" i="2"/>
  <c r="X83" i="2"/>
  <c r="U89" i="2"/>
  <c r="U97" i="2"/>
  <c r="V103" i="2"/>
  <c r="AU103" i="2" s="1"/>
  <c r="W129" i="2"/>
  <c r="AA129" i="2"/>
  <c r="AX134" i="2"/>
  <c r="U139" i="2"/>
  <c r="AC21" i="2"/>
  <c r="AD37" i="2"/>
  <c r="X63" i="2"/>
  <c r="AD73" i="2"/>
  <c r="Y83" i="2"/>
  <c r="V89" i="2"/>
  <c r="W103" i="2"/>
  <c r="AX118" i="2"/>
  <c r="AE21" i="2"/>
  <c r="AD63" i="2"/>
  <c r="AE73" i="2"/>
  <c r="Z83" i="2"/>
  <c r="W89" i="2"/>
  <c r="X103" i="2"/>
  <c r="N111" i="2"/>
  <c r="AU120" i="2"/>
  <c r="AU122" i="2"/>
  <c r="AX130" i="2"/>
  <c r="R135" i="2"/>
  <c r="T59" i="2"/>
  <c r="AF63" i="2"/>
  <c r="AF73" i="2"/>
  <c r="AA83" i="2"/>
  <c r="X89" i="2"/>
  <c r="Y103" i="2"/>
  <c r="AW103" i="2" s="1"/>
  <c r="AI139" i="2"/>
  <c r="V59" i="2"/>
  <c r="AG73" i="2"/>
  <c r="AB83" i="2"/>
  <c r="AJ139" i="2"/>
  <c r="AH73" i="2"/>
  <c r="AC83" i="2"/>
  <c r="AW132" i="2"/>
  <c r="AX132" i="2" s="1"/>
  <c r="Z139" i="2"/>
  <c r="AW154" i="2"/>
  <c r="AX154" i="2" s="1"/>
  <c r="AU11" i="2"/>
  <c r="AV11" i="2" s="1"/>
  <c r="AG83" i="2"/>
  <c r="X117" i="2"/>
  <c r="AW134" i="2"/>
  <c r="V151" i="2"/>
  <c r="AB127" i="2"/>
  <c r="W21" i="2"/>
  <c r="V37" i="2"/>
  <c r="S43" i="2"/>
  <c r="N137" i="2"/>
  <c r="AX89" i="2"/>
  <c r="S103" i="2"/>
  <c r="Y7" i="2"/>
  <c r="Y21" i="2"/>
  <c r="AC31" i="2"/>
  <c r="U43" i="2"/>
  <c r="U69" i="2"/>
  <c r="AX85" i="2"/>
  <c r="N125" i="2"/>
  <c r="AD125" i="2" s="1"/>
  <c r="AU134" i="2"/>
  <c r="AY134" i="2" s="1"/>
  <c r="AJ17" i="2"/>
  <c r="X17" i="2"/>
  <c r="AO17" i="2"/>
  <c r="AB17" i="2"/>
  <c r="AN17" i="2"/>
  <c r="AA17" i="2"/>
  <c r="AM17" i="2"/>
  <c r="Z17" i="2"/>
  <c r="AL17" i="2"/>
  <c r="Y17" i="2"/>
  <c r="S17" i="2"/>
  <c r="AK17" i="2"/>
  <c r="W17" i="2"/>
  <c r="AF17" i="2"/>
  <c r="AI17" i="2"/>
  <c r="V17" i="2"/>
  <c r="AE17" i="2"/>
  <c r="AH17" i="2"/>
  <c r="U17" i="2"/>
  <c r="AG17" i="2"/>
  <c r="T17" i="2"/>
  <c r="T25" i="2"/>
  <c r="Z25" i="2"/>
  <c r="Y25" i="2"/>
  <c r="X25" i="2"/>
  <c r="W25" i="2"/>
  <c r="V25" i="2"/>
  <c r="U25" i="2"/>
  <c r="AH51" i="2"/>
  <c r="V51" i="2"/>
  <c r="AL51" i="2"/>
  <c r="Y51" i="2"/>
  <c r="AK51" i="2"/>
  <c r="X51" i="2"/>
  <c r="AI51" i="2"/>
  <c r="U51" i="2"/>
  <c r="AJ51" i="2"/>
  <c r="AG51" i="2"/>
  <c r="AF51" i="2"/>
  <c r="AE51" i="2"/>
  <c r="AD51" i="2"/>
  <c r="AC51" i="2"/>
  <c r="W51" i="2"/>
  <c r="AB51" i="2"/>
  <c r="AN51" i="2"/>
  <c r="AA51" i="2"/>
  <c r="AO51" i="2"/>
  <c r="T51" i="2"/>
  <c r="AP51" i="2"/>
  <c r="Z51" i="2"/>
  <c r="W15" i="2"/>
  <c r="Y15" i="2"/>
  <c r="AW15" i="2" s="1"/>
  <c r="X15" i="2"/>
  <c r="V15" i="2"/>
  <c r="U15" i="2"/>
  <c r="T15" i="2"/>
  <c r="S15" i="2"/>
  <c r="AC17" i="2"/>
  <c r="AB19" i="2"/>
  <c r="S51" i="2"/>
  <c r="AL57" i="2"/>
  <c r="Z57" i="2"/>
  <c r="AK57" i="2"/>
  <c r="X57" i="2"/>
  <c r="AJ57" i="2"/>
  <c r="W57" i="2"/>
  <c r="AH57" i="2"/>
  <c r="U57" i="2"/>
  <c r="AB57" i="2"/>
  <c r="AA57" i="2"/>
  <c r="Y57" i="2"/>
  <c r="AO57" i="2"/>
  <c r="V57" i="2"/>
  <c r="AN57" i="2"/>
  <c r="T57" i="2"/>
  <c r="AM57" i="2"/>
  <c r="S57" i="2"/>
  <c r="AI57" i="2"/>
  <c r="AD57" i="2"/>
  <c r="AG57" i="2"/>
  <c r="AE57" i="2"/>
  <c r="AF57" i="2"/>
  <c r="AD17" i="2"/>
  <c r="S25" i="2"/>
  <c r="AM51" i="2"/>
  <c r="S99" i="2"/>
  <c r="T99" i="2"/>
  <c r="U19" i="2"/>
  <c r="AA19" i="2"/>
  <c r="Z19" i="2"/>
  <c r="Y19" i="2"/>
  <c r="X19" i="2"/>
  <c r="W19" i="2"/>
  <c r="V19" i="2"/>
  <c r="T19" i="2"/>
  <c r="AD19" i="2"/>
  <c r="S19" i="2"/>
  <c r="AE19" i="2"/>
  <c r="AV65" i="2"/>
  <c r="AV6" i="2"/>
  <c r="AF87" i="2"/>
  <c r="T87" i="2"/>
  <c r="X87" i="2"/>
  <c r="W87" i="2"/>
  <c r="V87" i="2"/>
  <c r="U87" i="2"/>
  <c r="AB87" i="2"/>
  <c r="AA87" i="2"/>
  <c r="Z87" i="2"/>
  <c r="Y87" i="2"/>
  <c r="S87" i="2"/>
  <c r="AG87" i="2"/>
  <c r="AE87" i="2"/>
  <c r="AD87" i="2"/>
  <c r="AC87" i="2"/>
  <c r="U119" i="2"/>
  <c r="AA119" i="2"/>
  <c r="W119" i="2"/>
  <c r="V119" i="2"/>
  <c r="T119" i="2"/>
  <c r="S119" i="2"/>
  <c r="R119" i="2"/>
  <c r="Y119" i="2"/>
  <c r="X119" i="2"/>
  <c r="AB119" i="2"/>
  <c r="AR79" i="2"/>
  <c r="AF79" i="2"/>
  <c r="T79" i="2"/>
  <c r="AN79" i="2"/>
  <c r="AA79" i="2"/>
  <c r="AM79" i="2"/>
  <c r="Z79" i="2"/>
  <c r="AL79" i="2"/>
  <c r="Y79" i="2"/>
  <c r="AK79" i="2"/>
  <c r="X79" i="2"/>
  <c r="AH79" i="2"/>
  <c r="AG79" i="2"/>
  <c r="AE79" i="2"/>
  <c r="AD79" i="2"/>
  <c r="AB79" i="2"/>
  <c r="AQ79" i="2"/>
  <c r="AP79" i="2"/>
  <c r="AO79" i="2"/>
  <c r="AJ79" i="2"/>
  <c r="AI79" i="2"/>
  <c r="AC79" i="2"/>
  <c r="S79" i="2"/>
  <c r="W79" i="2"/>
  <c r="V79" i="2"/>
  <c r="U79" i="2"/>
  <c r="AV8" i="2"/>
  <c r="AX29" i="2"/>
  <c r="AV26" i="2"/>
  <c r="AI61" i="2"/>
  <c r="W61" i="2"/>
  <c r="AG61" i="2"/>
  <c r="AN61" i="2"/>
  <c r="Z61" i="2"/>
  <c r="AM61" i="2"/>
  <c r="Y61" i="2"/>
  <c r="AL61" i="2"/>
  <c r="AK61" i="2"/>
  <c r="V61" i="2"/>
  <c r="AB61" i="2"/>
  <c r="AA61" i="2"/>
  <c r="X61" i="2"/>
  <c r="AQ61" i="2"/>
  <c r="U61" i="2"/>
  <c r="AP61" i="2"/>
  <c r="T61" i="2"/>
  <c r="AO61" i="2"/>
  <c r="S61" i="2"/>
  <c r="AE61" i="2"/>
  <c r="AJ61" i="2"/>
  <c r="AH61" i="2"/>
  <c r="AD61" i="2"/>
  <c r="AF61" i="2"/>
  <c r="X71" i="2"/>
  <c r="W71" i="2"/>
  <c r="V71" i="2"/>
  <c r="S71" i="2"/>
  <c r="R71" i="2"/>
  <c r="U71" i="2"/>
  <c r="X95" i="2"/>
  <c r="W95" i="2"/>
  <c r="V95" i="2"/>
  <c r="U95" i="2"/>
  <c r="T95" i="2"/>
  <c r="S95" i="2"/>
  <c r="U27" i="2"/>
  <c r="T27" i="2"/>
  <c r="S27" i="2"/>
  <c r="AE27" i="2"/>
  <c r="AD27" i="2"/>
  <c r="AC27" i="2"/>
  <c r="AB27" i="2"/>
  <c r="AA27" i="2"/>
  <c r="X27" i="2"/>
  <c r="Z27" i="2"/>
  <c r="Y27" i="2"/>
  <c r="AV29" i="2"/>
  <c r="X125" i="2"/>
  <c r="AC125" i="2"/>
  <c r="AA125" i="2"/>
  <c r="V27" i="2"/>
  <c r="Y45" i="2"/>
  <c r="X45" i="2"/>
  <c r="V45" i="2"/>
  <c r="AE45" i="2"/>
  <c r="AD45" i="2"/>
  <c r="AC45" i="2"/>
  <c r="AB45" i="2"/>
  <c r="AA45" i="2"/>
  <c r="T45" i="2"/>
  <c r="Z45" i="2"/>
  <c r="U45" i="2"/>
  <c r="W45" i="2"/>
  <c r="AU85" i="2"/>
  <c r="AV120" i="2"/>
  <c r="Z37" i="2"/>
  <c r="Y37" i="2"/>
  <c r="W37" i="2"/>
  <c r="AE37" i="2"/>
  <c r="V39" i="2"/>
  <c r="U39" i="2"/>
  <c r="S39" i="2"/>
  <c r="V43" i="2"/>
  <c r="AV46" i="2"/>
  <c r="Y47" i="2"/>
  <c r="S53" i="2"/>
  <c r="Y53" i="2"/>
  <c r="X53" i="2"/>
  <c r="V53" i="2"/>
  <c r="AV54" i="2"/>
  <c r="AA59" i="2"/>
  <c r="AD69" i="2"/>
  <c r="AV70" i="2"/>
  <c r="AF81" i="2"/>
  <c r="AU116" i="2"/>
  <c r="S117" i="2"/>
  <c r="R123" i="2"/>
  <c r="U123" i="2"/>
  <c r="T123" i="2"/>
  <c r="S123" i="2"/>
  <c r="W123" i="2"/>
  <c r="V123" i="2"/>
  <c r="R127" i="2"/>
  <c r="W139" i="2"/>
  <c r="X139" i="2"/>
  <c r="AI31" i="2"/>
  <c r="W31" i="2"/>
  <c r="AH31" i="2"/>
  <c r="V31" i="2"/>
  <c r="AB7" i="2"/>
  <c r="AW7" i="2" s="1"/>
  <c r="AD21" i="2"/>
  <c r="AV24" i="2"/>
  <c r="AV28" i="2"/>
  <c r="S31" i="2"/>
  <c r="AG31" i="2"/>
  <c r="X33" i="2"/>
  <c r="AM33" i="2"/>
  <c r="W43" i="2"/>
  <c r="Z47" i="2"/>
  <c r="AF69" i="2"/>
  <c r="AI73" i="2"/>
  <c r="AG81" i="2"/>
  <c r="T93" i="2"/>
  <c r="S93" i="2"/>
  <c r="T117" i="2"/>
  <c r="T127" i="2"/>
  <c r="AW138" i="2"/>
  <c r="AX138" i="2" s="1"/>
  <c r="Y139" i="2"/>
  <c r="AV62" i="2"/>
  <c r="W33" i="2"/>
  <c r="T31" i="2"/>
  <c r="AJ31" i="2"/>
  <c r="Y33" i="2"/>
  <c r="AN33" i="2"/>
  <c r="AE35" i="2"/>
  <c r="S35" i="2"/>
  <c r="AD35" i="2"/>
  <c r="AB35" i="2"/>
  <c r="AW35" i="2" s="1"/>
  <c r="T39" i="2"/>
  <c r="X43" i="2"/>
  <c r="AA47" i="2"/>
  <c r="T53" i="2"/>
  <c r="AE63" i="2"/>
  <c r="S63" i="2"/>
  <c r="AC63" i="2"/>
  <c r="AB63" i="2"/>
  <c r="AA63" i="2"/>
  <c r="Z63" i="2"/>
  <c r="Y63" i="2"/>
  <c r="W63" i="2"/>
  <c r="AG69" i="2"/>
  <c r="R142" i="2"/>
  <c r="S107" i="2"/>
  <c r="U117" i="2"/>
  <c r="AU126" i="2"/>
  <c r="AA127" i="2"/>
  <c r="W133" i="2"/>
  <c r="AA133" i="2"/>
  <c r="X133" i="2"/>
  <c r="V133" i="2"/>
  <c r="U133" i="2"/>
  <c r="T133" i="2"/>
  <c r="S133" i="2"/>
  <c r="AB133" i="2"/>
  <c r="Z133" i="2"/>
  <c r="Y133" i="2"/>
  <c r="R133" i="2"/>
  <c r="AF31" i="2"/>
  <c r="U31" i="2"/>
  <c r="AK31" i="2"/>
  <c r="Z33" i="2"/>
  <c r="AO33" i="2"/>
  <c r="S37" i="2"/>
  <c r="W39" i="2"/>
  <c r="Y43" i="2"/>
  <c r="U53" i="2"/>
  <c r="AH69" i="2"/>
  <c r="S142" i="2"/>
  <c r="U107" i="2"/>
  <c r="V117" i="2"/>
  <c r="T21" i="2"/>
  <c r="X31" i="2"/>
  <c r="AL31" i="2"/>
  <c r="AA33" i="2"/>
  <c r="T35" i="2"/>
  <c r="T37" i="2"/>
  <c r="X39" i="2"/>
  <c r="AA43" i="2"/>
  <c r="T49" i="2"/>
  <c r="W53" i="2"/>
  <c r="AE55" i="2"/>
  <c r="S55" i="2"/>
  <c r="AA55" i="2"/>
  <c r="Z55" i="2"/>
  <c r="X55" i="2"/>
  <c r="U63" i="2"/>
  <c r="AJ69" i="2"/>
  <c r="AN73" i="2"/>
  <c r="AB73" i="2"/>
  <c r="AM73" i="2"/>
  <c r="AA73" i="2"/>
  <c r="AL73" i="2"/>
  <c r="Z73" i="2"/>
  <c r="AK73" i="2"/>
  <c r="Y73" i="2"/>
  <c r="AC73" i="2"/>
  <c r="AR73" i="2"/>
  <c r="X73" i="2"/>
  <c r="AQ73" i="2"/>
  <c r="W73" i="2"/>
  <c r="AP73" i="2"/>
  <c r="V73" i="2"/>
  <c r="AJ73" i="2"/>
  <c r="T73" i="2"/>
  <c r="AV78" i="2"/>
  <c r="AV82" i="2"/>
  <c r="X91" i="2"/>
  <c r="W91" i="2"/>
  <c r="V91" i="2"/>
  <c r="U91" i="2"/>
  <c r="T91" i="2"/>
  <c r="S91" i="2"/>
  <c r="W117" i="2"/>
  <c r="AH160" i="2"/>
  <c r="AX128" i="2"/>
  <c r="AU128" i="2"/>
  <c r="AE127" i="2"/>
  <c r="S127" i="2"/>
  <c r="AK127" i="2"/>
  <c r="Y127" i="2"/>
  <c r="AC127" i="2"/>
  <c r="Z127" i="2"/>
  <c r="X127" i="2"/>
  <c r="AL127" i="2"/>
  <c r="W127" i="2"/>
  <c r="AJ127" i="2"/>
  <c r="V127" i="2"/>
  <c r="AI127" i="2"/>
  <c r="U127" i="2"/>
  <c r="AH127" i="2"/>
  <c r="AG127" i="2"/>
  <c r="AF127" i="2"/>
  <c r="AD127" i="2"/>
  <c r="T107" i="2"/>
  <c r="AA107" i="2"/>
  <c r="Z107" i="2"/>
  <c r="Y107" i="2"/>
  <c r="X107" i="2"/>
  <c r="W107" i="2"/>
  <c r="AD107" i="2"/>
  <c r="AB107" i="2"/>
  <c r="AL33" i="2"/>
  <c r="S7" i="2"/>
  <c r="U21" i="2"/>
  <c r="Y31" i="2"/>
  <c r="AM31" i="2"/>
  <c r="AB33" i="2"/>
  <c r="U35" i="2"/>
  <c r="U37" i="2"/>
  <c r="Y39" i="2"/>
  <c r="AW39" i="2" s="1"/>
  <c r="U49" i="2"/>
  <c r="Z53" i="2"/>
  <c r="V63" i="2"/>
  <c r="AU96" i="2"/>
  <c r="AC107" i="2"/>
  <c r="Y113" i="2"/>
  <c r="AA113" i="2"/>
  <c r="Z113" i="2"/>
  <c r="X113" i="2"/>
  <c r="W113" i="2"/>
  <c r="V113" i="2"/>
  <c r="AC113" i="2"/>
  <c r="AB113" i="2"/>
  <c r="U113" i="2"/>
  <c r="T113" i="2"/>
  <c r="S113" i="2"/>
  <c r="W142" i="2"/>
  <c r="AX124" i="2"/>
  <c r="U129" i="2"/>
  <c r="AU130" i="2"/>
  <c r="S137" i="2"/>
  <c r="U137" i="2"/>
  <c r="T137" i="2"/>
  <c r="R137" i="2"/>
  <c r="U47" i="2"/>
  <c r="T47" i="2"/>
  <c r="X59" i="2"/>
  <c r="Y59" i="2"/>
  <c r="W59" i="2"/>
  <c r="U59" i="2"/>
  <c r="AA81" i="2"/>
  <c r="Y81" i="2"/>
  <c r="X81" i="2"/>
  <c r="W81" i="2"/>
  <c r="V81" i="2"/>
  <c r="AB81" i="2"/>
  <c r="Z81" i="2"/>
  <c r="U81" i="2"/>
  <c r="T81" i="2"/>
  <c r="AU89" i="2"/>
  <c r="AA97" i="2"/>
  <c r="AC97" i="2"/>
  <c r="AB97" i="2"/>
  <c r="Z97" i="2"/>
  <c r="Y97" i="2"/>
  <c r="X97" i="2"/>
  <c r="T97" i="2"/>
  <c r="S97" i="2"/>
  <c r="AV106" i="2"/>
  <c r="V129" i="2"/>
  <c r="AC160" i="2"/>
  <c r="AV10" i="2"/>
  <c r="AA31" i="2"/>
  <c r="AO31" i="2"/>
  <c r="T115" i="2"/>
  <c r="V115" i="2"/>
  <c r="U115" i="2"/>
  <c r="S115" i="2"/>
  <c r="Y142" i="2"/>
  <c r="AW116" i="2"/>
  <c r="Y117" i="2"/>
  <c r="W135" i="2"/>
  <c r="AB135" i="2"/>
  <c r="AA135" i="2"/>
  <c r="Z135" i="2"/>
  <c r="Y135" i="2"/>
  <c r="X135" i="2"/>
  <c r="V135" i="2"/>
  <c r="U135" i="2"/>
  <c r="T135" i="2"/>
  <c r="S135" i="2"/>
  <c r="AF160" i="2"/>
  <c r="AB31" i="2"/>
  <c r="AG33" i="2"/>
  <c r="U33" i="2"/>
  <c r="AF33" i="2"/>
  <c r="T33" i="2"/>
  <c r="AD33" i="2"/>
  <c r="AH33" i="2"/>
  <c r="S41" i="2"/>
  <c r="AC43" i="2"/>
  <c r="AB43" i="2"/>
  <c r="Z43" i="2"/>
  <c r="S47" i="2"/>
  <c r="AQ69" i="2"/>
  <c r="AE69" i="2"/>
  <c r="S69" i="2"/>
  <c r="AO69" i="2"/>
  <c r="AC69" i="2"/>
  <c r="AN69" i="2"/>
  <c r="AB69" i="2"/>
  <c r="AP69" i="2"/>
  <c r="Y69" i="2"/>
  <c r="AM69" i="2"/>
  <c r="X69" i="2"/>
  <c r="AL69" i="2"/>
  <c r="W69" i="2"/>
  <c r="AK69" i="2"/>
  <c r="V69" i="2"/>
  <c r="AI69" i="2"/>
  <c r="T69" i="2"/>
  <c r="S81" i="2"/>
  <c r="V97" i="2"/>
  <c r="Z142" i="2"/>
  <c r="AW124" i="2"/>
  <c r="AA142" i="2"/>
  <c r="AW96" i="2"/>
  <c r="AX96" i="2" s="1"/>
  <c r="S101" i="2"/>
  <c r="T101" i="2"/>
  <c r="V142" i="2"/>
  <c r="AI160" i="2"/>
  <c r="AV110" i="2"/>
  <c r="AB160" i="2"/>
  <c r="T121" i="2"/>
  <c r="S121" i="2"/>
  <c r="X142" i="2"/>
  <c r="AJ160" i="2"/>
  <c r="AW126" i="2"/>
  <c r="AX126" i="2" s="1"/>
  <c r="AK160" i="2"/>
  <c r="N131" i="2"/>
  <c r="Y109" i="2"/>
  <c r="AW109" i="2" s="1"/>
  <c r="X109" i="2"/>
  <c r="W109" i="2"/>
  <c r="V109" i="2"/>
  <c r="U109" i="2"/>
  <c r="AB111" i="2"/>
  <c r="AA111" i="2"/>
  <c r="Z111" i="2"/>
  <c r="Y111" i="2"/>
  <c r="X111" i="2"/>
  <c r="W111" i="2"/>
  <c r="AX116" i="2"/>
  <c r="U121" i="2"/>
  <c r="AD160" i="2"/>
  <c r="AL160" i="2"/>
  <c r="AR160" i="2"/>
  <c r="AI75" i="2"/>
  <c r="W75" i="2"/>
  <c r="AH75" i="2"/>
  <c r="V75" i="2"/>
  <c r="AG75" i="2"/>
  <c r="U75" i="2"/>
  <c r="AR75" i="2"/>
  <c r="AF75" i="2"/>
  <c r="T75" i="2"/>
  <c r="AK75" i="2"/>
  <c r="U142" i="2"/>
  <c r="AU118" i="2"/>
  <c r="V121" i="2"/>
  <c r="AV122" i="2"/>
  <c r="AE142" i="2"/>
  <c r="AS144" i="2"/>
  <c r="AS160" i="2"/>
  <c r="AV56" i="2"/>
  <c r="AL75" i="2"/>
  <c r="V105" i="2"/>
  <c r="U105" i="2"/>
  <c r="T105" i="2"/>
  <c r="S105" i="2"/>
  <c r="S109" i="2"/>
  <c r="S111" i="2"/>
  <c r="T142" i="2"/>
  <c r="Z117" i="2"/>
  <c r="AB117" i="2"/>
  <c r="AA117" i="2"/>
  <c r="AX136" i="2"/>
  <c r="AU136" i="2"/>
  <c r="T139" i="2"/>
  <c r="AG160" i="2"/>
  <c r="AT144" i="2"/>
  <c r="AT160" i="2"/>
  <c r="AA77" i="2"/>
  <c r="AF83" i="2"/>
  <c r="T83" i="2"/>
  <c r="AD83" i="2"/>
  <c r="T129" i="2"/>
  <c r="Z129" i="2"/>
  <c r="AW129" i="2" s="1"/>
  <c r="AB139" i="2"/>
  <c r="AH139" i="2"/>
  <c r="V139" i="2"/>
  <c r="AC139" i="2"/>
  <c r="AB77" i="2"/>
  <c r="AE83" i="2"/>
  <c r="AU124" i="2"/>
  <c r="AD139" i="2"/>
  <c r="AC77" i="2"/>
  <c r="AU132" i="2"/>
  <c r="AE139" i="2"/>
  <c r="U83" i="2"/>
  <c r="AH83" i="2"/>
  <c r="R129" i="2"/>
  <c r="R139" i="2"/>
  <c r="AF139" i="2"/>
  <c r="S129" i="2"/>
  <c r="S139" i="2"/>
  <c r="AG139" i="2"/>
  <c r="AM160" i="2"/>
  <c r="AU138" i="2"/>
  <c r="AN160" i="2"/>
  <c r="AO160" i="2"/>
  <c r="AB153" i="2"/>
  <c r="AB156" i="2" s="1"/>
  <c r="AB162" i="2" s="1"/>
  <c r="AN153" i="2"/>
  <c r="AB155" i="2"/>
  <c r="AN155" i="2"/>
  <c r="AC153" i="2"/>
  <c r="AO153" i="2"/>
  <c r="AC155" i="2"/>
  <c r="AO155" i="2"/>
  <c r="R153" i="2"/>
  <c r="AD153" i="2"/>
  <c r="AP153" i="2"/>
  <c r="AP156" i="2" s="1"/>
  <c r="AP162" i="2" s="1"/>
  <c r="R155" i="2"/>
  <c r="AD155" i="2"/>
  <c r="AP155" i="2"/>
  <c r="X151" i="2"/>
  <c r="S153" i="2"/>
  <c r="AE153" i="2"/>
  <c r="AQ153" i="2"/>
  <c r="S155" i="2"/>
  <c r="AE155" i="2"/>
  <c r="AQ155" i="2"/>
  <c r="Y151" i="2"/>
  <c r="T153" i="2"/>
  <c r="T156" i="2" s="1"/>
  <c r="T162" i="2" s="1"/>
  <c r="AF153" i="2"/>
  <c r="AR153" i="2"/>
  <c r="AR156" i="2" s="1"/>
  <c r="AR162" i="2" s="1"/>
  <c r="T155" i="2"/>
  <c r="AF155" i="2"/>
  <c r="AR155" i="2"/>
  <c r="U153" i="2"/>
  <c r="AG153" i="2"/>
  <c r="AS153" i="2"/>
  <c r="U155" i="2"/>
  <c r="AG155" i="2"/>
  <c r="AS155" i="2"/>
  <c r="V153" i="2"/>
  <c r="V156" i="2" s="1"/>
  <c r="V162" i="2" s="1"/>
  <c r="AH153" i="2"/>
  <c r="AT153" i="2"/>
  <c r="AT156" i="2" s="1"/>
  <c r="AT162" i="2" s="1"/>
  <c r="V155" i="2"/>
  <c r="AH155" i="2"/>
  <c r="AT155" i="2"/>
  <c r="W153" i="2"/>
  <c r="AI153" i="2"/>
  <c r="W155" i="2"/>
  <c r="AI155" i="2"/>
  <c r="X153" i="2"/>
  <c r="AJ153" i="2"/>
  <c r="AJ156" i="2" s="1"/>
  <c r="AJ162" i="2" s="1"/>
  <c r="X155" i="2"/>
  <c r="AJ155" i="2"/>
  <c r="R151" i="2"/>
  <c r="Y153" i="2"/>
  <c r="AK153" i="2"/>
  <c r="AU154" i="2"/>
  <c r="Y155" i="2"/>
  <c r="AK155" i="2"/>
  <c r="Z153" i="2"/>
  <c r="AL153" i="2"/>
  <c r="AL156" i="2" s="1"/>
  <c r="AL162" i="2" s="1"/>
  <c r="Z155" i="2"/>
  <c r="AL155" i="2"/>
  <c r="AA153" i="2"/>
  <c r="AA156" i="2" s="1"/>
  <c r="AA162" i="2" s="1"/>
  <c r="AA155" i="2"/>
  <c r="O144" i="4" l="1"/>
  <c r="M281" i="4"/>
  <c r="L88" i="4"/>
  <c r="M88" i="4" s="1"/>
  <c r="M222" i="4"/>
  <c r="M90" i="4"/>
  <c r="M221" i="4"/>
  <c r="M170" i="4"/>
  <c r="L168" i="4"/>
  <c r="L164" i="4" s="1"/>
  <c r="M151" i="4"/>
  <c r="O170" i="4"/>
  <c r="P170" i="4" s="1"/>
  <c r="O151" i="4"/>
  <c r="M268" i="4"/>
  <c r="O89" i="4"/>
  <c r="O88" i="4" s="1"/>
  <c r="P88" i="4" s="1"/>
  <c r="G67" i="4"/>
  <c r="M46" i="4"/>
  <c r="O46" i="4"/>
  <c r="P46" i="4" s="1"/>
  <c r="O115" i="4"/>
  <c r="P115" i="4" s="1"/>
  <c r="M115" i="4"/>
  <c r="M66" i="4"/>
  <c r="O76" i="4"/>
  <c r="P76" i="4" s="1"/>
  <c r="M76" i="4"/>
  <c r="O63" i="4"/>
  <c r="P63" i="4" s="1"/>
  <c r="M63" i="4"/>
  <c r="M95" i="4"/>
  <c r="O96" i="4"/>
  <c r="M96" i="4"/>
  <c r="M10" i="4"/>
  <c r="O72" i="4"/>
  <c r="P72" i="4" s="1"/>
  <c r="M72" i="4"/>
  <c r="G98" i="4"/>
  <c r="G91" i="4"/>
  <c r="P208" i="4"/>
  <c r="O211" i="4"/>
  <c r="P211" i="4" s="1"/>
  <c r="M211" i="4"/>
  <c r="L101" i="4"/>
  <c r="J101" i="4"/>
  <c r="L136" i="4"/>
  <c r="L127" i="4" s="1"/>
  <c r="J136" i="4"/>
  <c r="O129" i="4"/>
  <c r="P129" i="4" s="1"/>
  <c r="M129" i="4"/>
  <c r="M69" i="4"/>
  <c r="O69" i="4"/>
  <c r="P35" i="4"/>
  <c r="O34" i="4"/>
  <c r="P34" i="4" s="1"/>
  <c r="O262" i="4"/>
  <c r="P262" i="4" s="1"/>
  <c r="M262" i="4"/>
  <c r="O18" i="4"/>
  <c r="P18" i="4" s="1"/>
  <c r="M18" i="4"/>
  <c r="P28" i="4"/>
  <c r="L54" i="4"/>
  <c r="J54" i="4"/>
  <c r="L60" i="4"/>
  <c r="J60" i="4"/>
  <c r="P269" i="4"/>
  <c r="O268" i="4"/>
  <c r="P268" i="4" s="1"/>
  <c r="M134" i="4"/>
  <c r="O134" i="4"/>
  <c r="P134" i="4" s="1"/>
  <c r="M251" i="4"/>
  <c r="L155" i="4"/>
  <c r="J155" i="4"/>
  <c r="L153" i="4"/>
  <c r="J153" i="4"/>
  <c r="I150" i="4"/>
  <c r="M83" i="4"/>
  <c r="O83" i="4"/>
  <c r="P83" i="4" s="1"/>
  <c r="I282" i="4"/>
  <c r="J282" i="4" s="1"/>
  <c r="O277" i="4"/>
  <c r="P277" i="4" s="1"/>
  <c r="M277" i="4"/>
  <c r="L259" i="4"/>
  <c r="J259" i="4"/>
  <c r="M202" i="4"/>
  <c r="O202" i="4"/>
  <c r="P202" i="4" s="1"/>
  <c r="O276" i="4"/>
  <c r="P276" i="4" s="1"/>
  <c r="M276" i="4"/>
  <c r="L183" i="4"/>
  <c r="M184" i="4"/>
  <c r="O184" i="4"/>
  <c r="O130" i="4"/>
  <c r="P130" i="4" s="1"/>
  <c r="M130" i="4"/>
  <c r="L100" i="4"/>
  <c r="J100" i="4"/>
  <c r="O233" i="4"/>
  <c r="P233" i="4" s="1"/>
  <c r="M233" i="4"/>
  <c r="M39" i="4"/>
  <c r="O39" i="4"/>
  <c r="P39" i="4" s="1"/>
  <c r="L58" i="4"/>
  <c r="J58" i="4"/>
  <c r="O38" i="4"/>
  <c r="M38" i="4"/>
  <c r="M30" i="4"/>
  <c r="O30" i="4"/>
  <c r="P30" i="4" s="1"/>
  <c r="O114" i="4"/>
  <c r="P114" i="4" s="1"/>
  <c r="M114" i="4"/>
  <c r="M104" i="4"/>
  <c r="O104" i="4"/>
  <c r="P104" i="4" s="1"/>
  <c r="M34" i="4"/>
  <c r="O119" i="4"/>
  <c r="P119" i="4" s="1"/>
  <c r="M119" i="4"/>
  <c r="L118" i="4"/>
  <c r="J118" i="4"/>
  <c r="O93" i="4"/>
  <c r="M93" i="4"/>
  <c r="L92" i="4"/>
  <c r="O85" i="4"/>
  <c r="P85" i="4" s="1"/>
  <c r="M85" i="4"/>
  <c r="O257" i="4"/>
  <c r="P257" i="4" s="1"/>
  <c r="M257" i="4"/>
  <c r="M248" i="4"/>
  <c r="O248" i="4"/>
  <c r="P248" i="4" s="1"/>
  <c r="O29" i="4"/>
  <c r="P29" i="4" s="1"/>
  <c r="M29" i="4"/>
  <c r="J275" i="4"/>
  <c r="L275" i="4"/>
  <c r="O273" i="4"/>
  <c r="P273" i="4" s="1"/>
  <c r="M273" i="4"/>
  <c r="O266" i="4"/>
  <c r="P266" i="4" s="1"/>
  <c r="M266" i="4"/>
  <c r="O142" i="4"/>
  <c r="P142" i="4" s="1"/>
  <c r="M142" i="4"/>
  <c r="M203" i="4"/>
  <c r="O203" i="4"/>
  <c r="P203" i="4" s="1"/>
  <c r="M159" i="4"/>
  <c r="O159" i="4"/>
  <c r="P159" i="4" s="1"/>
  <c r="M109" i="4"/>
  <c r="O109" i="4"/>
  <c r="P109" i="4" s="1"/>
  <c r="O131" i="4"/>
  <c r="P131" i="4" s="1"/>
  <c r="M131" i="4"/>
  <c r="O71" i="4"/>
  <c r="P71" i="4" s="1"/>
  <c r="M71" i="4"/>
  <c r="M7" i="4"/>
  <c r="L40" i="4"/>
  <c r="L37" i="4" s="1"/>
  <c r="J40" i="4"/>
  <c r="P252" i="4"/>
  <c r="O251" i="4"/>
  <c r="G127" i="4"/>
  <c r="L41" i="4"/>
  <c r="J41" i="4"/>
  <c r="J278" i="4"/>
  <c r="L278" i="4"/>
  <c r="L160" i="4"/>
  <c r="J160" i="4"/>
  <c r="G250" i="4"/>
  <c r="G251" i="4"/>
  <c r="M284" i="4"/>
  <c r="O284" i="4" s="1"/>
  <c r="P284" i="4" s="1"/>
  <c r="L245" i="4"/>
  <c r="J245" i="4"/>
  <c r="J198" i="4"/>
  <c r="L244" i="4"/>
  <c r="J244" i="4"/>
  <c r="L205" i="4"/>
  <c r="J205" i="4"/>
  <c r="I204" i="4"/>
  <c r="J204" i="4" s="1"/>
  <c r="I164" i="4"/>
  <c r="J164" i="4" s="1"/>
  <c r="I182" i="4"/>
  <c r="J182" i="4" s="1"/>
  <c r="O147" i="4"/>
  <c r="P147" i="4" s="1"/>
  <c r="M147" i="4"/>
  <c r="L78" i="4"/>
  <c r="J78" i="4"/>
  <c r="O12" i="4"/>
  <c r="P12" i="4" s="1"/>
  <c r="M12" i="4"/>
  <c r="P8" i="4"/>
  <c r="O7" i="4"/>
  <c r="M56" i="4"/>
  <c r="O56" i="4"/>
  <c r="P56" i="4" s="1"/>
  <c r="L107" i="4"/>
  <c r="O108" i="4"/>
  <c r="M108" i="4"/>
  <c r="M25" i="4"/>
  <c r="O25" i="4"/>
  <c r="P25" i="4" s="1"/>
  <c r="M84" i="4"/>
  <c r="O84" i="4"/>
  <c r="P84" i="4" s="1"/>
  <c r="O236" i="4"/>
  <c r="M236" i="4"/>
  <c r="L235" i="4"/>
  <c r="O215" i="4"/>
  <c r="P215" i="4" s="1"/>
  <c r="M215" i="4"/>
  <c r="O279" i="4"/>
  <c r="P279" i="4" s="1"/>
  <c r="M279" i="4"/>
  <c r="M53" i="4"/>
  <c r="O53" i="4"/>
  <c r="P53" i="4" s="1"/>
  <c r="O226" i="4"/>
  <c r="P226" i="4" s="1"/>
  <c r="M226" i="4"/>
  <c r="O267" i="4"/>
  <c r="P267" i="4" s="1"/>
  <c r="M267" i="4"/>
  <c r="L216" i="4"/>
  <c r="J216" i="4"/>
  <c r="L232" i="4"/>
  <c r="J232" i="4"/>
  <c r="I231" i="4"/>
  <c r="J231" i="4" s="1"/>
  <c r="L271" i="4"/>
  <c r="O272" i="4"/>
  <c r="M272" i="4"/>
  <c r="M224" i="4"/>
  <c r="L223" i="4"/>
  <c r="O224" i="4"/>
  <c r="P140" i="4"/>
  <c r="O185" i="4"/>
  <c r="P185" i="4" s="1"/>
  <c r="M185" i="4"/>
  <c r="O212" i="4"/>
  <c r="P212" i="4" s="1"/>
  <c r="M212" i="4"/>
  <c r="L80" i="4"/>
  <c r="J80" i="4"/>
  <c r="J103" i="4"/>
  <c r="L103" i="4"/>
  <c r="I102" i="4"/>
  <c r="J102" i="4" s="1"/>
  <c r="L32" i="4"/>
  <c r="J32" i="4"/>
  <c r="M55" i="4"/>
  <c r="O55" i="4"/>
  <c r="P55" i="4" s="1"/>
  <c r="G145" i="4"/>
  <c r="P165" i="4"/>
  <c r="M19" i="4"/>
  <c r="O82" i="4"/>
  <c r="P82" i="4" s="1"/>
  <c r="M82" i="4"/>
  <c r="O61" i="4"/>
  <c r="P61" i="4" s="1"/>
  <c r="M61" i="4"/>
  <c r="P11" i="4"/>
  <c r="J81" i="4"/>
  <c r="L81" i="4"/>
  <c r="L105" i="4"/>
  <c r="J105" i="4"/>
  <c r="P20" i="4"/>
  <c r="O19" i="4"/>
  <c r="P19" i="4" s="1"/>
  <c r="L31" i="4"/>
  <c r="J31" i="4"/>
  <c r="O113" i="4"/>
  <c r="P113" i="4" s="1"/>
  <c r="M113" i="4"/>
  <c r="J251" i="4"/>
  <c r="O230" i="4"/>
  <c r="P230" i="4" s="1"/>
  <c r="M230" i="4"/>
  <c r="M195" i="4"/>
  <c r="O195" i="4"/>
  <c r="O149" i="4"/>
  <c r="P149" i="4" s="1"/>
  <c r="M149" i="4"/>
  <c r="L112" i="4"/>
  <c r="L110" i="4" s="1"/>
  <c r="J112" i="4"/>
  <c r="L13" i="4"/>
  <c r="O14" i="4"/>
  <c r="M14" i="4"/>
  <c r="I50" i="4"/>
  <c r="L51" i="4"/>
  <c r="J51" i="4"/>
  <c r="O15" i="4"/>
  <c r="P15" i="4" s="1"/>
  <c r="M15" i="4"/>
  <c r="O141" i="4"/>
  <c r="P141" i="4" s="1"/>
  <c r="M141" i="4"/>
  <c r="L139" i="4"/>
  <c r="O167" i="4"/>
  <c r="P167" i="4" s="1"/>
  <c r="M167" i="4"/>
  <c r="O146" i="4"/>
  <c r="M146" i="4"/>
  <c r="P151" i="4"/>
  <c r="O258" i="4"/>
  <c r="P258" i="4" s="1"/>
  <c r="M258" i="4"/>
  <c r="L218" i="4"/>
  <c r="J218" i="4"/>
  <c r="G217" i="4"/>
  <c r="P283" i="4"/>
  <c r="O234" i="4"/>
  <c r="P234" i="4" s="1"/>
  <c r="M234" i="4"/>
  <c r="O214" i="4"/>
  <c r="P214" i="4" s="1"/>
  <c r="M214" i="4"/>
  <c r="M132" i="4"/>
  <c r="O132" i="4"/>
  <c r="P132" i="4" s="1"/>
  <c r="I67" i="4"/>
  <c r="L70" i="4"/>
  <c r="J70" i="4"/>
  <c r="L196" i="4"/>
  <c r="J196" i="4"/>
  <c r="I98" i="4"/>
  <c r="J98" i="4" s="1"/>
  <c r="L99" i="4"/>
  <c r="J99" i="4"/>
  <c r="P144" i="4"/>
  <c r="O143" i="4"/>
  <c r="P143" i="4" s="1"/>
  <c r="J240" i="4"/>
  <c r="I239" i="4"/>
  <c r="J239" i="4" s="1"/>
  <c r="M225" i="4"/>
  <c r="O225" i="4"/>
  <c r="P225" i="4" s="1"/>
  <c r="O163" i="4"/>
  <c r="P163" i="4" s="1"/>
  <c r="M163" i="4"/>
  <c r="J127" i="4"/>
  <c r="M135" i="4"/>
  <c r="O135" i="4"/>
  <c r="P135" i="4" s="1"/>
  <c r="L137" i="4"/>
  <c r="J137" i="4"/>
  <c r="O148" i="4"/>
  <c r="P148" i="4" s="1"/>
  <c r="M148" i="4"/>
  <c r="M133" i="4"/>
  <c r="O133" i="4"/>
  <c r="P133" i="4" s="1"/>
  <c r="G23" i="4"/>
  <c r="L57" i="4"/>
  <c r="J57" i="4"/>
  <c r="J23" i="4"/>
  <c r="I110" i="4"/>
  <c r="J110" i="4" s="1"/>
  <c r="M48" i="4"/>
  <c r="L47" i="4"/>
  <c r="M47" i="4" s="1"/>
  <c r="O48" i="4"/>
  <c r="M227" i="4"/>
  <c r="M240" i="4"/>
  <c r="O199" i="4"/>
  <c r="L198" i="4"/>
  <c r="M199" i="4"/>
  <c r="P228" i="4"/>
  <c r="L219" i="4"/>
  <c r="O220" i="4"/>
  <c r="M220" i="4"/>
  <c r="O289" i="4"/>
  <c r="P289" i="4" s="1"/>
  <c r="M289" i="4"/>
  <c r="O128" i="4"/>
  <c r="M128" i="4"/>
  <c r="L265" i="4"/>
  <c r="J265" i="4"/>
  <c r="I264" i="4"/>
  <c r="J264" i="4" s="1"/>
  <c r="M52" i="4"/>
  <c r="O52" i="4"/>
  <c r="P52" i="4" s="1"/>
  <c r="M194" i="4"/>
  <c r="O194" i="4"/>
  <c r="P194" i="4" s="1"/>
  <c r="O33" i="4"/>
  <c r="P33" i="4" s="1"/>
  <c r="M33" i="4"/>
  <c r="M143" i="4"/>
  <c r="J7" i="4"/>
  <c r="J17" i="4"/>
  <c r="L17" i="4"/>
  <c r="I16" i="4"/>
  <c r="J16" i="4" s="1"/>
  <c r="O158" i="4"/>
  <c r="P158" i="4" s="1"/>
  <c r="M158" i="4"/>
  <c r="O64" i="4"/>
  <c r="P64" i="4" s="1"/>
  <c r="M64" i="4"/>
  <c r="L210" i="4"/>
  <c r="J210" i="4"/>
  <c r="I207" i="4"/>
  <c r="J207" i="4" s="1"/>
  <c r="O247" i="4"/>
  <c r="P247" i="4" s="1"/>
  <c r="M247" i="4"/>
  <c r="O201" i="4"/>
  <c r="P201" i="4" s="1"/>
  <c r="M201" i="4"/>
  <c r="P241" i="4"/>
  <c r="O240" i="4"/>
  <c r="J274" i="4"/>
  <c r="L274" i="4"/>
  <c r="M186" i="4"/>
  <c r="O186" i="4"/>
  <c r="P186" i="4" s="1"/>
  <c r="L192" i="4"/>
  <c r="O193" i="4"/>
  <c r="M193" i="4"/>
  <c r="O59" i="4"/>
  <c r="P59" i="4" s="1"/>
  <c r="M59" i="4"/>
  <c r="I27" i="4"/>
  <c r="J27" i="4" s="1"/>
  <c r="J26" i="4"/>
  <c r="L26" i="4"/>
  <c r="L23" i="4" s="1"/>
  <c r="G42" i="4"/>
  <c r="G43" i="4"/>
  <c r="L79" i="4"/>
  <c r="J79" i="4"/>
  <c r="J10" i="4"/>
  <c r="M176" i="4"/>
  <c r="O176" i="4" s="1"/>
  <c r="P176" i="4" s="1"/>
  <c r="O62" i="4"/>
  <c r="P62" i="4" s="1"/>
  <c r="M62" i="4"/>
  <c r="O87" i="4"/>
  <c r="P87" i="4" s="1"/>
  <c r="M87" i="4"/>
  <c r="O24" i="4"/>
  <c r="M24" i="4"/>
  <c r="M111" i="4"/>
  <c r="O111" i="4"/>
  <c r="Y143" i="2"/>
  <c r="Y161" i="2" s="1"/>
  <c r="W156" i="2"/>
  <c r="W162" i="2" s="1"/>
  <c r="AR143" i="2"/>
  <c r="AE125" i="2"/>
  <c r="AE143" i="2" s="1"/>
  <c r="AX9" i="2"/>
  <c r="AW55" i="2"/>
  <c r="T125" i="2"/>
  <c r="AU37" i="2"/>
  <c r="AT163" i="2"/>
  <c r="AT165" i="2" s="1"/>
  <c r="AX75" i="2"/>
  <c r="AU21" i="2"/>
  <c r="AV21" i="2" s="1"/>
  <c r="AW21" i="2"/>
  <c r="AX21" i="2" s="1"/>
  <c r="AH125" i="2"/>
  <c r="AW19" i="2"/>
  <c r="AX19" i="2" s="1"/>
  <c r="U156" i="2"/>
  <c r="U162" i="2" s="1"/>
  <c r="S156" i="2"/>
  <c r="S162" i="2" s="1"/>
  <c r="AW75" i="2"/>
  <c r="N142" i="2"/>
  <c r="AX13" i="2"/>
  <c r="U125" i="2"/>
  <c r="AD111" i="2"/>
  <c r="AC111" i="2"/>
  <c r="AC143" i="2" s="1"/>
  <c r="AC161" i="2" s="1"/>
  <c r="AC163" i="2" s="1"/>
  <c r="AC165" i="2" s="1"/>
  <c r="V111" i="2"/>
  <c r="V143" i="2" s="1"/>
  <c r="V161" i="2" s="1"/>
  <c r="U111" i="2"/>
  <c r="U143" i="2" s="1"/>
  <c r="U161" i="2" s="1"/>
  <c r="T111" i="2"/>
  <c r="AU135" i="2"/>
  <c r="V125" i="2"/>
  <c r="X143" i="2"/>
  <c r="X161" i="2" s="1"/>
  <c r="W125" i="2"/>
  <c r="AN143" i="2"/>
  <c r="AN161" i="2" s="1"/>
  <c r="AG125" i="2"/>
  <c r="Y125" i="2"/>
  <c r="AW119" i="2"/>
  <c r="AU25" i="2"/>
  <c r="AV25" i="2" s="1"/>
  <c r="AX103" i="2"/>
  <c r="AF125" i="2"/>
  <c r="AU125" i="2" s="1"/>
  <c r="AB125" i="2"/>
  <c r="AD156" i="2"/>
  <c r="AD162" i="2" s="1"/>
  <c r="AW133" i="2"/>
  <c r="AW83" i="2"/>
  <c r="AU121" i="2"/>
  <c r="AU45" i="2"/>
  <c r="S125" i="2"/>
  <c r="R125" i="2"/>
  <c r="AU19" i="2"/>
  <c r="AV19" i="2" s="1"/>
  <c r="AU59" i="2"/>
  <c r="AV59" i="2" s="1"/>
  <c r="AW43" i="2"/>
  <c r="AX43" i="2" s="1"/>
  <c r="AU43" i="2"/>
  <c r="AV43" i="2" s="1"/>
  <c r="Z125" i="2"/>
  <c r="AW125" i="2" s="1"/>
  <c r="AX125" i="2" s="1"/>
  <c r="AX25" i="2"/>
  <c r="AW25" i="2"/>
  <c r="Z143" i="2"/>
  <c r="Z161" i="2" s="1"/>
  <c r="AA143" i="2"/>
  <c r="AA161" i="2" s="1"/>
  <c r="AR161" i="2"/>
  <c r="AR163" i="2" s="1"/>
  <c r="AR165" i="2" s="1"/>
  <c r="AR144" i="2"/>
  <c r="AV37" i="2"/>
  <c r="AV45" i="2"/>
  <c r="AV96" i="2"/>
  <c r="Z156" i="2"/>
  <c r="Z162" i="2" s="1"/>
  <c r="AS156" i="2"/>
  <c r="AS162" i="2" s="1"/>
  <c r="AS163" i="2" s="1"/>
  <c r="AS165" i="2" s="1"/>
  <c r="AV124" i="2"/>
  <c r="AY124" i="2"/>
  <c r="T160" i="2"/>
  <c r="AV121" i="2"/>
  <c r="AA160" i="2"/>
  <c r="AX137" i="2"/>
  <c r="AU137" i="2"/>
  <c r="AW127" i="2"/>
  <c r="S160" i="2"/>
  <c r="AU75" i="2"/>
  <c r="AU27" i="2"/>
  <c r="AW87" i="2"/>
  <c r="AX87" i="2" s="1"/>
  <c r="AP143" i="2"/>
  <c r="AI143" i="2"/>
  <c r="AO143" i="2"/>
  <c r="AU71" i="2"/>
  <c r="AX71" i="2"/>
  <c r="AI156" i="2"/>
  <c r="AI162" i="2" s="1"/>
  <c r="AG156" i="2"/>
  <c r="AG162" i="2" s="1"/>
  <c r="AQ156" i="2"/>
  <c r="AQ162" i="2" s="1"/>
  <c r="AU77" i="2"/>
  <c r="AW77" i="2"/>
  <c r="AX77" i="2" s="1"/>
  <c r="AU111" i="2"/>
  <c r="AE160" i="2"/>
  <c r="AU47" i="2"/>
  <c r="AW97" i="2"/>
  <c r="AX97" i="2" s="1"/>
  <c r="AW63" i="2"/>
  <c r="AX63" i="2" s="1"/>
  <c r="AV13" i="2"/>
  <c r="AW37" i="2"/>
  <c r="AX37" i="2" s="1"/>
  <c r="AD143" i="2"/>
  <c r="AX119" i="2"/>
  <c r="AU119" i="2"/>
  <c r="AW155" i="2"/>
  <c r="AX155" i="2" s="1"/>
  <c r="AE156" i="2"/>
  <c r="AE162" i="2" s="1"/>
  <c r="AU139" i="2"/>
  <c r="AX109" i="2"/>
  <c r="AU109" i="2"/>
  <c r="Z160" i="2"/>
  <c r="AW117" i="2"/>
  <c r="AX117" i="2" s="1"/>
  <c r="AW81" i="2"/>
  <c r="AX81" i="2" s="1"/>
  <c r="AB143" i="2"/>
  <c r="AQ143" i="2"/>
  <c r="AW57" i="2"/>
  <c r="AX57" i="2" s="1"/>
  <c r="AJ143" i="2"/>
  <c r="AU153" i="2"/>
  <c r="AV103" i="2"/>
  <c r="AU113" i="2"/>
  <c r="AO156" i="2"/>
  <c r="AO162" i="2" s="1"/>
  <c r="AV138" i="2"/>
  <c r="AY138" i="2"/>
  <c r="AX129" i="2"/>
  <c r="AU129" i="2"/>
  <c r="AX105" i="2"/>
  <c r="AU105" i="2"/>
  <c r="AV9" i="2"/>
  <c r="AU123" i="2"/>
  <c r="AX123" i="2"/>
  <c r="AW53" i="2"/>
  <c r="AX53" i="2" s="1"/>
  <c r="AX17" i="2"/>
  <c r="AX45" i="2"/>
  <c r="AK143" i="2"/>
  <c r="AU101" i="2"/>
  <c r="AX101" i="2"/>
  <c r="X160" i="2"/>
  <c r="AK156" i="2"/>
  <c r="AK162" i="2" s="1"/>
  <c r="X156" i="2"/>
  <c r="X162" i="2" s="1"/>
  <c r="AC156" i="2"/>
  <c r="AC162" i="2" s="1"/>
  <c r="AX121" i="2"/>
  <c r="R131" i="2"/>
  <c r="S131" i="2"/>
  <c r="U131" i="2"/>
  <c r="T131" i="2"/>
  <c r="W131" i="2"/>
  <c r="W143" i="2" s="1"/>
  <c r="V131" i="2"/>
  <c r="AW69" i="2"/>
  <c r="Y144" i="2"/>
  <c r="AW142" i="2"/>
  <c r="AX142" i="2" s="1"/>
  <c r="Y160" i="2"/>
  <c r="AU73" i="2"/>
  <c r="AV128" i="2"/>
  <c r="AY128" i="2"/>
  <c r="AU133" i="2"/>
  <c r="AX133" i="2"/>
  <c r="AU117" i="2"/>
  <c r="AU53" i="2"/>
  <c r="AW27" i="2"/>
  <c r="AX27" i="2" s="1"/>
  <c r="AU95" i="2"/>
  <c r="AX95" i="2"/>
  <c r="AX99" i="2"/>
  <c r="AU99" i="2"/>
  <c r="AX15" i="2"/>
  <c r="AU15" i="2"/>
  <c r="AU17" i="2"/>
  <c r="AU97" i="2"/>
  <c r="AV118" i="2"/>
  <c r="AU41" i="2"/>
  <c r="AX41" i="2"/>
  <c r="AU115" i="2"/>
  <c r="AX115" i="2"/>
  <c r="AY126" i="2"/>
  <c r="AV126" i="2"/>
  <c r="AW139" i="2"/>
  <c r="AX139" i="2" s="1"/>
  <c r="AV116" i="2"/>
  <c r="AW47" i="2"/>
  <c r="AX47" i="2" s="1"/>
  <c r="AW51" i="2"/>
  <c r="AW17" i="2"/>
  <c r="AU83" i="2"/>
  <c r="AX83" i="2"/>
  <c r="S143" i="2"/>
  <c r="S161" i="2" s="1"/>
  <c r="AX7" i="2"/>
  <c r="AU7" i="2"/>
  <c r="AU87" i="2"/>
  <c r="R156" i="2"/>
  <c r="AU151" i="2"/>
  <c r="U160" i="2"/>
  <c r="AV89" i="2"/>
  <c r="AY130" i="2"/>
  <c r="AW107" i="2"/>
  <c r="AX107" i="2" s="1"/>
  <c r="AW73" i="2"/>
  <c r="AX73" i="2" s="1"/>
  <c r="AU63" i="2"/>
  <c r="AX35" i="2"/>
  <c r="AU35" i="2"/>
  <c r="AV85" i="2"/>
  <c r="AL143" i="2"/>
  <c r="AU49" i="2"/>
  <c r="AX49" i="2"/>
  <c r="AW153" i="2"/>
  <c r="AX153" i="2" s="1"/>
  <c r="AH156" i="2"/>
  <c r="AH162" i="2" s="1"/>
  <c r="AF156" i="2"/>
  <c r="AF162" i="2" s="1"/>
  <c r="AN156" i="2"/>
  <c r="AN162" i="2" s="1"/>
  <c r="AN163" i="2" s="1"/>
  <c r="AN165" i="2" s="1"/>
  <c r="AW111" i="2"/>
  <c r="AU81" i="2"/>
  <c r="AW59" i="2"/>
  <c r="AX59" i="2" s="1"/>
  <c r="AX55" i="2"/>
  <c r="AU55" i="2"/>
  <c r="AU107" i="2"/>
  <c r="AW45" i="2"/>
  <c r="AU79" i="2"/>
  <c r="AG143" i="2"/>
  <c r="AU69" i="2"/>
  <c r="AX69" i="2"/>
  <c r="AU155" i="2"/>
  <c r="V160" i="2"/>
  <c r="AW31" i="2"/>
  <c r="R160" i="2"/>
  <c r="AU142" i="2"/>
  <c r="P142" i="2"/>
  <c r="AU31" i="2"/>
  <c r="AX31" i="2"/>
  <c r="AU39" i="2"/>
  <c r="AX39" i="2"/>
  <c r="AU33" i="2"/>
  <c r="AU57" i="2"/>
  <c r="AM143" i="2"/>
  <c r="Y156" i="2"/>
  <c r="AW151" i="2"/>
  <c r="AX151" i="2" s="1"/>
  <c r="AY132" i="2"/>
  <c r="AW135" i="2"/>
  <c r="AX135" i="2" s="1"/>
  <c r="W160" i="2"/>
  <c r="AW113" i="2"/>
  <c r="AX113" i="2" s="1"/>
  <c r="AU91" i="2"/>
  <c r="AX91" i="2"/>
  <c r="AW33" i="2"/>
  <c r="AX33" i="2" s="1"/>
  <c r="AU93" i="2"/>
  <c r="AX93" i="2"/>
  <c r="AU127" i="2"/>
  <c r="AX127" i="2"/>
  <c r="AU61" i="2"/>
  <c r="AW61" i="2"/>
  <c r="AX61" i="2" s="1"/>
  <c r="AW79" i="2"/>
  <c r="AX79" i="2" s="1"/>
  <c r="AX51" i="2"/>
  <c r="AU51" i="2"/>
  <c r="AH143" i="2"/>
  <c r="O282" i="4" l="1"/>
  <c r="P282" i="4" s="1"/>
  <c r="I9" i="4"/>
  <c r="J9" i="4" s="1"/>
  <c r="L239" i="4"/>
  <c r="M239" i="4"/>
  <c r="P89" i="4"/>
  <c r="M168" i="4"/>
  <c r="O227" i="4"/>
  <c r="P227" i="4" s="1"/>
  <c r="L182" i="4"/>
  <c r="O168" i="4"/>
  <c r="P168" i="4" s="1"/>
  <c r="M282" i="4"/>
  <c r="L27" i="4"/>
  <c r="M27" i="4" s="1"/>
  <c r="O139" i="4"/>
  <c r="P139" i="4" s="1"/>
  <c r="P96" i="4"/>
  <c r="O95" i="4"/>
  <c r="P95" i="4" s="1"/>
  <c r="J67" i="4"/>
  <c r="M37" i="4"/>
  <c r="O57" i="4"/>
  <c r="P57" i="4" s="1"/>
  <c r="M57" i="4"/>
  <c r="G22" i="4"/>
  <c r="O105" i="4"/>
  <c r="P105" i="4" s="1"/>
  <c r="M105" i="4"/>
  <c r="M103" i="4"/>
  <c r="O103" i="4"/>
  <c r="L102" i="4"/>
  <c r="G288" i="4"/>
  <c r="G290" i="4"/>
  <c r="J150" i="4"/>
  <c r="I145" i="4"/>
  <c r="M137" i="4"/>
  <c r="O137" i="4"/>
  <c r="P137" i="4" s="1"/>
  <c r="O99" i="4"/>
  <c r="M99" i="4"/>
  <c r="L98" i="4"/>
  <c r="P14" i="4"/>
  <c r="O13" i="4"/>
  <c r="P13" i="4" s="1"/>
  <c r="L138" i="4"/>
  <c r="M139" i="4"/>
  <c r="M13" i="4"/>
  <c r="P251" i="4"/>
  <c r="O118" i="4"/>
  <c r="P118" i="4" s="1"/>
  <c r="M118" i="4"/>
  <c r="M60" i="4"/>
  <c r="O60" i="4"/>
  <c r="P60" i="4" s="1"/>
  <c r="O136" i="4"/>
  <c r="P136" i="4" s="1"/>
  <c r="M136" i="4"/>
  <c r="P195" i="4"/>
  <c r="O32" i="4"/>
  <c r="P32" i="4" s="1"/>
  <c r="M32" i="4"/>
  <c r="O100" i="4"/>
  <c r="P100" i="4" s="1"/>
  <c r="M100" i="4"/>
  <c r="M271" i="4"/>
  <c r="M219" i="4"/>
  <c r="O47" i="4"/>
  <c r="P47" i="4" s="1"/>
  <c r="P48" i="4"/>
  <c r="O31" i="4"/>
  <c r="P31" i="4" s="1"/>
  <c r="M31" i="4"/>
  <c r="O223" i="4"/>
  <c r="P223" i="4" s="1"/>
  <c r="P224" i="4"/>
  <c r="M235" i="4"/>
  <c r="P108" i="4"/>
  <c r="O107" i="4"/>
  <c r="P107" i="4" s="1"/>
  <c r="M205" i="4"/>
  <c r="L204" i="4"/>
  <c r="O205" i="4"/>
  <c r="O153" i="4"/>
  <c r="M153" i="4"/>
  <c r="L150" i="4"/>
  <c r="I43" i="4"/>
  <c r="J50" i="4"/>
  <c r="O271" i="4"/>
  <c r="P271" i="4" s="1"/>
  <c r="P272" i="4"/>
  <c r="P240" i="4"/>
  <c r="M164" i="4"/>
  <c r="O70" i="4"/>
  <c r="P70" i="4" s="1"/>
  <c r="M70" i="4"/>
  <c r="L67" i="4"/>
  <c r="O112" i="4"/>
  <c r="P112" i="4" s="1"/>
  <c r="M112" i="4"/>
  <c r="O10" i="4"/>
  <c r="P80" i="4"/>
  <c r="M80" i="4"/>
  <c r="O232" i="4"/>
  <c r="M232" i="4"/>
  <c r="L231" i="4"/>
  <c r="O275" i="4"/>
  <c r="P275" i="4" s="1"/>
  <c r="M275" i="4"/>
  <c r="O183" i="4"/>
  <c r="P183" i="4" s="1"/>
  <c r="P184" i="4"/>
  <c r="O54" i="4"/>
  <c r="P54" i="4" s="1"/>
  <c r="M54" i="4"/>
  <c r="O101" i="4"/>
  <c r="P101" i="4" s="1"/>
  <c r="M101" i="4"/>
  <c r="M182" i="4"/>
  <c r="O265" i="4"/>
  <c r="M265" i="4"/>
  <c r="L264" i="4"/>
  <c r="M127" i="4"/>
  <c r="M223" i="4"/>
  <c r="P236" i="4"/>
  <c r="O235" i="4"/>
  <c r="P235" i="4" s="1"/>
  <c r="M107" i="4"/>
  <c r="O78" i="4"/>
  <c r="P78" i="4" s="1"/>
  <c r="M78" i="4"/>
  <c r="M244" i="4"/>
  <c r="O244" i="4"/>
  <c r="P244" i="4" s="1"/>
  <c r="M259" i="4"/>
  <c r="O259" i="4"/>
  <c r="P259" i="4" s="1"/>
  <c r="O155" i="4"/>
  <c r="P155" i="4" s="1"/>
  <c r="M155" i="4"/>
  <c r="O58" i="4"/>
  <c r="P58" i="4" s="1"/>
  <c r="M58" i="4"/>
  <c r="O41" i="4"/>
  <c r="P41" i="4" s="1"/>
  <c r="M41" i="4"/>
  <c r="M245" i="4"/>
  <c r="O245" i="4"/>
  <c r="P245" i="4" s="1"/>
  <c r="M23" i="4"/>
  <c r="I250" i="4"/>
  <c r="J250" i="4" s="1"/>
  <c r="M216" i="4"/>
  <c r="O216" i="4"/>
  <c r="P216" i="4" s="1"/>
  <c r="O218" i="4"/>
  <c r="M218" i="4"/>
  <c r="P220" i="4"/>
  <c r="O219" i="4"/>
  <c r="P219" i="4" s="1"/>
  <c r="M192" i="4"/>
  <c r="I91" i="4"/>
  <c r="J91" i="4" s="1"/>
  <c r="L16" i="4"/>
  <c r="L6" i="4" s="1"/>
  <c r="O17" i="4"/>
  <c r="M17" i="4"/>
  <c r="O26" i="4"/>
  <c r="P26" i="4" s="1"/>
  <c r="M26" i="4"/>
  <c r="P128" i="4"/>
  <c r="O127" i="4"/>
  <c r="M198" i="4"/>
  <c r="O160" i="4"/>
  <c r="P160" i="4" s="1"/>
  <c r="M160" i="4"/>
  <c r="P38" i="4"/>
  <c r="M183" i="4"/>
  <c r="P69" i="4"/>
  <c r="P93" i="4"/>
  <c r="O92" i="4"/>
  <c r="O164" i="4"/>
  <c r="P164" i="4" s="1"/>
  <c r="O192" i="4"/>
  <c r="P192" i="4" s="1"/>
  <c r="P193" i="4"/>
  <c r="O138" i="4"/>
  <c r="O79" i="4"/>
  <c r="P79" i="4" s="1"/>
  <c r="M79" i="4"/>
  <c r="P111" i="4"/>
  <c r="P199" i="4"/>
  <c r="O198" i="4"/>
  <c r="I22" i="4"/>
  <c r="J22" i="4" s="1"/>
  <c r="P7" i="4"/>
  <c r="I197" i="4"/>
  <c r="J197" i="4" s="1"/>
  <c r="O278" i="4"/>
  <c r="P278" i="4" s="1"/>
  <c r="M278" i="4"/>
  <c r="I217" i="4"/>
  <c r="J217" i="4" s="1"/>
  <c r="P24" i="4"/>
  <c r="O81" i="4"/>
  <c r="P81" i="4" s="1"/>
  <c r="M81" i="4"/>
  <c r="M196" i="4"/>
  <c r="O196" i="4"/>
  <c r="P196" i="4" s="1"/>
  <c r="M110" i="4"/>
  <c r="O274" i="4"/>
  <c r="P274" i="4" s="1"/>
  <c r="M274" i="4"/>
  <c r="O210" i="4"/>
  <c r="M210" i="4"/>
  <c r="L207" i="4"/>
  <c r="I6" i="4"/>
  <c r="J6" i="4" s="1"/>
  <c r="P146" i="4"/>
  <c r="O51" i="4"/>
  <c r="M51" i="4"/>
  <c r="L50" i="4"/>
  <c r="O40" i="4"/>
  <c r="P40" i="4" s="1"/>
  <c r="M40" i="4"/>
  <c r="M92" i="4"/>
  <c r="AE161" i="2"/>
  <c r="AE144" i="2"/>
  <c r="AF143" i="2"/>
  <c r="AN144" i="2"/>
  <c r="AX111" i="2"/>
  <c r="AW143" i="2"/>
  <c r="V163" i="2"/>
  <c r="V165" i="2" s="1"/>
  <c r="X144" i="2"/>
  <c r="AE163" i="2"/>
  <c r="AE165" i="2" s="1"/>
  <c r="Z144" i="2"/>
  <c r="AA163" i="2"/>
  <c r="AA165" i="2" s="1"/>
  <c r="AA144" i="2"/>
  <c r="AC144" i="2"/>
  <c r="W161" i="2"/>
  <c r="W163" i="2" s="1"/>
  <c r="W165" i="2" s="1"/>
  <c r="W144" i="2"/>
  <c r="AV142" i="2"/>
  <c r="AH161" i="2"/>
  <c r="AH163" i="2" s="1"/>
  <c r="AH165" i="2" s="1"/>
  <c r="AH144" i="2"/>
  <c r="AV93" i="2"/>
  <c r="AG161" i="2"/>
  <c r="AG163" i="2" s="1"/>
  <c r="AG165" i="2" s="1"/>
  <c r="AG144" i="2"/>
  <c r="AK161" i="2"/>
  <c r="AK163" i="2" s="1"/>
  <c r="AK165" i="2" s="1"/>
  <c r="AK144" i="2"/>
  <c r="AV129" i="2"/>
  <c r="T143" i="2"/>
  <c r="S144" i="2"/>
  <c r="AV51" i="2"/>
  <c r="Y162" i="2"/>
  <c r="AW162" i="2" s="1"/>
  <c r="AW156" i="2"/>
  <c r="AX156" i="2" s="1"/>
  <c r="AV79" i="2"/>
  <c r="AV63" i="2"/>
  <c r="U163" i="2"/>
  <c r="U165" i="2" s="1"/>
  <c r="AV99" i="2"/>
  <c r="Z163" i="2"/>
  <c r="Z165" i="2" s="1"/>
  <c r="AV47" i="2"/>
  <c r="S163" i="2"/>
  <c r="S165" i="2" s="1"/>
  <c r="AM161" i="2"/>
  <c r="AM163" i="2" s="1"/>
  <c r="AM165" i="2" s="1"/>
  <c r="AM144" i="2"/>
  <c r="U144" i="2"/>
  <c r="AV115" i="2"/>
  <c r="AU131" i="2"/>
  <c r="AX131" i="2"/>
  <c r="R143" i="2"/>
  <c r="AV81" i="2"/>
  <c r="AV7" i="2"/>
  <c r="AV17" i="2"/>
  <c r="AV105" i="2"/>
  <c r="AV113" i="2"/>
  <c r="AV69" i="2"/>
  <c r="AV35" i="2"/>
  <c r="AV15" i="2"/>
  <c r="AV101" i="2"/>
  <c r="AV119" i="2"/>
  <c r="AV91" i="2"/>
  <c r="AU160" i="2"/>
  <c r="AV83" i="2"/>
  <c r="AV109" i="2"/>
  <c r="AV71" i="2"/>
  <c r="AV57" i="2"/>
  <c r="AV41" i="2"/>
  <c r="AV95" i="2"/>
  <c r="AV73" i="2"/>
  <c r="AF161" i="2"/>
  <c r="AF163" i="2" s="1"/>
  <c r="AF165" i="2" s="1"/>
  <c r="AF144" i="2"/>
  <c r="AO161" i="2"/>
  <c r="AO163" i="2" s="1"/>
  <c r="AO165" i="2" s="1"/>
  <c r="AO144" i="2"/>
  <c r="AV75" i="2"/>
  <c r="AV61" i="2"/>
  <c r="AV33" i="2"/>
  <c r="AV107" i="2"/>
  <c r="AW160" i="2"/>
  <c r="AX160" i="2" s="1"/>
  <c r="AJ161" i="2"/>
  <c r="AJ163" i="2" s="1"/>
  <c r="AJ165" i="2" s="1"/>
  <c r="AJ144" i="2"/>
  <c r="AV139" i="2"/>
  <c r="AV111" i="2"/>
  <c r="AI161" i="2"/>
  <c r="AI163" i="2" s="1"/>
  <c r="AI165" i="2" s="1"/>
  <c r="AI144" i="2"/>
  <c r="AU156" i="2"/>
  <c r="R162" i="2"/>
  <c r="AV53" i="2"/>
  <c r="AV123" i="2"/>
  <c r="AD161" i="2"/>
  <c r="AD163" i="2" s="1"/>
  <c r="AD165" i="2" s="1"/>
  <c r="AD144" i="2"/>
  <c r="AP161" i="2"/>
  <c r="AP163" i="2" s="1"/>
  <c r="AP165" i="2" s="1"/>
  <c r="AP144" i="2"/>
  <c r="AV39" i="2"/>
  <c r="V144" i="2"/>
  <c r="AV55" i="2"/>
  <c r="AV49" i="2"/>
  <c r="AL161" i="2"/>
  <c r="AL163" i="2" s="1"/>
  <c r="AL165" i="2" s="1"/>
  <c r="AL144" i="2"/>
  <c r="AV87" i="2"/>
  <c r="X163" i="2"/>
  <c r="X165" i="2" s="1"/>
  <c r="AV125" i="2"/>
  <c r="AQ161" i="2"/>
  <c r="AQ163" i="2" s="1"/>
  <c r="AQ165" i="2" s="1"/>
  <c r="AQ144" i="2"/>
  <c r="AV77" i="2"/>
  <c r="AV127" i="2"/>
  <c r="AV31" i="2"/>
  <c r="AV97" i="2"/>
  <c r="AV117" i="2"/>
  <c r="AB161" i="2"/>
  <c r="AB163" i="2" s="1"/>
  <c r="AB165" i="2" s="1"/>
  <c r="AB144" i="2"/>
  <c r="AV27" i="2"/>
  <c r="L9" i="4" l="1"/>
  <c r="M9" i="4" s="1"/>
  <c r="L22" i="4"/>
  <c r="M22" i="4" s="1"/>
  <c r="O23" i="4"/>
  <c r="P23" i="4" s="1"/>
  <c r="O110" i="4"/>
  <c r="P110" i="4" s="1"/>
  <c r="L91" i="4"/>
  <c r="M91" i="4" s="1"/>
  <c r="O37" i="4"/>
  <c r="P37" i="4" s="1"/>
  <c r="O27" i="4"/>
  <c r="P27" i="4" s="1"/>
  <c r="P153" i="4"/>
  <c r="O150" i="4"/>
  <c r="P218" i="4"/>
  <c r="P265" i="4"/>
  <c r="O264" i="4"/>
  <c r="P264" i="4" s="1"/>
  <c r="P205" i="4"/>
  <c r="O204" i="4"/>
  <c r="P204" i="4" s="1"/>
  <c r="P232" i="4"/>
  <c r="O231" i="4"/>
  <c r="P231" i="4" s="1"/>
  <c r="P198" i="4"/>
  <c r="O50" i="4"/>
  <c r="P51" i="4"/>
  <c r="P17" i="4"/>
  <c r="O16" i="4"/>
  <c r="P16" i="4" s="1"/>
  <c r="M16" i="4"/>
  <c r="M204" i="4"/>
  <c r="J145" i="4"/>
  <c r="I288" i="4"/>
  <c r="M264" i="4"/>
  <c r="P92" i="4"/>
  <c r="O67" i="4"/>
  <c r="P67" i="4" s="1"/>
  <c r="P10" i="4"/>
  <c r="O239" i="4"/>
  <c r="P239" i="4" s="1"/>
  <c r="M138" i="4"/>
  <c r="L43" i="4"/>
  <c r="M50" i="4"/>
  <c r="G106" i="4"/>
  <c r="M98" i="4"/>
  <c r="M207" i="4"/>
  <c r="L250" i="4"/>
  <c r="J43" i="4"/>
  <c r="I42" i="4"/>
  <c r="J42" i="4" s="1"/>
  <c r="O182" i="4"/>
  <c r="P182" i="4" s="1"/>
  <c r="M102" i="4"/>
  <c r="O6" i="4"/>
  <c r="P6" i="4" s="1"/>
  <c r="L197" i="4"/>
  <c r="M197" i="4" s="1"/>
  <c r="P99" i="4"/>
  <c r="O98" i="4"/>
  <c r="P98" i="4" s="1"/>
  <c r="P103" i="4"/>
  <c r="O102" i="4"/>
  <c r="P102" i="4" s="1"/>
  <c r="P210" i="4"/>
  <c r="O207" i="4"/>
  <c r="P207" i="4" s="1"/>
  <c r="O22" i="4"/>
  <c r="P127" i="4"/>
  <c r="M231" i="4"/>
  <c r="M67" i="4"/>
  <c r="M6" i="4"/>
  <c r="P138" i="4"/>
  <c r="M150" i="4"/>
  <c r="L145" i="4"/>
  <c r="AW144" i="2"/>
  <c r="AX143" i="2"/>
  <c r="AU143" i="2"/>
  <c r="R161" i="2"/>
  <c r="P143" i="2"/>
  <c r="N143" i="2"/>
  <c r="R144" i="2"/>
  <c r="AW161" i="2"/>
  <c r="T161" i="2"/>
  <c r="T163" i="2" s="1"/>
  <c r="T165" i="2" s="1"/>
  <c r="T144" i="2"/>
  <c r="AX162" i="2"/>
  <c r="AU162" i="2"/>
  <c r="Y163" i="2"/>
  <c r="P22" i="4" l="1"/>
  <c r="O9" i="4"/>
  <c r="P9" i="4" s="1"/>
  <c r="I106" i="4"/>
  <c r="I121" i="4" s="1"/>
  <c r="O197" i="4"/>
  <c r="P197" i="4" s="1"/>
  <c r="O250" i="4"/>
  <c r="P250" i="4" s="1"/>
  <c r="O91" i="4"/>
  <c r="P91" i="4" s="1"/>
  <c r="M145" i="4"/>
  <c r="G291" i="4"/>
  <c r="G121" i="4"/>
  <c r="L42" i="4"/>
  <c r="M43" i="4"/>
  <c r="J288" i="4"/>
  <c r="I290" i="4"/>
  <c r="J290" i="4" s="1"/>
  <c r="P150" i="4"/>
  <c r="O145" i="4"/>
  <c r="M250" i="4"/>
  <c r="L217" i="4"/>
  <c r="P50" i="4"/>
  <c r="O43" i="4"/>
  <c r="AX144" i="2"/>
  <c r="AU144" i="2"/>
  <c r="AU161" i="2"/>
  <c r="AX161" i="2"/>
  <c r="R163" i="2"/>
  <c r="AV143" i="2"/>
  <c r="AW163" i="2"/>
  <c r="Y165" i="2"/>
  <c r="O217" i="4" l="1"/>
  <c r="P217" i="4" s="1"/>
  <c r="I3" i="4"/>
  <c r="J106" i="4"/>
  <c r="O42" i="4"/>
  <c r="P43" i="4"/>
  <c r="M42" i="4"/>
  <c r="L106" i="4"/>
  <c r="M217" i="4"/>
  <c r="I291" i="4"/>
  <c r="J291" i="4" s="1"/>
  <c r="J121" i="4"/>
  <c r="P145" i="4"/>
  <c r="L288" i="4"/>
  <c r="R165" i="2"/>
  <c r="AX163" i="2"/>
  <c r="AU163" i="2"/>
  <c r="AV144" i="2"/>
  <c r="O288" i="4" l="1"/>
  <c r="P288" i="4" s="1"/>
  <c r="L3" i="4"/>
  <c r="M106" i="4"/>
  <c r="L121" i="4"/>
  <c r="L290" i="4"/>
  <c r="M288" i="4"/>
  <c r="P42" i="4"/>
  <c r="O106" i="4"/>
  <c r="O290" i="4" l="1"/>
  <c r="P290" i="4" s="1"/>
  <c r="M290" i="4"/>
  <c r="L291" i="4"/>
  <c r="M121" i="4"/>
  <c r="O121" i="4"/>
  <c r="P106" i="4"/>
  <c r="O3" i="4"/>
  <c r="O291" i="4" l="1"/>
  <c r="P291" i="4" s="1"/>
  <c r="P121" i="4"/>
  <c r="M29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D0B8B74B-12AD-475B-B32D-83CA81A56AF8}">
      <text>
        <r>
          <rPr>
            <b/>
            <sz val="9"/>
            <color indexed="81"/>
            <rFont val="Tahoma"/>
            <family val="2"/>
            <charset val="186"/>
          </rPr>
          <t>Sarmīte Mūze:</t>
        </r>
        <r>
          <rPr>
            <sz val="9"/>
            <color indexed="81"/>
            <rFont val="Tahoma"/>
            <family val="2"/>
            <charset val="186"/>
          </rPr>
          <t xml:space="preserve">
1010 supervizijas EKK 18.6.3.</t>
        </r>
      </text>
    </comment>
    <comment ref="E278" authorId="0" shapeId="0" xr:uid="{C2FDF94E-2773-4775-955E-8EDBF776DB8D}">
      <text>
        <r>
          <rPr>
            <b/>
            <sz val="9"/>
            <color indexed="81"/>
            <rFont val="Tahoma"/>
            <family val="2"/>
            <charset val="186"/>
          </rPr>
          <t>Sarmīte Mūze:</t>
        </r>
        <r>
          <rPr>
            <sz val="9"/>
            <color indexed="81"/>
            <rFont val="Tahoma"/>
            <family val="2"/>
            <charset val="186"/>
          </rPr>
          <t xml:space="preserve">
Šis ir jāizņem no 0930 un jāliek 0982 algā.
</t>
        </r>
      </text>
    </comment>
    <comment ref="F278" authorId="0" shapeId="0" xr:uid="{DC57921F-3CAB-4D32-B01D-10448AF9CEC5}">
      <text>
        <r>
          <rPr>
            <b/>
            <sz val="9"/>
            <color indexed="81"/>
            <rFont val="Tahoma"/>
            <family val="2"/>
            <charset val="186"/>
          </rPr>
          <t>Sarmīte Mūze:</t>
        </r>
        <r>
          <rPr>
            <sz val="9"/>
            <color indexed="81"/>
            <rFont val="Tahoma"/>
            <family val="2"/>
            <charset val="186"/>
          </rPr>
          <t xml:space="preserve">
Šis ir jāizņem no 0930 un jāliek 0982 algā.
</t>
        </r>
      </text>
    </comment>
    <comment ref="I278" authorId="0" shapeId="0" xr:uid="{A35B5FAD-83BA-4EA9-B5DC-104D13F82741}">
      <text>
        <r>
          <rPr>
            <b/>
            <sz val="9"/>
            <color indexed="81"/>
            <rFont val="Tahoma"/>
            <family val="2"/>
            <charset val="186"/>
          </rPr>
          <t>Sarmīte Mūze:</t>
        </r>
        <r>
          <rPr>
            <sz val="9"/>
            <color indexed="81"/>
            <rFont val="Tahoma"/>
            <family val="2"/>
            <charset val="186"/>
          </rPr>
          <t xml:space="preserve">
Šis ir jāizņem no 0930 un jāliek 0982 algā.
</t>
        </r>
      </text>
    </comment>
    <comment ref="L278" authorId="0" shapeId="0" xr:uid="{EEBC02FC-7912-4BA0-B41E-1C9CF6DE24E4}">
      <text>
        <r>
          <rPr>
            <b/>
            <sz val="9"/>
            <color indexed="81"/>
            <rFont val="Tahoma"/>
            <family val="2"/>
            <charset val="186"/>
          </rPr>
          <t>Sarmīte Mūze:</t>
        </r>
        <r>
          <rPr>
            <sz val="9"/>
            <color indexed="81"/>
            <rFont val="Tahoma"/>
            <family val="2"/>
            <charset val="186"/>
          </rPr>
          <t xml:space="preserve">
Šis ir jāizņem no 0930 un jāliek 0982 algā.
</t>
        </r>
      </text>
    </comment>
    <comment ref="O278" authorId="0" shapeId="0" xr:uid="{29B907DD-0BC6-438B-9E72-027AC8AFB203}">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D1CD2F3E-0C16-4734-8A6C-146878C9A41E}">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<sst xmlns="http://schemas.openxmlformats.org/spreadsheetml/2006/main" count="1684" uniqueCount="1100">
  <si>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</si>
  <si>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</si>
  <si>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</si>
  <si>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</si>
  <si>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</si>
  <si>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</si>
  <si>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</si>
  <si>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</si>
  <si>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</si>
  <si>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</si>
  <si>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29.05.2025. grozījumi</t>
  </si>
  <si>
    <t>Izmaiņa 29.05.2025. - 27.03.2025.</t>
  </si>
  <si>
    <t>26.06.2025. grozījumi</t>
  </si>
  <si>
    <t>Izmaiņa 26.06.2025. - 29.05.2025.</t>
  </si>
  <si>
    <t>28.08.2025. grozījumi</t>
  </si>
  <si>
    <t>Izmaiņa 28.08.2025. - 26.06.2025.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</si>
  <si>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</si>
  <si>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</si>
  <si>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</si>
  <si>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</si>
  <si>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</si>
  <si>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</si>
  <si>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</si>
  <si>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</si>
  <si>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</si>
  <si>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</si>
  <si>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</si>
  <si>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</si>
  <si>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</si>
  <si>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</si>
  <si>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</si>
  <si>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</si>
  <si>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</si>
  <si>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</si>
  <si>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</si>
  <si>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</si>
  <si>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</si>
  <si>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</si>
  <si>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</si>
  <si>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</si>
  <si>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</si>
  <si>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</si>
  <si>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</si>
  <si>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</si>
  <si>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</si>
  <si>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</si>
  <si>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</si>
  <si>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</si>
  <si>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</si>
  <si>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</si>
  <si>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</si>
  <si>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</si>
  <si>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</si>
  <si>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</si>
  <si>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</si>
  <si>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</si>
  <si>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</si>
  <si>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</si>
  <si>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</si>
  <si>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</si>
  <si>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</si>
  <si>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</si>
  <si>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</si>
  <si>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</si>
  <si>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</si>
  <si>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</si>
  <si>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</si>
  <si>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</si>
  <si>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</si>
  <si>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</si>
  <si>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</si>
  <si>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</si>
  <si>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</si>
  <si>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</si>
  <si>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</si>
  <si>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</si>
  <si>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</si>
  <si>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</si>
  <si>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</si>
  <si>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</si>
  <si>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</si>
  <si>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</si>
  <si>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</si>
  <si>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</si>
  <si>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</si>
  <si>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</si>
  <si>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</si>
  <si>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</si>
  <si>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</si>
  <si>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</si>
  <si>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</si>
  <si>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</si>
  <si>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</si>
  <si>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</si>
  <si>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</si>
  <si>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</si>
  <si>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</si>
  <si>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</si>
  <si>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</si>
  <si>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</si>
  <si>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</si>
  <si>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</si>
  <si>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</si>
  <si>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</si>
  <si>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</si>
  <si>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</si>
  <si>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</si>
  <si>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</si>
  <si>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</si>
  <si>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</si>
  <si>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</si>
  <si>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</si>
  <si>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</si>
  <si>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</si>
  <si>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</si>
  <si>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</si>
  <si>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</si>
  <si>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Reāli saņemtais finansējums no pašvaldības īpašumu pārdošanas.</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</si>
  <si>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</si>
  <si>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</si>
  <si>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</si>
  <si>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</si>
  <si>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</si>
  <si>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</si>
  <si>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</si>
  <si>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</si>
  <si>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</si>
  <si>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</si>
  <si>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</si>
  <si>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</si>
  <si>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</si>
  <si>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</si>
  <si>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</si>
  <si>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</si>
  <si>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</si>
  <si>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</si>
  <si>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</si>
  <si>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</si>
  <si>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</si>
  <si>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</si>
  <si>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</si>
  <si>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</si>
  <si>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</si>
  <si>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</si>
  <si>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</si>
  <si>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</si>
  <si>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</si>
  <si>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</si>
  <si>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</si>
  <si>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</si>
  <si>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</si>
  <si>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</si>
  <si>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</si>
  <si>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</si>
  <si>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</si>
  <si>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</si>
  <si>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</si>
  <si>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</si>
  <si>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</si>
  <si>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</si>
  <si>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</si>
  <si>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</si>
  <si>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</si>
  <si>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</si>
  <si>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</si>
  <si>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</si>
  <si>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</si>
  <si>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</si>
  <si>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</si>
  <si>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Valsts finansējums projektu konkursā "Atbalsts jaunatnes politikas īstenošanai vietējā līmenī" Projekts "Mobilais darbs ar jaunatni Ādažu novadā"</t>
  </si>
  <si>
    <t>18.6.2.20.</t>
  </si>
  <si>
    <t>10.1.12.</t>
  </si>
  <si>
    <t>Dotācijas Ukrainas pilsoņu atbalstam</t>
  </si>
  <si>
    <t>10.1.13.</t>
  </si>
  <si>
    <t>Dotācijas "Energoresursu atbalsts"</t>
  </si>
  <si>
    <t>18.6.2.6.1.</t>
  </si>
  <si>
    <t>10.1.14.</t>
  </si>
  <si>
    <t>Dotācija nodarbinātības pasākumiem</t>
  </si>
  <si>
    <t>0630</t>
  </si>
  <si>
    <t>18.6.2.9.; 18.6.2.6.1.</t>
  </si>
  <si>
    <t>10.1.15.</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</si>
  <si>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</si>
  <si>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</si>
  <si>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</si>
  <si>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</si>
  <si>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labbūtībasveicināšanai izglītības vidē.</t>
  </si>
  <si>
    <t>10.2.</t>
  </si>
  <si>
    <t>ES struktūrfondu līdzekļi un aktivitāšu līdzfinansējumi</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</si>
  <si>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</si>
  <si>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</si>
  <si>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</si>
  <si>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</si>
  <si>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</si>
  <si>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</si>
  <si>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</si>
  <si>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</si>
  <si>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</si>
  <si>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</si>
  <si>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</si>
  <si>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</si>
  <si>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</si>
  <si>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</si>
  <si>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</si>
  <si>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</si>
  <si>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</si>
  <si>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</si>
  <si>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</si>
  <si>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</si>
  <si>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</si>
  <si>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</si>
  <si>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</si>
  <si>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</si>
  <si>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</si>
  <si>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</si>
  <si>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</si>
  <si>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10.2.11.</t>
  </si>
  <si>
    <t>Jaunais plūdu projekts - 2.1.3.2. "Nacionālas nozīmes plūdu un krasta erozijas pasākumi" 1.daļa</t>
  </si>
  <si>
    <t>0631.2</t>
  </si>
  <si>
    <t>10.2.12.</t>
  </si>
  <si>
    <t>Krastupes ielas projekts</t>
  </si>
  <si>
    <t>10.2.13.</t>
  </si>
  <si>
    <t>EKII</t>
  </si>
  <si>
    <t>EKII projekts noslēdzies, tiks ieskaitīts gala maksājums, kas jānovirza kredīta atmaksai</t>
  </si>
  <si>
    <t>0903</t>
  </si>
  <si>
    <t>10.2.14.</t>
  </si>
  <si>
    <t>Jaunas pirmsskolas izglītības iestādes Podniekos būvniecība</t>
  </si>
  <si>
    <t>0932</t>
  </si>
  <si>
    <t>10.2.16.</t>
  </si>
  <si>
    <t>Projekts “Digitālā darba ar jaunatni sistēmas attīstība pašvaldībās”</t>
  </si>
  <si>
    <t>EUR 30'428 projekta “Digitālā darba ar jaunatni sistēmas attīstība pašvaldībās” ārfinansējums (0932).</t>
  </si>
  <si>
    <t xml:space="preserve">0633.1 </t>
  </si>
  <si>
    <t>10.2.17.</t>
  </si>
  <si>
    <t xml:space="preserve"> ”Mobilitātes punkta infrastruktūras izveidošana Rīgas metropoles areālā – “Carnikava””</t>
  </si>
  <si>
    <t>0633.2</t>
  </si>
  <si>
    <t>10.2.18.</t>
  </si>
  <si>
    <t>Maģistrālā  veloceļa izbūve Rīga-Carnikava</t>
  </si>
  <si>
    <t>10.2.20.</t>
  </si>
  <si>
    <t>"Blusu" kroga pārbūves tehniskā projekta izstrāde</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</si>
  <si>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</si>
  <si>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</si>
  <si>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</si>
  <si>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</si>
  <si>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</si>
  <si>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</si>
  <si>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</si>
  <si>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</si>
  <si>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</si>
  <si>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</si>
  <si>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</si>
  <si>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</si>
  <si>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</si>
  <si>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</si>
  <si>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</si>
  <si>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</si>
  <si>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</si>
  <si>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</si>
  <si>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</si>
  <si>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</si>
  <si>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</si>
  <si>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</si>
  <si>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</si>
  <si>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</si>
  <si>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</si>
  <si>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</si>
  <si>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</si>
  <si>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</si>
  <si>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</si>
  <si>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</si>
  <si>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</si>
  <si>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</si>
  <si>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</si>
  <si>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</si>
  <si>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</si>
  <si>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</si>
  <si>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</si>
  <si>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</si>
  <si>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</si>
  <si>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</si>
  <si>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Papildus plānotajam ieņēmumi Gaujas svētku ietvaros</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</si>
  <si>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</si>
  <si>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</si>
  <si>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</si>
  <si>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</si>
  <si>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</si>
  <si>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</si>
  <si>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</si>
  <si>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</si>
  <si>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</si>
  <si>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</si>
  <si>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</si>
  <si>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</si>
  <si>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</si>
  <si>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</si>
  <si>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</si>
  <si>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</si>
  <si>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</si>
  <si>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</si>
  <si>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</si>
  <si>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</si>
  <si>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</si>
  <si>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</si>
  <si>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</si>
  <si>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</si>
  <si>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</si>
  <si>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</si>
  <si>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</si>
  <si>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14.3.</t>
  </si>
  <si>
    <t>Āra lifta izbūve pie A korpusa</t>
  </si>
  <si>
    <t>14.4.</t>
  </si>
  <si>
    <t>Ādažu vidusskolas D korpusa siltināšana</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</si>
  <si>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</si>
  <si>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</si>
  <si>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</si>
  <si>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</si>
  <si>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</si>
  <si>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</si>
  <si>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</si>
  <si>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Precizēts pēc projekta naudas plūsmas</t>
  </si>
  <si>
    <t>14.10.</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</si>
  <si>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</si>
  <si>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</si>
  <si>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</si>
  <si>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</si>
  <si>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</si>
  <si>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</si>
  <si>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</si>
  <si>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</si>
  <si>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</si>
  <si>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</si>
  <si>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</si>
  <si>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</si>
  <si>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</si>
  <si>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</si>
  <si>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</si>
  <si>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</si>
  <si>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</si>
  <si>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</si>
  <si>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</si>
  <si>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</si>
  <si>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</si>
  <si>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</si>
  <si>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</si>
  <si>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</si>
  <si>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</si>
  <si>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</si>
  <si>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</si>
  <si>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</si>
  <si>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</si>
  <si>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</si>
  <si>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</si>
  <si>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</si>
  <si>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</si>
  <si>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</si>
  <si>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</si>
  <si>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</si>
  <si>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</si>
  <si>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</si>
  <si>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</si>
  <si>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</si>
  <si>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</si>
  <si>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</si>
  <si>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</si>
  <si>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</si>
  <si>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</si>
  <si>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</si>
  <si>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</si>
  <si>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</si>
  <si>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</si>
  <si>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</si>
  <si>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</si>
  <si>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</si>
  <si>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</si>
  <si>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</si>
  <si>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</si>
  <si>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</si>
  <si>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</si>
  <si>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</si>
  <si>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</si>
  <si>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</si>
  <si>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</si>
  <si>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</si>
  <si>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</si>
  <si>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</si>
  <si>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</si>
  <si>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EUR 2'000 no ekonomijas plānošanas programmas iegādei iniciatīvu projektu finansējuma palielinājumam.</t>
  </si>
  <si>
    <t>Ieguvumu izdevumu analīzei ERAF projektu pieteikumiem «Multimodāls sabiedriskā transporta tīkls» STACIJA 2.0 (Garciems, Carnikava, Gauja).</t>
  </si>
  <si>
    <t>0630.1</t>
  </si>
  <si>
    <t>5.5.2.</t>
  </si>
  <si>
    <t>Projekts "Sabiedrība ar dvēseli"</t>
  </si>
  <si>
    <t>5.5.3.</t>
  </si>
  <si>
    <t>Iedzīvotāju iniciatīvas un konkursi.</t>
  </si>
  <si>
    <t>5.5.4.</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</si>
  <si>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</si>
  <si>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</si>
  <si>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</si>
  <si>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</si>
  <si>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</si>
  <si>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</si>
  <si>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</si>
  <si>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</si>
  <si>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</si>
  <si>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</si>
  <si>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</si>
  <si>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</si>
  <si>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</si>
  <si>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</si>
  <si>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</si>
  <si>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</si>
  <si>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</si>
  <si>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</si>
  <si>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</si>
  <si>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</si>
  <si>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</si>
  <si>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</si>
  <si>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</si>
  <si>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</si>
  <si>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</si>
  <si>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</si>
  <si>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</si>
  <si>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</si>
  <si>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</si>
  <si>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</si>
  <si>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</si>
  <si>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EUR 5'051 no Gaujas dambja virskārtas atjaunošanai plānotajiem līdzekļiem novirzīt Lavera ceļa drenu kolektora iztekas pārbūvei.</t>
  </si>
  <si>
    <t>Daļu no ielu dubultās virsmas apstrādei plānotajiem līdzekļiem un daļu no Skolas ielas pārbūvei plānotajiem līdzekļiem novirzīt transportlīdzekļa (ar sniega lāpstu) un kaisītāja iegādei. (saskaņā ar 09.07.2025. lēmumu #270).</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</si>
  <si>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</si>
  <si>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</si>
  <si>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</si>
  <si>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</si>
  <si>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</si>
  <si>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</si>
  <si>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</si>
  <si>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</si>
  <si>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</si>
  <si>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</si>
  <si>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</si>
  <si>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</si>
  <si>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</si>
  <si>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</si>
  <si>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</si>
  <si>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</si>
  <si>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</si>
  <si>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</si>
  <si>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</si>
  <si>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</si>
  <si>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</si>
  <si>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</si>
  <si>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</si>
  <si>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</si>
  <si>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</si>
  <si>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</si>
  <si>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</si>
  <si>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</si>
  <si>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</si>
  <si>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</si>
  <si>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</si>
  <si>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</si>
  <si>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Saskaņā ar 27.02.2025. Domes lēmumu Nr.86 papildus ieņēmumi Gaujas ielas svētku laikā novirzīti svētku organizēšanas izdevumu segšanai.</t>
  </si>
  <si>
    <t>0841.2</t>
  </si>
  <si>
    <t>Tautas nams "Ozolaine" ©</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</si>
  <si>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</si>
  <si>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</si>
  <si>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</si>
  <si>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</si>
  <si>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</si>
  <si>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</si>
  <si>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</si>
  <si>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</si>
  <si>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</si>
  <si>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</si>
  <si>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</si>
  <si>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</si>
  <si>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</si>
  <si>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</si>
  <si>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</si>
  <si>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</si>
  <si>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</si>
  <si>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</si>
  <si>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</si>
  <si>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</si>
  <si>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1) Saņemtā PVN par sporta centra sniegtajiem pakalpojumiem atmaksa valstij.
2) Saskaņā ar atbalstīto lēmumu papildus finansējums EUR 13'800 no nesadalītā konta atlikuma grīdas seguma iegādei Ādažu vsk sporta zālē.</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</si>
  <si>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</si>
  <si>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</si>
  <si>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</si>
  <si>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</si>
  <si>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</si>
  <si>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</si>
  <si>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</si>
  <si>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</si>
  <si>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</si>
  <si>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</si>
  <si>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</si>
  <si>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</si>
  <si>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</si>
  <si>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</si>
  <si>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</si>
  <si>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</si>
  <si>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</si>
  <si>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</si>
  <si>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</si>
  <si>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</si>
  <si>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</si>
  <si>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</si>
  <si>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</si>
  <si>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</si>
  <si>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</si>
  <si>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</si>
  <si>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</si>
  <si>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</si>
  <si>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</si>
  <si>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</si>
  <si>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</si>
  <si>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</si>
  <si>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</si>
  <si>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</si>
  <si>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</si>
  <si>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</si>
  <si>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</si>
  <si>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</si>
  <si>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</si>
  <si>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</si>
  <si>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</si>
  <si>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</si>
  <si>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</si>
  <si>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</si>
  <si>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</si>
  <si>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</si>
  <si>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</si>
  <si>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</si>
  <si>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</si>
  <si>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</si>
  <si>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</si>
  <si>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</si>
  <si>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</si>
  <si>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</si>
  <si>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</si>
  <si>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</si>
  <si>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</si>
  <si>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</si>
  <si>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</si>
  <si>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</si>
  <si>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</si>
  <si>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</si>
  <si>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</si>
  <si>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</si>
  <si>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</si>
  <si>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</si>
  <si>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</si>
  <si>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</si>
  <si>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</si>
  <si>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</si>
  <si>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</si>
  <si>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</si>
  <si>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</si>
  <si>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</si>
  <si>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</si>
  <si>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</si>
  <si>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</si>
  <si>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</si>
  <si>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</si>
  <si>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</si>
  <si>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</si>
  <si>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</si>
  <si>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</si>
  <si>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</si>
  <si>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</si>
  <si>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</si>
  <si>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</si>
  <si>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</si>
  <si>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</si>
  <si>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</si>
  <si>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</si>
  <si>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</si>
  <si>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</si>
  <si>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</si>
  <si>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</si>
  <si>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</si>
  <si>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</si>
  <si>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</si>
  <si>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</si>
  <si>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</si>
  <si>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</si>
  <si>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8.7.1.3.</t>
  </si>
  <si>
    <t>MD mācību līdzekļiem</t>
  </si>
  <si>
    <t>8.7.2.</t>
  </si>
  <si>
    <t>ēdināšana (mērķdotācija)</t>
  </si>
  <si>
    <t>0982</t>
  </si>
  <si>
    <t>8.7.3.</t>
  </si>
  <si>
    <t>Saskaņā ar lēmumprojektu par izmaiņām CKS struktūrā daļa tehnisko darbinieku (atalgojums) tiek pārcelts uz izglītības iestādes budžtu.</t>
  </si>
  <si>
    <t>Saņemtā PVN par sniegtajiem pakalpojumiem atmaksa valstij.</t>
  </si>
  <si>
    <t>8.7.4.</t>
  </si>
  <si>
    <t>09822</t>
  </si>
  <si>
    <t>8.7.5.</t>
  </si>
  <si>
    <t>projekts "Skolas soma"</t>
  </si>
  <si>
    <t>09825</t>
  </si>
  <si>
    <t>8.7.6.</t>
  </si>
  <si>
    <t>projekti Erasmus+; NordPlus</t>
  </si>
  <si>
    <t>8.7.7.</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</si>
  <si>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</si>
  <si>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</si>
  <si>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</si>
  <si>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</si>
  <si>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</si>
  <si>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</si>
  <si>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</si>
  <si>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</si>
  <si>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</si>
  <si>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</si>
  <si>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</si>
  <si>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</si>
  <si>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</si>
  <si>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uz vidusskolas budžetu par apmācību vadīšanu Bērnu tiesību aizsardzību.</t>
  </si>
  <si>
    <t>8.8.3.</t>
  </si>
  <si>
    <t>EUR 1'321 no ekonomijas Sporta centra ventilācijas sistēmu tīrīšanai uz Ādažu vidusskolu (karstā cirkulācijas sūkņa nomaiņai)</t>
  </si>
  <si>
    <t>0957</t>
  </si>
  <si>
    <t>8.8.4.</t>
  </si>
  <si>
    <t>projekts Erasmus+</t>
  </si>
  <si>
    <t>0951</t>
  </si>
  <si>
    <t>8.8.5.</t>
  </si>
  <si>
    <t>8.8.6.</t>
  </si>
  <si>
    <t>8.8.7.</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</si>
  <si>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</si>
  <si>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</si>
  <si>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</si>
  <si>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8.8.8.</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</si>
  <si>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</si>
  <si>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</si>
  <si>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</si>
  <si>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</si>
  <si>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</si>
  <si>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</si>
  <si>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</si>
  <si>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</si>
  <si>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</si>
  <si>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</si>
  <si>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</si>
  <si>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</si>
  <si>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</si>
  <si>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</si>
  <si>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</si>
  <si>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</si>
  <si>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</si>
  <si>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</si>
  <si>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</si>
  <si>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</si>
  <si>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</si>
  <si>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</si>
  <si>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</si>
  <si>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</si>
  <si>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</si>
  <si>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</si>
  <si>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</si>
  <si>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</si>
  <si>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</si>
  <si>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</si>
  <si>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</si>
  <si>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</si>
  <si>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</si>
  <si>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</si>
  <si>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</si>
  <si>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</si>
  <si>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</si>
  <si>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</si>
  <si>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</si>
  <si>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</si>
  <si>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</si>
  <si>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</si>
  <si>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</si>
  <si>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</si>
  <si>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</si>
  <si>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</si>
  <si>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</si>
  <si>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</si>
  <si>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</si>
  <si>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</si>
  <si>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</si>
  <si>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</si>
  <si>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</si>
  <si>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</si>
  <si>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</si>
  <si>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</si>
  <si>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</si>
  <si>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</si>
  <si>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</si>
  <si>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</si>
  <si>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</si>
  <si>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</si>
  <si>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</si>
  <si>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</si>
  <si>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</si>
  <si>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</si>
  <si>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</si>
  <si>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</si>
  <si>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</si>
  <si>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</si>
  <si>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</si>
  <si>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</si>
  <si>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</si>
  <si>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</si>
  <si>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</si>
  <si>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</si>
  <si>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</si>
  <si>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</si>
  <si>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</si>
  <si>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</si>
  <si>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</si>
  <si>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</si>
  <si>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</si>
  <si>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</si>
  <si>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</si>
  <si>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</si>
  <si>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</si>
  <si>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</si>
  <si>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</si>
  <si>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</si>
  <si>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</si>
  <si>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</si>
  <si>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</si>
  <si>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</si>
  <si>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</si>
  <si>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</si>
  <si>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</si>
  <si>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</si>
  <si>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</si>
  <si>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</si>
  <si>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</si>
  <si>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</si>
  <si>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</si>
  <si>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</si>
  <si>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</si>
  <si>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</si>
  <si>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</si>
  <si>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</si>
  <si>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</si>
  <si>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</si>
  <si>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</si>
  <si>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</si>
  <si>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</si>
  <si>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</si>
  <si>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</si>
  <si>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</si>
  <si>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</si>
  <si>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</si>
  <si>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</si>
  <si>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</si>
  <si>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</si>
  <si>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</si>
  <si>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</si>
  <si>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</si>
  <si>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</si>
  <si>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</si>
  <si>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</si>
  <si>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</si>
  <si>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</si>
  <si>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</si>
  <si>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</si>
  <si>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</si>
  <si>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</si>
  <si>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</si>
  <si>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</si>
  <si>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</si>
  <si>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</si>
  <si>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</si>
  <si>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</si>
  <si>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</si>
  <si>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</si>
  <si>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</si>
  <si>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</si>
  <si>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</si>
  <si>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</si>
  <si>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</si>
  <si>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</si>
  <si>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</si>
  <si>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</si>
  <si>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</si>
  <si>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</si>
  <si>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</si>
  <si>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</si>
  <si>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</si>
  <si>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</si>
  <si>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</si>
  <si>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</si>
  <si>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</si>
  <si>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</si>
  <si>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</si>
  <si>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</si>
  <si>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</si>
  <si>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</si>
  <si>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</si>
  <si>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</si>
  <si>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</si>
  <si>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</si>
  <si>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</si>
  <si>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</si>
  <si>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</si>
  <si>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</si>
  <si>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</si>
  <si>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</si>
  <si>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</si>
  <si>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</si>
  <si>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</si>
  <si>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</si>
  <si>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</si>
  <si>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</si>
  <si>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</si>
  <si>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</si>
  <si>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</si>
  <si>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</si>
  <si>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</si>
  <si>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</si>
  <si>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</si>
  <si>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</si>
  <si>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</si>
  <si>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</si>
  <si>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</si>
  <si>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</si>
  <si>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</si>
  <si>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</si>
  <si>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</si>
  <si>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</si>
  <si>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</si>
  <si>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</si>
  <si>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</si>
  <si>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</si>
  <si>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</si>
  <si>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</si>
  <si>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</si>
  <si>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</si>
  <si>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</si>
  <si>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</si>
  <si>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</si>
  <si>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</si>
  <si>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</si>
  <si>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</si>
  <si>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</si>
  <si>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</si>
  <si>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</si>
  <si>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</si>
  <si>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</si>
  <si>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</si>
  <si>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</si>
  <si>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</si>
  <si>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</si>
  <si>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</si>
  <si>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</si>
  <si>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</si>
  <si>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</si>
  <si>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</si>
  <si>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</si>
  <si>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</si>
  <si>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</si>
  <si>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</si>
  <si>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</si>
  <si>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</si>
  <si>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</si>
  <si>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</si>
  <si>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</si>
  <si>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</si>
  <si>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</si>
  <si>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</si>
  <si>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</si>
  <si>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</si>
  <si>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</si>
  <si>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</si>
  <si>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</si>
  <si>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</si>
  <si>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</si>
  <si>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</si>
  <si>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</si>
  <si>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</si>
  <si>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</si>
  <si>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</si>
  <si>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</si>
  <si>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</si>
  <si>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</si>
  <si>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</si>
  <si>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</si>
  <si>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</si>
  <si>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</si>
  <si>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</si>
  <si>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</si>
  <si>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</si>
  <si>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</si>
  <si>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</si>
  <si>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</si>
  <si>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</si>
  <si>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</si>
  <si>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</si>
  <si>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</si>
  <si>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</si>
  <si>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</si>
  <si>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</si>
  <si>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</si>
  <si>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</si>
  <si>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</si>
  <si>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</si>
  <si>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</si>
  <si>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</si>
  <si>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</si>
  <si>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</si>
  <si>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</si>
  <si>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</si>
  <si>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</si>
  <si>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</si>
  <si>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</si>
  <si>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</si>
  <si>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</si>
  <si>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</si>
  <si>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</si>
  <si>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</si>
  <si>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</si>
  <si>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</si>
  <si>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</si>
  <si>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</si>
  <si>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</si>
  <si>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</si>
  <si>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</si>
  <si>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</si>
  <si>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</si>
  <si>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</si>
  <si>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</si>
  <si>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</si>
  <si>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</si>
  <si>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</si>
  <si>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</si>
  <si>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</si>
  <si>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</si>
  <si>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</si>
  <si>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</si>
  <si>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</si>
  <si>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</si>
  <si>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</si>
  <si>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</si>
  <si>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</si>
  <si>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</si>
  <si>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</si>
  <si>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</si>
  <si>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</si>
  <si>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</si>
  <si>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</si>
  <si>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</si>
  <si>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</si>
  <si>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</si>
  <si>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</si>
  <si>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</si>
  <si>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</si>
  <si>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</si>
  <si>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</si>
  <si>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</si>
  <si>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</si>
  <si>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</si>
  <si>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</si>
  <si>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</si>
  <si>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</si>
  <si>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</si>
  <si>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</si>
  <si>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</si>
  <si>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</si>
  <si>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</si>
  <si>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</si>
  <si>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</si>
  <si>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</si>
  <si>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</si>
  <si>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</si>
  <si>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</si>
  <si>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</si>
  <si>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</si>
  <si>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</si>
  <si>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</si>
  <si>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</si>
  <si>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</si>
  <si>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</si>
  <si>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</si>
  <si>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</si>
  <si>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</si>
  <si>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</si>
  <si>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</si>
  <si>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</si>
  <si>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</si>
  <si>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</si>
  <si>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</si>
  <si>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</si>
  <si>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</si>
  <si>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</si>
  <si>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</si>
  <si>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</si>
  <si>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</si>
  <si>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</si>
  <si>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</si>
  <si>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</si>
  <si>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</si>
  <si>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</si>
  <si>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</si>
  <si>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</si>
  <si>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</si>
  <si>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</si>
  <si>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</si>
  <si>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</si>
  <si>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</si>
  <si>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</si>
  <si>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</si>
  <si>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</si>
  <si>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</si>
  <si>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</si>
  <si>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</si>
  <si>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</si>
  <si>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</si>
  <si>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</si>
  <si>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</si>
  <si>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</si>
  <si>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</si>
  <si>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</si>
  <si>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</si>
  <si>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</si>
  <si>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</si>
  <si>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</si>
  <si>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</si>
  <si>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</si>
  <si>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</si>
  <si>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</si>
  <si>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</si>
  <si>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</si>
  <si>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</si>
  <si>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</si>
  <si>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</si>
  <si>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</si>
  <si>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</si>
  <si>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</si>
  <si>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</si>
  <si>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</si>
  <si>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</si>
  <si>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</si>
  <si>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</si>
  <si>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</si>
  <si>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</si>
  <si>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</si>
  <si>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</si>
  <si>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</si>
  <si>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</si>
  <si>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</si>
  <si>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</si>
  <si>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</si>
  <si>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</si>
  <si>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</si>
  <si>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</si>
  <si>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</si>
  <si>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</si>
  <si>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</si>
  <si>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</si>
  <si>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</si>
  <si>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</si>
  <si>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</si>
  <si>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</si>
  <si>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</si>
  <si>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</si>
  <si>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</si>
  <si>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</si>
  <si>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</si>
  <si>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</si>
  <si>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</si>
  <si>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Plānots</t>
  </si>
  <si>
    <t>Rīgas metropoles areālā – “Carnikava””</t>
  </si>
  <si>
    <t xml:space="preserve">PII Podnieki </t>
  </si>
  <si>
    <t>Krastupes iela</t>
  </si>
  <si>
    <t xml:space="preserve">Ādažu vidusskolās āra lifta izbūve pie </t>
  </si>
  <si>
    <t>A korpusa</t>
  </si>
  <si>
    <t xml:space="preserve">Projekts “Infrastruktūras uzlabošana </t>
  </si>
  <si>
    <t>uzņēmējdarbības attīstībai Ādažos”</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</si>
  <si>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</si>
  <si>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</si>
  <si>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</si>
  <si>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</si>
  <si>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</si>
  <si>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</si>
  <si>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</si>
  <si>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</si>
  <si>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</si>
  <si>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</si>
  <si>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</si>
  <si>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</si>
  <si>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</si>
  <si>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</si>
  <si>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</si>
  <si>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</si>
  <si>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</si>
  <si>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</si>
  <si>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</si>
  <si>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EUR 1'000 no Izglītības nodaļas (0930/ EKK 3263) uz 0630.1/ EKK 3263) iniciatīvu projektu līdzfinansējumam.</t>
  </si>
  <si>
    <t>10.2.21.</t>
  </si>
  <si>
    <t>LEADER projektu realizācija</t>
  </si>
  <si>
    <t>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</si>
  <si>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</si>
  <si>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 xml:space="preserve">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t>
  </si>
  <si>
    <t xml:space="preserve"> "Carnikavas novadpētniecības centra Saimes mājas ekspozīcijas pamatnes atjaunošana" realizācijai 2025.g. EUR 3'600 LAD finansējums.</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</si>
  <si>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</si>
  <si>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</si>
  <si>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Saskaņā ar protokollēmumu EUR 24'862 no ēdināšanas pabalsta 5.-9.klašu skolēniem (pie Soc. Dienesta 1010/EKK6423) uz CVS un EUR 42'138 uz ĀVS brīvpusdienu līdzfinansējuma nodrošināšanai .</t>
  </si>
  <si>
    <t>Saskaņā ar protokollēmumu EUR 42'138 no ēdināšanas pabalsta 5.-9.klašu skolēniem (pie Soc. Dienesta 1010/EKK6423) un EUR 27'392 no nesadalītā konta atlikuma uz ĀVS brīvpusdienu līdzfinansējuma nodrošināšanai.</t>
  </si>
  <si>
    <t>10.1.16.</t>
  </si>
  <si>
    <t>EKII nav ES fondu finansējums, tāpēc ieņēmumos jāatspoguļo sadaļā - Valsts budžeta transferti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</si>
</sst>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49"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indexed="10"/>
      <name val="Times New Roman"/>
      <family val="1"/>
      <charset val="186"/>
    </font>
    <font>
      <i/>
      <sz val="11"/>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b/>
      <sz val="10"/>
      <color rgb="FFFF0000"/>
      <name val="Calibri"/>
      <family val="2"/>
      <charset val="186"/>
      <scheme val="minor"/>
    </font>
    <font>
      <sz val="10"/>
      <color rgb="FFFF0000"/>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s>
  <fills count="19">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4">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43" fontId="7" fillId="0" borderId="0" applyFont="0" applyFill="0" applyBorder="0" applyAlignment="0" applyProtection="0"/>
    <xf numFmtId="0" fontId="11" fillId="0" borderId="0" applyNumberFormat="0" applyFill="0" applyBorder="0" applyAlignment="0" applyProtection="0"/>
    <xf numFmtId="0" fontId="12" fillId="0" borderId="0"/>
    <xf numFmtId="9" fontId="7" fillId="0" borderId="0" applyFont="0" applyFill="0" applyBorder="0" applyAlignment="0" applyProtection="0"/>
    <xf numFmtId="0" fontId="7" fillId="0" borderId="0"/>
    <xf numFmtId="0" fontId="1" fillId="0" borderId="0"/>
    <xf numFmtId="0" fontId="12" fillId="0" borderId="0"/>
    <xf numFmtId="43" fontId="12" fillId="0" borderId="0" applyFill="0" applyBorder="0" applyAlignment="0" applyProtection="0"/>
  </cellStyleXfs>
  <cellXfs count="368">
    <xf numFmtId="0" fontId="0" fillId="0" borderId="0" xfId="0"/>
    <xf numFmtId="0" fontId="3" fillId="0" borderId="0" xfId="3" applyFont="1"/>
    <xf numFmtId="0" fontId="4" fillId="0" borderId="0" xfId="4" applyFont="1"/>
    <xf numFmtId="0" fontId="5" fillId="0" borderId="0" xfId="4" applyFont="1"/>
    <xf numFmtId="0" fontId="3" fillId="0" borderId="0" xfId="3" applyFont="1" applyAlignment="1">
      <alignment wrapText="1"/>
    </xf>
    <xf numFmtId="3" fontId="3" fillId="0" borderId="0" xfId="3" applyNumberFormat="1" applyFont="1"/>
    <xf numFmtId="164" fontId="3" fillId="0" borderId="0" xfId="1" applyNumberFormat="1" applyFont="1" applyAlignment="1">
      <alignment wrapText="1"/>
    </xf>
    <xf numFmtId="9" fontId="3" fillId="0" borderId="0" xfId="5" applyFont="1" applyAlignment="1">
      <alignment wrapText="1"/>
    </xf>
    <xf numFmtId="164" fontId="3" fillId="0" borderId="0" xfId="1" applyNumberFormat="1" applyFont="1"/>
    <xf numFmtId="1" fontId="3" fillId="0" borderId="0" xfId="5" applyNumberFormat="1" applyFont="1" applyFill="1"/>
    <xf numFmtId="164" fontId="10" fillId="0" borderId="0" xfId="6" applyNumberFormat="1" applyFont="1"/>
    <xf numFmtId="164" fontId="10" fillId="0" borderId="0" xfId="1" applyNumberFormat="1" applyFont="1"/>
    <xf numFmtId="9" fontId="3" fillId="0" borderId="0" xfId="5" applyFont="1"/>
    <xf numFmtId="0" fontId="11" fillId="0" borderId="0" xfId="7"/>
    <xf numFmtId="0" fontId="10" fillId="0" borderId="1" xfId="3" applyFont="1" applyBorder="1" applyAlignment="1">
      <alignment horizontal="center" vertical="center"/>
    </xf>
    <xf numFmtId="0" fontId="10" fillId="0" borderId="2" xfId="3" applyFont="1" applyBorder="1" applyAlignment="1">
      <alignment horizontal="center" vertical="center" wrapText="1"/>
    </xf>
    <xf numFmtId="0" fontId="10" fillId="0" borderId="3" xfId="8" applyFont="1" applyBorder="1" applyAlignment="1">
      <alignment horizontal="center" vertical="center" wrapText="1"/>
    </xf>
    <xf numFmtId="164" fontId="10" fillId="0" borderId="3" xfId="1" applyNumberFormat="1" applyFont="1" applyBorder="1" applyAlignment="1">
      <alignment horizontal="center" vertical="center" wrapText="1"/>
    </xf>
    <xf numFmtId="9" fontId="10" fillId="0" borderId="3" xfId="5" applyFont="1" applyBorder="1" applyAlignment="1">
      <alignment horizontal="center" vertical="center" wrapText="1"/>
    </xf>
    <xf numFmtId="0" fontId="10" fillId="2" borderId="4" xfId="3" applyFont="1" applyFill="1" applyBorder="1"/>
    <xf numFmtId="0" fontId="10" fillId="2" borderId="5" xfId="3" applyFont="1" applyFill="1" applyBorder="1" applyAlignment="1">
      <alignment wrapText="1"/>
    </xf>
    <xf numFmtId="164" fontId="10" fillId="2" borderId="6" xfId="1" applyNumberFormat="1" applyFont="1" applyFill="1" applyBorder="1"/>
    <xf numFmtId="3" fontId="10" fillId="2" borderId="6" xfId="3" applyNumberFormat="1" applyFont="1" applyFill="1" applyBorder="1"/>
    <xf numFmtId="9" fontId="3" fillId="2" borderId="6" xfId="5" applyFont="1" applyFill="1" applyBorder="1" applyAlignment="1">
      <alignment wrapText="1"/>
    </xf>
    <xf numFmtId="0" fontId="10" fillId="3" borderId="4" xfId="3" quotePrefix="1" applyFont="1" applyFill="1" applyBorder="1"/>
    <xf numFmtId="0" fontId="10" fillId="3" borderId="5" xfId="3" applyFont="1" applyFill="1" applyBorder="1" applyAlignment="1">
      <alignment wrapText="1"/>
    </xf>
    <xf numFmtId="3" fontId="10" fillId="3" borderId="6" xfId="3" applyNumberFormat="1" applyFont="1" applyFill="1" applyBorder="1"/>
    <xf numFmtId="164" fontId="10" fillId="3" borderId="6" xfId="1" applyNumberFormat="1" applyFont="1" applyFill="1" applyBorder="1"/>
    <xf numFmtId="9" fontId="10" fillId="3" borderId="6" xfId="5" applyFont="1" applyFill="1" applyBorder="1"/>
    <xf numFmtId="0" fontId="13" fillId="0" borderId="0" xfId="3" applyFont="1"/>
    <xf numFmtId="0" fontId="3" fillId="0" borderId="7" xfId="3" applyFont="1" applyBorder="1" applyAlignment="1">
      <alignment horizontal="left" indent="1"/>
    </xf>
    <xf numFmtId="0" fontId="3" fillId="0" borderId="8" xfId="3" applyFont="1" applyBorder="1" applyAlignment="1">
      <alignment horizontal="left" wrapText="1" indent="2"/>
    </xf>
    <xf numFmtId="3" fontId="3" fillId="0" borderId="9" xfId="3" applyNumberFormat="1" applyFont="1" applyBorder="1"/>
    <xf numFmtId="164" fontId="3" fillId="0" borderId="9" xfId="1" applyNumberFormat="1" applyFont="1" applyBorder="1"/>
    <xf numFmtId="9" fontId="3" fillId="0" borderId="9" xfId="5" applyFont="1" applyFill="1" applyBorder="1"/>
    <xf numFmtId="9" fontId="3" fillId="0" borderId="9" xfId="5" applyFont="1" applyFill="1" applyBorder="1" applyAlignment="1">
      <alignment wrapText="1"/>
    </xf>
    <xf numFmtId="0" fontId="10" fillId="3" borderId="7" xfId="3" applyFont="1" applyFill="1" applyBorder="1"/>
    <xf numFmtId="0" fontId="10" fillId="3" borderId="8" xfId="3" applyFont="1" applyFill="1" applyBorder="1" applyAlignment="1">
      <alignment wrapText="1"/>
    </xf>
    <xf numFmtId="3" fontId="10" fillId="3" borderId="9" xfId="3" applyNumberFormat="1" applyFont="1" applyFill="1" applyBorder="1"/>
    <xf numFmtId="164" fontId="10" fillId="3" borderId="9" xfId="1" applyNumberFormat="1" applyFont="1" applyFill="1" applyBorder="1"/>
    <xf numFmtId="9" fontId="10" fillId="3" borderId="9" xfId="5" applyFont="1" applyFill="1" applyBorder="1"/>
    <xf numFmtId="9" fontId="3" fillId="0" borderId="9" xfId="5" applyFont="1" applyBorder="1"/>
    <xf numFmtId="9" fontId="3" fillId="0" borderId="10" xfId="5" applyFont="1" applyFill="1" applyBorder="1"/>
    <xf numFmtId="0" fontId="1" fillId="0" borderId="0" xfId="3"/>
    <xf numFmtId="9" fontId="3" fillId="0" borderId="10" xfId="5" applyFont="1" applyFill="1" applyBorder="1" applyAlignment="1">
      <alignment wrapText="1"/>
    </xf>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9" fontId="3" fillId="3" borderId="9" xfId="5" applyFont="1" applyFill="1" applyBorder="1" applyAlignment="1">
      <alignment wrapText="1"/>
    </xf>
    <xf numFmtId="0" fontId="3" fillId="4" borderId="8" xfId="3" applyFont="1" applyFill="1" applyBorder="1" applyAlignment="1">
      <alignment horizontal="left" wrapText="1" indent="2"/>
    </xf>
    <xf numFmtId="0" fontId="10" fillId="3" borderId="7" xfId="3" quotePrefix="1" applyFont="1" applyFill="1" applyBorder="1"/>
    <xf numFmtId="0" fontId="3" fillId="2" borderId="7" xfId="3" applyFont="1" applyFill="1" applyBorder="1" applyAlignment="1">
      <alignment horizontal="left" indent="1"/>
    </xf>
    <xf numFmtId="0" fontId="3" fillId="2" borderId="8" xfId="3" applyFont="1" applyFill="1" applyBorder="1" applyAlignment="1">
      <alignment horizontal="left" wrapText="1" indent="2"/>
    </xf>
    <xf numFmtId="3" fontId="3" fillId="2" borderId="9" xfId="3" applyNumberFormat="1" applyFont="1" applyFill="1" applyBorder="1"/>
    <xf numFmtId="164" fontId="3" fillId="2" borderId="9" xfId="1" applyNumberFormat="1" applyFont="1" applyFill="1" applyBorder="1"/>
    <xf numFmtId="164" fontId="3" fillId="5" borderId="9" xfId="1" applyNumberFormat="1" applyFont="1" applyFill="1" applyBorder="1"/>
    <xf numFmtId="3" fontId="3" fillId="5" borderId="9" xfId="3" applyNumberFormat="1" applyFont="1" applyFill="1" applyBorder="1"/>
    <xf numFmtId="3" fontId="3" fillId="7" borderId="9" xfId="3" applyNumberFormat="1" applyFont="1" applyFill="1" applyBorder="1"/>
    <xf numFmtId="164" fontId="3" fillId="7" borderId="9" xfId="1" applyNumberFormat="1" applyFont="1" applyFill="1" applyBorder="1"/>
    <xf numFmtId="3" fontId="3" fillId="7" borderId="9" xfId="3" applyNumberFormat="1" applyFont="1" applyFill="1" applyBorder="1" applyAlignment="1">
      <alignment wrapText="1"/>
    </xf>
    <xf numFmtId="3" fontId="14" fillId="8" borderId="9" xfId="3" applyNumberFormat="1" applyFont="1" applyFill="1" applyBorder="1"/>
    <xf numFmtId="164" fontId="14" fillId="8" borderId="9" xfId="1" applyNumberFormat="1" applyFont="1" applyFill="1" applyBorder="1"/>
    <xf numFmtId="9" fontId="14" fillId="8" borderId="9" xfId="5" applyFont="1" applyFill="1" applyBorder="1" applyAlignment="1">
      <alignment wrapText="1"/>
    </xf>
    <xf numFmtId="0" fontId="14" fillId="0" borderId="0" xfId="3" applyFont="1"/>
    <xf numFmtId="0" fontId="3" fillId="0" borderId="0" xfId="3" quotePrefix="1" applyFont="1"/>
    <xf numFmtId="0" fontId="3" fillId="9" borderId="8" xfId="3" applyFont="1" applyFill="1" applyBorder="1" applyAlignment="1">
      <alignment horizontal="left" wrapText="1" indent="2"/>
    </xf>
    <xf numFmtId="164" fontId="3" fillId="0" borderId="9" xfId="1" applyNumberFormat="1" applyFont="1" applyFill="1" applyBorder="1"/>
    <xf numFmtId="0" fontId="3" fillId="0" borderId="8" xfId="3" applyFont="1" applyBorder="1" applyAlignment="1">
      <alignment horizontal="left" wrapText="1" indent="3"/>
    </xf>
    <xf numFmtId="9" fontId="3" fillId="10" borderId="9" xfId="5" applyFont="1" applyFill="1" applyBorder="1" applyAlignment="1">
      <alignment wrapText="1"/>
    </xf>
    <xf numFmtId="9" fontId="3" fillId="2" borderId="9" xfId="5" applyFont="1" applyFill="1" applyBorder="1" applyAlignment="1">
      <alignment wrapText="1"/>
    </xf>
    <xf numFmtId="0" fontId="3" fillId="11" borderId="8" xfId="3" applyFont="1" applyFill="1" applyBorder="1" applyAlignment="1">
      <alignment horizontal="left" wrapText="1" indent="3"/>
    </xf>
    <xf numFmtId="0" fontId="8" fillId="0" borderId="0" xfId="3" applyFont="1"/>
    <xf numFmtId="9" fontId="3" fillId="0" borderId="13" xfId="5" applyFont="1" applyFill="1" applyBorder="1"/>
    <xf numFmtId="0" fontId="1" fillId="0" borderId="0" xfId="3" quotePrefix="1"/>
    <xf numFmtId="9" fontId="3" fillId="0" borderId="13" xfId="5" applyFont="1" applyFill="1" applyBorder="1" applyAlignment="1">
      <alignment wrapText="1"/>
    </xf>
    <xf numFmtId="164" fontId="3" fillId="0" borderId="13" xfId="5" applyNumberFormat="1" applyFont="1" applyFill="1" applyBorder="1"/>
    <xf numFmtId="164" fontId="10" fillId="3" borderId="9" xfId="5" applyNumberFormat="1" applyFont="1" applyFill="1" applyBorder="1"/>
    <xf numFmtId="0" fontId="3" fillId="4" borderId="7" xfId="3" applyFont="1" applyFill="1" applyBorder="1" applyAlignment="1">
      <alignment horizontal="left" indent="2"/>
    </xf>
    <xf numFmtId="0" fontId="3" fillId="4" borderId="8" xfId="3" applyFont="1" applyFill="1" applyBorder="1" applyAlignment="1">
      <alignment horizontal="left" wrapText="1" indent="3"/>
    </xf>
    <xf numFmtId="1" fontId="3" fillId="0" borderId="9" xfId="5" applyNumberFormat="1" applyFont="1" applyFill="1" applyBorder="1"/>
    <xf numFmtId="0" fontId="8" fillId="0" borderId="0" xfId="3" quotePrefix="1" applyFont="1"/>
    <xf numFmtId="0" fontId="10" fillId="0" borderId="14" xfId="3" applyFont="1" applyBorder="1"/>
    <xf numFmtId="0" fontId="10" fillId="0" borderId="15" xfId="3" applyFont="1" applyBorder="1" applyAlignment="1">
      <alignment horizontal="right" wrapText="1"/>
    </xf>
    <xf numFmtId="3" fontId="10" fillId="0" borderId="3" xfId="3" applyNumberFormat="1" applyFont="1" applyBorder="1"/>
    <xf numFmtId="164" fontId="10" fillId="0" borderId="3" xfId="1" applyNumberFormat="1" applyFont="1" applyBorder="1"/>
    <xf numFmtId="9" fontId="10" fillId="0" borderId="3" xfId="5" applyFont="1" applyBorder="1"/>
    <xf numFmtId="0" fontId="10" fillId="0" borderId="16" xfId="3" quotePrefix="1" applyFont="1" applyBorder="1"/>
    <xf numFmtId="0" fontId="10" fillId="0" borderId="17" xfId="3" applyFont="1" applyBorder="1" applyAlignment="1">
      <alignment wrapText="1"/>
    </xf>
    <xf numFmtId="3" fontId="10" fillId="0" borderId="18" xfId="3" applyNumberFormat="1" applyFont="1" applyBorder="1"/>
    <xf numFmtId="164" fontId="10" fillId="0" borderId="18" xfId="1" applyNumberFormat="1" applyFont="1" applyBorder="1"/>
    <xf numFmtId="9" fontId="10" fillId="0" borderId="18" xfId="5" applyFont="1" applyFill="1" applyBorder="1"/>
    <xf numFmtId="0" fontId="10" fillId="3" borderId="19" xfId="3" applyFont="1" applyFill="1" applyBorder="1" applyAlignment="1">
      <alignment wrapText="1"/>
    </xf>
    <xf numFmtId="164" fontId="10" fillId="3" borderId="13" xfId="1" applyNumberFormat="1" applyFont="1" applyFill="1" applyBorder="1"/>
    <xf numFmtId="49" fontId="3" fillId="0" borderId="19" xfId="3" applyNumberFormat="1" applyFont="1" applyBorder="1" applyAlignment="1">
      <alignment horizontal="left" wrapText="1" indent="4"/>
    </xf>
    <xf numFmtId="164" fontId="3" fillId="0" borderId="13" xfId="1" applyNumberFormat="1" applyFont="1" applyBorder="1"/>
    <xf numFmtId="164" fontId="3" fillId="13" borderId="9" xfId="1" applyNumberFormat="1" applyFont="1" applyFill="1" applyBorder="1"/>
    <xf numFmtId="3" fontId="3" fillId="0" borderId="19" xfId="3" applyNumberFormat="1" applyFont="1" applyBorder="1"/>
    <xf numFmtId="164" fontId="3" fillId="0" borderId="10" xfId="1" applyNumberFormat="1" applyFont="1" applyBorder="1"/>
    <xf numFmtId="49" fontId="3" fillId="0" borderId="8" xfId="3" applyNumberFormat="1" applyFont="1" applyBorder="1" applyAlignment="1">
      <alignment horizontal="left" wrapText="1" indent="4"/>
    </xf>
    <xf numFmtId="164" fontId="3" fillId="0" borderId="20" xfId="1" applyNumberFormat="1" applyFont="1" applyBorder="1"/>
    <xf numFmtId="164" fontId="3" fillId="13" borderId="10" xfId="1" applyNumberFormat="1" applyFont="1" applyFill="1" applyBorder="1"/>
    <xf numFmtId="3" fontId="3" fillId="0" borderId="21" xfId="3" applyNumberFormat="1" applyFont="1" applyBorder="1"/>
    <xf numFmtId="164" fontId="3" fillId="0" borderId="10" xfId="5" applyNumberFormat="1" applyFont="1" applyFill="1" applyBorder="1"/>
    <xf numFmtId="164" fontId="3" fillId="13" borderId="13" xfId="1" applyNumberFormat="1" applyFont="1" applyFill="1" applyBorder="1"/>
    <xf numFmtId="9" fontId="3" fillId="0" borderId="6" xfId="5" applyFont="1" applyFill="1" applyBorder="1"/>
    <xf numFmtId="0" fontId="3" fillId="4" borderId="22" xfId="3" applyFont="1" applyFill="1" applyBorder="1" applyAlignment="1">
      <alignment horizontal="left" indent="2"/>
    </xf>
    <xf numFmtId="3" fontId="3" fillId="0" borderId="23" xfId="3" applyNumberFormat="1" applyFont="1" applyBorder="1"/>
    <xf numFmtId="49" fontId="3" fillId="0" borderId="20" xfId="3" applyNumberFormat="1" applyFont="1" applyBorder="1" applyAlignment="1">
      <alignment horizontal="left" wrapText="1" indent="4"/>
    </xf>
    <xf numFmtId="0" fontId="10" fillId="0" borderId="24" xfId="3" applyFont="1" applyBorder="1"/>
    <xf numFmtId="0" fontId="10" fillId="0" borderId="25" xfId="3" applyFont="1" applyBorder="1" applyAlignment="1">
      <alignment horizontal="right" wrapText="1"/>
    </xf>
    <xf numFmtId="9" fontId="10" fillId="0" borderId="18" xfId="5" applyFont="1" applyBorder="1"/>
    <xf numFmtId="0" fontId="10" fillId="0" borderId="0" xfId="3" applyFont="1"/>
    <xf numFmtId="9" fontId="3" fillId="0" borderId="0" xfId="2" applyFont="1"/>
    <xf numFmtId="10" fontId="3" fillId="0" borderId="0" xfId="9" applyNumberFormat="1" applyFont="1"/>
    <xf numFmtId="49" fontId="10" fillId="3" borderId="26" xfId="3" applyNumberFormat="1" applyFont="1" applyFill="1" applyBorder="1" applyAlignment="1">
      <alignment horizontal="left" indent="2"/>
    </xf>
    <xf numFmtId="49" fontId="10" fillId="3" borderId="27" xfId="3" applyNumberFormat="1" applyFont="1" applyFill="1" applyBorder="1" applyAlignment="1">
      <alignment wrapText="1"/>
    </xf>
    <xf numFmtId="3" fontId="10" fillId="3" borderId="28" xfId="3" applyNumberFormat="1" applyFont="1" applyFill="1" applyBorder="1"/>
    <xf numFmtId="164" fontId="10" fillId="3" borderId="28" xfId="1" applyNumberFormat="1" applyFont="1" applyFill="1" applyBorder="1"/>
    <xf numFmtId="9" fontId="10" fillId="3" borderId="28" xfId="5" applyFont="1" applyFill="1" applyBorder="1"/>
    <xf numFmtId="49" fontId="3" fillId="2" borderId="7" xfId="3" applyNumberFormat="1" applyFont="1" applyFill="1" applyBorder="1" applyAlignment="1">
      <alignment horizontal="left" indent="1"/>
    </xf>
    <xf numFmtId="49" fontId="3" fillId="2" borderId="8" xfId="3" applyNumberFormat="1" applyFont="1" applyFill="1" applyBorder="1" applyAlignment="1">
      <alignment horizontal="left" wrapText="1" indent="2"/>
    </xf>
    <xf numFmtId="9" fontId="3" fillId="2" borderId="9" xfId="5" applyFont="1" applyFill="1" applyBorder="1"/>
    <xf numFmtId="49" fontId="10" fillId="3" borderId="7" xfId="3" applyNumberFormat="1" applyFont="1" applyFill="1" applyBorder="1"/>
    <xf numFmtId="49" fontId="10" fillId="3" borderId="8" xfId="3" applyNumberFormat="1" applyFont="1" applyFill="1" applyBorder="1" applyAlignment="1">
      <alignment wrapText="1"/>
    </xf>
    <xf numFmtId="0" fontId="15" fillId="0" borderId="0" xfId="3" applyFont="1"/>
    <xf numFmtId="49" fontId="3" fillId="0" borderId="7" xfId="3" applyNumberFormat="1" applyFont="1" applyBorder="1" applyAlignment="1">
      <alignment horizontal="left" indent="2"/>
    </xf>
    <xf numFmtId="49" fontId="3" fillId="0" borderId="8" xfId="3" applyNumberFormat="1" applyFont="1" applyBorder="1" applyAlignment="1">
      <alignment horizontal="left" wrapText="1" indent="2"/>
    </xf>
    <xf numFmtId="49" fontId="10" fillId="2" borderId="8" xfId="3" applyNumberFormat="1" applyFont="1" applyFill="1" applyBorder="1" applyAlignment="1">
      <alignment horizontal="left" wrapText="1" indent="2"/>
    </xf>
    <xf numFmtId="3" fontId="10" fillId="2" borderId="9" xfId="3" applyNumberFormat="1" applyFont="1" applyFill="1" applyBorder="1"/>
    <xf numFmtId="164" fontId="10" fillId="2" borderId="9" xfId="1" applyNumberFormat="1" applyFont="1" applyFill="1" applyBorder="1"/>
    <xf numFmtId="9" fontId="3" fillId="0" borderId="9" xfId="5" applyFont="1" applyBorder="1" applyAlignment="1">
      <alignment wrapText="1"/>
    </xf>
    <xf numFmtId="49" fontId="3" fillId="14" borderId="7" xfId="3" applyNumberFormat="1" applyFont="1" applyFill="1" applyBorder="1" applyAlignment="1">
      <alignment horizontal="left" indent="2"/>
    </xf>
    <xf numFmtId="164" fontId="3" fillId="11" borderId="9" xfId="1" applyNumberFormat="1" applyFont="1" applyFill="1" applyBorder="1"/>
    <xf numFmtId="164" fontId="3" fillId="0" borderId="9" xfId="5" applyNumberFormat="1" applyFont="1" applyBorder="1" applyAlignment="1">
      <alignment wrapText="1"/>
    </xf>
    <xf numFmtId="0" fontId="3" fillId="10" borderId="8" xfId="3" applyFont="1" applyFill="1" applyBorder="1" applyAlignment="1">
      <alignment horizontal="left" wrapText="1" indent="3"/>
    </xf>
    <xf numFmtId="9" fontId="10" fillId="2" borderId="9" xfId="5" applyFont="1" applyFill="1" applyBorder="1"/>
    <xf numFmtId="9" fontId="3" fillId="0" borderId="12" xfId="5" applyFont="1" applyBorder="1" applyAlignment="1">
      <alignment wrapText="1"/>
    </xf>
    <xf numFmtId="164" fontId="3" fillId="12" borderId="9" xfId="1" applyNumberFormat="1" applyFont="1" applyFill="1" applyBorder="1"/>
    <xf numFmtId="3" fontId="3" fillId="6" borderId="9" xfId="3" applyNumberFormat="1" applyFont="1" applyFill="1" applyBorder="1"/>
    <xf numFmtId="0" fontId="16" fillId="0" borderId="0" xfId="3" quotePrefix="1" applyFont="1"/>
    <xf numFmtId="49" fontId="16" fillId="0" borderId="7" xfId="3" applyNumberFormat="1" applyFont="1" applyBorder="1" applyAlignment="1">
      <alignment horizontal="left" indent="3"/>
    </xf>
    <xf numFmtId="0" fontId="16" fillId="10" borderId="8" xfId="3" applyFont="1" applyFill="1" applyBorder="1" applyAlignment="1">
      <alignment horizontal="left" wrapText="1" indent="6"/>
    </xf>
    <xf numFmtId="164" fontId="16" fillId="12" borderId="9" xfId="1" applyNumberFormat="1" applyFont="1" applyFill="1" applyBorder="1"/>
    <xf numFmtId="3" fontId="16" fillId="6" borderId="9" xfId="3" applyNumberFormat="1" applyFont="1" applyFill="1" applyBorder="1"/>
    <xf numFmtId="9" fontId="16" fillId="0" borderId="9" xfId="5" applyFont="1" applyBorder="1" applyAlignment="1">
      <alignment wrapText="1"/>
    </xf>
    <xf numFmtId="3" fontId="16" fillId="0" borderId="9" xfId="3" applyNumberFormat="1" applyFont="1" applyBorder="1"/>
    <xf numFmtId="9" fontId="3" fillId="0" borderId="8" xfId="5" applyFont="1" applyBorder="1" applyAlignment="1">
      <alignment wrapText="1"/>
    </xf>
    <xf numFmtId="0" fontId="16" fillId="0" borderId="0" xfId="3" applyFont="1"/>
    <xf numFmtId="3" fontId="3" fillId="10" borderId="9" xfId="3" applyNumberFormat="1" applyFont="1" applyFill="1" applyBorder="1"/>
    <xf numFmtId="9" fontId="3" fillId="0" borderId="11" xfId="5" applyFont="1" applyBorder="1" applyAlignment="1">
      <alignment wrapText="1"/>
    </xf>
    <xf numFmtId="9" fontId="16" fillId="0" borderId="9" xfId="5" applyFont="1" applyFill="1" applyBorder="1" applyAlignment="1">
      <alignment wrapText="1"/>
    </xf>
    <xf numFmtId="49" fontId="3" fillId="14" borderId="7" xfId="3" applyNumberFormat="1" applyFont="1" applyFill="1" applyBorder="1" applyAlignment="1">
      <alignment horizontal="left" indent="1"/>
    </xf>
    <xf numFmtId="49" fontId="8" fillId="2" borderId="8" xfId="3" applyNumberFormat="1" applyFont="1" applyFill="1" applyBorder="1" applyAlignment="1">
      <alignment horizontal="left" wrapText="1" indent="2"/>
    </xf>
    <xf numFmtId="9" fontId="16" fillId="6" borderId="9" xfId="5" applyFont="1" applyFill="1" applyBorder="1" applyAlignment="1">
      <alignment wrapText="1"/>
    </xf>
    <xf numFmtId="9" fontId="16" fillId="2" borderId="9" xfId="5" applyFont="1" applyFill="1" applyBorder="1" applyAlignment="1">
      <alignment wrapText="1"/>
    </xf>
    <xf numFmtId="0" fontId="3" fillId="10" borderId="8" xfId="3" applyFont="1" applyFill="1" applyBorder="1" applyAlignment="1">
      <alignment horizontal="left" indent="2"/>
    </xf>
    <xf numFmtId="9" fontId="3" fillId="0" borderId="12" xfId="5" applyFont="1" applyFill="1" applyBorder="1" applyAlignment="1">
      <alignment wrapText="1"/>
    </xf>
    <xf numFmtId="0" fontId="13" fillId="10" borderId="0" xfId="3" applyFont="1" applyFill="1"/>
    <xf numFmtId="0" fontId="3" fillId="10" borderId="29" xfId="3" applyFont="1" applyFill="1" applyBorder="1" applyAlignment="1">
      <alignment horizontal="left" indent="3"/>
    </xf>
    <xf numFmtId="164" fontId="3" fillId="10" borderId="9" xfId="1" applyNumberFormat="1" applyFont="1" applyFill="1" applyBorder="1"/>
    <xf numFmtId="0" fontId="13" fillId="10" borderId="0" xfId="3" applyFont="1" applyFill="1" applyAlignment="1">
      <alignment wrapText="1"/>
    </xf>
    <xf numFmtId="9" fontId="3" fillId="10" borderId="9" xfId="5" applyFont="1" applyFill="1" applyBorder="1"/>
    <xf numFmtId="0" fontId="13" fillId="10" borderId="8" xfId="3" applyFont="1" applyFill="1" applyBorder="1" applyAlignment="1">
      <alignment horizontal="left" indent="2"/>
    </xf>
    <xf numFmtId="0" fontId="13" fillId="0" borderId="8" xfId="3" applyFont="1" applyBorder="1" applyAlignment="1">
      <alignment horizontal="left" indent="2"/>
    </xf>
    <xf numFmtId="0" fontId="3" fillId="0" borderId="29" xfId="3" applyFont="1" applyBorder="1" applyAlignment="1">
      <alignment horizontal="left" indent="3"/>
    </xf>
    <xf numFmtId="0" fontId="13" fillId="14" borderId="8" xfId="3" applyFont="1" applyFill="1" applyBorder="1" applyAlignment="1">
      <alignment horizontal="left" indent="2"/>
    </xf>
    <xf numFmtId="49" fontId="3" fillId="11" borderId="8" xfId="3" applyNumberFormat="1" applyFont="1" applyFill="1" applyBorder="1" applyAlignment="1">
      <alignment horizontal="left" wrapText="1" indent="2"/>
    </xf>
    <xf numFmtId="0" fontId="3" fillId="0" borderId="0" xfId="3" applyFont="1" applyAlignment="1">
      <alignment horizontal="right"/>
    </xf>
    <xf numFmtId="3" fontId="3" fillId="4" borderId="9" xfId="3" applyNumberFormat="1" applyFont="1" applyFill="1" applyBorder="1"/>
    <xf numFmtId="164" fontId="3" fillId="4" borderId="9" xfId="1" applyNumberFormat="1" applyFont="1" applyFill="1" applyBorder="1"/>
    <xf numFmtId="9" fontId="3" fillId="0" borderId="11" xfId="5" applyFont="1" applyFill="1" applyBorder="1" applyAlignment="1">
      <alignment wrapText="1"/>
    </xf>
    <xf numFmtId="0" fontId="3" fillId="4" borderId="0" xfId="3" quotePrefix="1" applyFont="1" applyFill="1"/>
    <xf numFmtId="0" fontId="3" fillId="4" borderId="0" xfId="3" applyFont="1" applyFill="1"/>
    <xf numFmtId="49" fontId="3" fillId="4" borderId="7" xfId="3" applyNumberFormat="1" applyFont="1" applyFill="1" applyBorder="1" applyAlignment="1">
      <alignment horizontal="left" indent="2"/>
    </xf>
    <xf numFmtId="49" fontId="3" fillId="4" borderId="8" xfId="3" applyNumberFormat="1" applyFont="1" applyFill="1" applyBorder="1" applyAlignment="1">
      <alignment horizontal="left" wrapText="1" indent="4"/>
    </xf>
    <xf numFmtId="0" fontId="17" fillId="0" borderId="0" xfId="3" quotePrefix="1" applyFont="1"/>
    <xf numFmtId="164" fontId="16" fillId="0" borderId="9" xfId="1" applyNumberFormat="1" applyFont="1" applyBorder="1"/>
    <xf numFmtId="0" fontId="17" fillId="0" borderId="0" xfId="3" applyFont="1"/>
    <xf numFmtId="0" fontId="18" fillId="0" borderId="0" xfId="3" applyFont="1"/>
    <xf numFmtId="9" fontId="8" fillId="6" borderId="9" xfId="5" applyFont="1" applyFill="1" applyBorder="1" applyAlignment="1">
      <alignment wrapText="1"/>
    </xf>
    <xf numFmtId="164" fontId="3" fillId="0" borderId="9" xfId="5" applyNumberFormat="1" applyFont="1" applyFill="1" applyBorder="1" applyAlignment="1">
      <alignment wrapText="1"/>
    </xf>
    <xf numFmtId="0" fontId="18" fillId="0" borderId="0" xfId="3" quotePrefix="1" applyFont="1"/>
    <xf numFmtId="49" fontId="10" fillId="0" borderId="7" xfId="3" applyNumberFormat="1" applyFont="1" applyBorder="1" applyAlignment="1">
      <alignment horizontal="left" indent="2"/>
    </xf>
    <xf numFmtId="49" fontId="10" fillId="0" borderId="8" xfId="3" applyNumberFormat="1" applyFont="1" applyBorder="1" applyAlignment="1">
      <alignment horizontal="left" wrapText="1" indent="4"/>
    </xf>
    <xf numFmtId="3" fontId="10" fillId="0" borderId="9" xfId="3" applyNumberFormat="1" applyFont="1" applyBorder="1"/>
    <xf numFmtId="164" fontId="10" fillId="0" borderId="9" xfId="1" applyNumberFormat="1" applyFont="1" applyBorder="1"/>
    <xf numFmtId="0" fontId="19" fillId="0" borderId="0" xfId="3" applyFont="1"/>
    <xf numFmtId="49" fontId="3" fillId="0" borderId="7" xfId="3" applyNumberFormat="1" applyFont="1" applyBorder="1" applyAlignment="1">
      <alignment horizontal="left" indent="3"/>
    </xf>
    <xf numFmtId="49" fontId="10" fillId="2" borderId="7" xfId="3" applyNumberFormat="1" applyFont="1" applyFill="1" applyBorder="1" applyAlignment="1">
      <alignment horizontal="left" indent="1"/>
    </xf>
    <xf numFmtId="9" fontId="14" fillId="0" borderId="9" xfId="5" applyFont="1" applyFill="1" applyBorder="1" applyAlignment="1">
      <alignment wrapText="1"/>
    </xf>
    <xf numFmtId="49" fontId="20" fillId="2" borderId="7" xfId="3" applyNumberFormat="1" applyFont="1" applyFill="1" applyBorder="1" applyAlignment="1">
      <alignment horizontal="left" indent="1"/>
    </xf>
    <xf numFmtId="49" fontId="21" fillId="2" borderId="8" xfId="3" applyNumberFormat="1" applyFont="1" applyFill="1" applyBorder="1" applyAlignment="1">
      <alignment horizontal="left" wrapText="1" indent="2"/>
    </xf>
    <xf numFmtId="49" fontId="10" fillId="11" borderId="8" xfId="3" applyNumberFormat="1" applyFont="1" applyFill="1" applyBorder="1" applyAlignment="1">
      <alignment horizontal="left" wrapText="1" indent="2"/>
    </xf>
    <xf numFmtId="0" fontId="10" fillId="0" borderId="0" xfId="3" quotePrefix="1" applyFont="1"/>
    <xf numFmtId="49" fontId="10" fillId="0" borderId="14" xfId="3" applyNumberFormat="1" applyFont="1" applyBorder="1"/>
    <xf numFmtId="49" fontId="10" fillId="0" borderId="15" xfId="3" applyNumberFormat="1" applyFont="1" applyBorder="1" applyAlignment="1">
      <alignment horizontal="right" wrapText="1"/>
    </xf>
    <xf numFmtId="3" fontId="10" fillId="0" borderId="30" xfId="3" applyNumberFormat="1" applyFont="1" applyBorder="1"/>
    <xf numFmtId="164" fontId="10" fillId="0" borderId="30" xfId="1" applyNumberFormat="1" applyFont="1" applyBorder="1"/>
    <xf numFmtId="49" fontId="3" fillId="3" borderId="8" xfId="3" applyNumberFormat="1" applyFont="1" applyFill="1" applyBorder="1" applyAlignment="1">
      <alignment wrapText="1"/>
    </xf>
    <xf numFmtId="3" fontId="10" fillId="0" borderId="31" xfId="3" applyNumberFormat="1" applyFont="1" applyBorder="1"/>
    <xf numFmtId="164" fontId="10" fillId="0" borderId="31" xfId="1" applyNumberFormat="1" applyFont="1" applyBorder="1"/>
    <xf numFmtId="9" fontId="3" fillId="0" borderId="31" xfId="5" applyFont="1" applyBorder="1"/>
    <xf numFmtId="49" fontId="10" fillId="3" borderId="32" xfId="3" applyNumberFormat="1" applyFont="1" applyFill="1" applyBorder="1" applyAlignment="1">
      <alignment horizontal="center"/>
    </xf>
    <xf numFmtId="49" fontId="10" fillId="3" borderId="33" xfId="3" applyNumberFormat="1" applyFont="1" applyFill="1" applyBorder="1" applyAlignment="1">
      <alignment wrapText="1"/>
    </xf>
    <xf numFmtId="3" fontId="10" fillId="3" borderId="34" xfId="3" applyNumberFormat="1" applyFont="1" applyFill="1" applyBorder="1"/>
    <xf numFmtId="164" fontId="10" fillId="3" borderId="34" xfId="1" applyNumberFormat="1" applyFont="1" applyFill="1" applyBorder="1"/>
    <xf numFmtId="9" fontId="10" fillId="3" borderId="34" xfId="5" applyFont="1" applyFill="1" applyBorder="1"/>
    <xf numFmtId="9" fontId="3" fillId="0" borderId="0" xfId="5" applyFont="1" applyAlignment="1">
      <alignment horizontal="right"/>
    </xf>
    <xf numFmtId="0" fontId="24" fillId="0" borderId="0" xfId="10" applyFont="1"/>
    <xf numFmtId="0" fontId="25" fillId="0" borderId="0" xfId="11" applyFont="1"/>
    <xf numFmtId="0" fontId="26" fillId="0" borderId="0" xfId="10" applyFont="1"/>
    <xf numFmtId="0" fontId="27" fillId="0" borderId="0" xfId="10" applyFont="1"/>
    <xf numFmtId="0" fontId="27" fillId="0" borderId="0" xfId="10" applyFont="1" applyAlignment="1">
      <alignment horizontal="center"/>
    </xf>
    <xf numFmtId="165" fontId="24" fillId="0" borderId="0" xfId="10" applyNumberFormat="1" applyFont="1"/>
    <xf numFmtId="164" fontId="24" fillId="0" borderId="0" xfId="10" applyNumberFormat="1" applyFont="1"/>
    <xf numFmtId="0" fontId="28" fillId="0" borderId="0" xfId="12" applyFont="1"/>
    <xf numFmtId="164" fontId="27" fillId="0" borderId="0" xfId="10" applyNumberFormat="1" applyFont="1" applyAlignment="1">
      <alignment horizontal="center"/>
    </xf>
    <xf numFmtId="0" fontId="29" fillId="0" borderId="0" xfId="12" applyFont="1"/>
    <xf numFmtId="0" fontId="30" fillId="7" borderId="0" xfId="10" applyFont="1" applyFill="1"/>
    <xf numFmtId="1" fontId="24" fillId="0" borderId="0" xfId="10" applyNumberFormat="1" applyFont="1"/>
    <xf numFmtId="0" fontId="24" fillId="0" borderId="0" xfId="10" applyFont="1" applyAlignment="1">
      <alignment horizontal="center" vertical="center"/>
    </xf>
    <xf numFmtId="0" fontId="31" fillId="15" borderId="19" xfId="10" applyFont="1" applyFill="1" applyBorder="1" applyAlignment="1">
      <alignment horizontal="center" vertical="center"/>
    </xf>
    <xf numFmtId="0" fontId="31" fillId="15" borderId="8" xfId="10" applyFont="1" applyFill="1" applyBorder="1" applyAlignment="1">
      <alignment horizontal="center" vertical="center" wrapText="1"/>
    </xf>
    <xf numFmtId="0" fontId="31" fillId="15" borderId="8" xfId="10" applyFont="1" applyFill="1" applyBorder="1" applyAlignment="1">
      <alignment horizontal="center" vertical="center"/>
    </xf>
    <xf numFmtId="0" fontId="30" fillId="15" borderId="8" xfId="10" applyFont="1" applyFill="1" applyBorder="1" applyAlignment="1">
      <alignment horizontal="center" vertical="center" wrapText="1"/>
    </xf>
    <xf numFmtId="0" fontId="27" fillId="15" borderId="8" xfId="10" applyFont="1" applyFill="1" applyBorder="1" applyAlignment="1">
      <alignment horizontal="center" vertical="center" wrapText="1"/>
    </xf>
    <xf numFmtId="0" fontId="30" fillId="15" borderId="19" xfId="10" applyFont="1" applyFill="1" applyBorder="1" applyAlignment="1">
      <alignment horizontal="center" vertical="center" wrapText="1"/>
    </xf>
    <xf numFmtId="0" fontId="24" fillId="0" borderId="35" xfId="10" applyFont="1" applyBorder="1" applyAlignment="1">
      <alignment horizontal="center" vertical="center"/>
    </xf>
    <xf numFmtId="0" fontId="31" fillId="0" borderId="0" xfId="10" applyFont="1"/>
    <xf numFmtId="0" fontId="31" fillId="0" borderId="35" xfId="10" applyFont="1" applyBorder="1"/>
    <xf numFmtId="0" fontId="32" fillId="0" borderId="36" xfId="10" applyFont="1" applyBorder="1"/>
    <xf numFmtId="0" fontId="32" fillId="0" borderId="35" xfId="10" applyFont="1" applyBorder="1"/>
    <xf numFmtId="0" fontId="33" fillId="0" borderId="35" xfId="10" applyFont="1" applyBorder="1"/>
    <xf numFmtId="0" fontId="34" fillId="0" borderId="35" xfId="10" applyFont="1" applyBorder="1"/>
    <xf numFmtId="164" fontId="33" fillId="0" borderId="35" xfId="13" applyNumberFormat="1" applyFont="1" applyBorder="1"/>
    <xf numFmtId="164" fontId="29" fillId="0" borderId="35" xfId="13" applyNumberFormat="1" applyFont="1" applyBorder="1"/>
    <xf numFmtId="166" fontId="29" fillId="0" borderId="35" xfId="13" applyNumberFormat="1" applyFont="1" applyBorder="1"/>
    <xf numFmtId="164" fontId="29" fillId="0" borderId="37" xfId="13" applyNumberFormat="1" applyFont="1" applyBorder="1"/>
    <xf numFmtId="164" fontId="35" fillId="16" borderId="37" xfId="13" applyNumberFormat="1" applyFont="1" applyFill="1" applyBorder="1"/>
    <xf numFmtId="164" fontId="34" fillId="0" borderId="0" xfId="10" applyNumberFormat="1" applyFont="1"/>
    <xf numFmtId="164" fontId="29" fillId="0" borderId="36" xfId="13" applyNumberFormat="1" applyFont="1" applyBorder="1"/>
    <xf numFmtId="164" fontId="29" fillId="16" borderId="37" xfId="13" applyNumberFormat="1" applyFont="1" applyFill="1" applyBorder="1"/>
    <xf numFmtId="164" fontId="31" fillId="0" borderId="0" xfId="10" applyNumberFormat="1" applyFont="1"/>
    <xf numFmtId="0" fontId="24" fillId="0" borderId="38" xfId="10" applyFont="1" applyBorder="1"/>
    <xf numFmtId="0" fontId="34" fillId="0" borderId="39" xfId="10" applyFont="1" applyBorder="1"/>
    <xf numFmtId="0" fontId="32" fillId="0" borderId="38" xfId="10" applyFont="1" applyBorder="1"/>
    <xf numFmtId="0" fontId="33" fillId="0" borderId="38" xfId="10" applyFont="1" applyBorder="1"/>
    <xf numFmtId="0" fontId="34" fillId="0" borderId="38" xfId="10" applyFont="1" applyBorder="1"/>
    <xf numFmtId="164" fontId="33" fillId="0" borderId="38" xfId="13" applyNumberFormat="1" applyFont="1" applyBorder="1"/>
    <xf numFmtId="166" fontId="33" fillId="0" borderId="38" xfId="13" applyNumberFormat="1" applyFont="1" applyBorder="1"/>
    <xf numFmtId="166" fontId="33" fillId="14" borderId="38" xfId="13" applyNumberFormat="1" applyFont="1" applyFill="1" applyBorder="1"/>
    <xf numFmtId="164" fontId="33" fillId="0" borderId="5" xfId="13" applyNumberFormat="1" applyFont="1" applyBorder="1"/>
    <xf numFmtId="164" fontId="36" fillId="16" borderId="5" xfId="13" applyNumberFormat="1" applyFont="1" applyFill="1" applyBorder="1"/>
    <xf numFmtId="164" fontId="33" fillId="0" borderId="39" xfId="13" applyNumberFormat="1" applyFont="1" applyBorder="1"/>
    <xf numFmtId="164" fontId="33" fillId="16" borderId="5" xfId="13" applyNumberFormat="1" applyFont="1" applyFill="1" applyBorder="1"/>
    <xf numFmtId="164" fontId="33" fillId="0" borderId="38" xfId="13" applyNumberFormat="1" applyFont="1" applyFill="1" applyBorder="1"/>
    <xf numFmtId="166" fontId="33" fillId="0" borderId="38" xfId="13" applyNumberFormat="1" applyFont="1" applyFill="1" applyBorder="1"/>
    <xf numFmtId="0" fontId="30" fillId="0" borderId="35" xfId="10" applyFont="1" applyBorder="1"/>
    <xf numFmtId="0" fontId="29" fillId="0" borderId="36" xfId="10" applyFont="1" applyBorder="1"/>
    <xf numFmtId="0" fontId="29" fillId="0" borderId="35" xfId="10" applyFont="1" applyBorder="1"/>
    <xf numFmtId="164" fontId="33" fillId="0" borderId="0" xfId="10" applyNumberFormat="1" applyFont="1"/>
    <xf numFmtId="0" fontId="30" fillId="0" borderId="0" xfId="10" applyFont="1"/>
    <xf numFmtId="0" fontId="26" fillId="0" borderId="38" xfId="10" applyFont="1" applyBorder="1"/>
    <xf numFmtId="0" fontId="33" fillId="0" borderId="39" xfId="10" applyFont="1" applyBorder="1"/>
    <xf numFmtId="0" fontId="29" fillId="0" borderId="38" xfId="10" applyFont="1" applyBorder="1"/>
    <xf numFmtId="166" fontId="29" fillId="0" borderId="35" xfId="13" applyNumberFormat="1" applyFont="1" applyFill="1" applyBorder="1"/>
    <xf numFmtId="164" fontId="29" fillId="0" borderId="35" xfId="13" applyNumberFormat="1" applyFont="1" applyFill="1" applyBorder="1"/>
    <xf numFmtId="14" fontId="33" fillId="0" borderId="35" xfId="10" applyNumberFormat="1" applyFont="1" applyBorder="1"/>
    <xf numFmtId="164" fontId="33" fillId="0" borderId="35" xfId="13" applyNumberFormat="1" applyFont="1" applyFill="1" applyBorder="1"/>
    <xf numFmtId="166" fontId="33" fillId="0" borderId="35" xfId="13" applyNumberFormat="1" applyFont="1" applyFill="1" applyBorder="1"/>
    <xf numFmtId="164" fontId="29" fillId="0" borderId="37" xfId="13" applyNumberFormat="1" applyFont="1" applyFill="1" applyBorder="1"/>
    <xf numFmtId="164" fontId="29" fillId="0" borderId="36" xfId="13" applyNumberFormat="1" applyFont="1" applyFill="1" applyBorder="1"/>
    <xf numFmtId="0" fontId="29" fillId="0" borderId="39" xfId="10" applyFont="1" applyBorder="1"/>
    <xf numFmtId="164" fontId="33" fillId="0" borderId="5" xfId="13" applyNumberFormat="1" applyFont="1" applyFill="1" applyBorder="1"/>
    <xf numFmtId="164" fontId="33" fillId="0" borderId="39" xfId="13" applyNumberFormat="1" applyFont="1" applyFill="1" applyBorder="1"/>
    <xf numFmtId="0" fontId="37" fillId="0" borderId="35" xfId="10" applyFont="1" applyBorder="1"/>
    <xf numFmtId="0" fontId="38" fillId="0" borderId="36" xfId="10" applyFont="1" applyBorder="1"/>
    <xf numFmtId="0" fontId="38" fillId="0" borderId="35" xfId="10" applyFont="1" applyBorder="1"/>
    <xf numFmtId="0" fontId="39" fillId="0" borderId="35" xfId="10" applyFont="1" applyBorder="1"/>
    <xf numFmtId="164" fontId="39" fillId="0" borderId="35" xfId="13" applyNumberFormat="1" applyFont="1" applyFill="1" applyBorder="1"/>
    <xf numFmtId="164" fontId="39" fillId="0" borderId="35" xfId="13" applyNumberFormat="1" applyFont="1" applyBorder="1"/>
    <xf numFmtId="166" fontId="39" fillId="0" borderId="35" xfId="13" applyNumberFormat="1" applyFont="1" applyBorder="1"/>
    <xf numFmtId="166" fontId="38" fillId="0" borderId="35" xfId="13" applyNumberFormat="1" applyFont="1" applyBorder="1"/>
    <xf numFmtId="164" fontId="38" fillId="0" borderId="37" xfId="13" applyNumberFormat="1" applyFont="1" applyBorder="1"/>
    <xf numFmtId="164" fontId="38" fillId="16" borderId="37" xfId="13" applyNumberFormat="1" applyFont="1" applyFill="1" applyBorder="1"/>
    <xf numFmtId="164" fontId="39" fillId="0" borderId="0" xfId="10" applyNumberFormat="1" applyFont="1"/>
    <xf numFmtId="164" fontId="38" fillId="0" borderId="36" xfId="13" applyNumberFormat="1" applyFont="1" applyBorder="1"/>
    <xf numFmtId="0" fontId="40" fillId="0" borderId="0" xfId="10" applyFont="1"/>
    <xf numFmtId="0" fontId="37" fillId="0" borderId="0" xfId="10" applyFont="1"/>
    <xf numFmtId="0" fontId="40" fillId="0" borderId="38" xfId="10" applyFont="1" applyBorder="1"/>
    <xf numFmtId="0" fontId="38" fillId="0" borderId="39" xfId="10" applyFont="1" applyBorder="1"/>
    <xf numFmtId="0" fontId="38" fillId="0" borderId="38" xfId="10" applyFont="1" applyBorder="1"/>
    <xf numFmtId="0" fontId="39" fillId="0" borderId="38" xfId="10" applyFont="1" applyBorder="1"/>
    <xf numFmtId="164" fontId="39" fillId="0" borderId="38" xfId="13" applyNumberFormat="1" applyFont="1" applyFill="1" applyBorder="1"/>
    <xf numFmtId="164" fontId="39" fillId="0" borderId="38" xfId="13" applyNumberFormat="1" applyFont="1" applyBorder="1"/>
    <xf numFmtId="166" fontId="39" fillId="0" borderId="38" xfId="13" applyNumberFormat="1" applyFont="1" applyBorder="1"/>
    <xf numFmtId="164" fontId="39" fillId="0" borderId="5" xfId="13" applyNumberFormat="1" applyFont="1" applyBorder="1"/>
    <xf numFmtId="164" fontId="39" fillId="16" borderId="5" xfId="13" applyNumberFormat="1" applyFont="1" applyFill="1" applyBorder="1"/>
    <xf numFmtId="164" fontId="39" fillId="0" borderId="39" xfId="13" applyNumberFormat="1" applyFont="1" applyBorder="1"/>
    <xf numFmtId="164" fontId="41" fillId="0" borderId="37" xfId="13" applyNumberFormat="1" applyFont="1" applyBorder="1"/>
    <xf numFmtId="164" fontId="39" fillId="0" borderId="38" xfId="10" applyNumberFormat="1" applyFont="1" applyBorder="1"/>
    <xf numFmtId="164" fontId="39" fillId="0" borderId="40" xfId="13" applyNumberFormat="1" applyFont="1" applyBorder="1"/>
    <xf numFmtId="0" fontId="38" fillId="0" borderId="0" xfId="10" applyFont="1"/>
    <xf numFmtId="0" fontId="39" fillId="0" borderId="0" xfId="10" applyFont="1"/>
    <xf numFmtId="0" fontId="38" fillId="0" borderId="41" xfId="10" applyFont="1" applyBorder="1"/>
    <xf numFmtId="164" fontId="39" fillId="0" borderId="0" xfId="13" applyNumberFormat="1" applyFont="1" applyFill="1" applyBorder="1"/>
    <xf numFmtId="164" fontId="39" fillId="0" borderId="0" xfId="13" applyNumberFormat="1" applyFont="1" applyBorder="1"/>
    <xf numFmtId="166" fontId="39" fillId="0" borderId="0" xfId="13" applyNumberFormat="1" applyFont="1" applyBorder="1"/>
    <xf numFmtId="164" fontId="33" fillId="0" borderId="0" xfId="13" applyNumberFormat="1" applyFont="1" applyFill="1" applyBorder="1"/>
    <xf numFmtId="166" fontId="33" fillId="0" borderId="0" xfId="13" applyNumberFormat="1" applyFont="1" applyFill="1" applyBorder="1"/>
    <xf numFmtId="166" fontId="43" fillId="0" borderId="0" xfId="13" applyNumberFormat="1" applyFont="1" applyFill="1" applyBorder="1"/>
    <xf numFmtId="164" fontId="30" fillId="15" borderId="0" xfId="10" applyNumberFormat="1" applyFont="1" applyFill="1"/>
    <xf numFmtId="164" fontId="12" fillId="0" borderId="0" xfId="13" applyNumberFormat="1"/>
    <xf numFmtId="0" fontId="31" fillId="0" borderId="0" xfId="10" applyFont="1" applyAlignment="1">
      <alignment horizontal="right"/>
    </xf>
    <xf numFmtId="164" fontId="31" fillId="15" borderId="0" xfId="10" applyNumberFormat="1" applyFont="1" applyFill="1"/>
    <xf numFmtId="166" fontId="31" fillId="15" borderId="0" xfId="10" applyNumberFormat="1" applyFont="1" applyFill="1"/>
    <xf numFmtId="164" fontId="31" fillId="6" borderId="0" xfId="10" applyNumberFormat="1" applyFont="1" applyFill="1"/>
    <xf numFmtId="166" fontId="29" fillId="0" borderId="0" xfId="13" applyNumberFormat="1" applyFont="1" applyFill="1" applyBorder="1" applyAlignment="1">
      <alignment horizontal="right"/>
    </xf>
    <xf numFmtId="164" fontId="29" fillId="17" borderId="37" xfId="13" applyNumberFormat="1" applyFont="1" applyFill="1" applyBorder="1"/>
    <xf numFmtId="164" fontId="24" fillId="6" borderId="0" xfId="10" applyNumberFormat="1" applyFont="1" applyFill="1"/>
    <xf numFmtId="166" fontId="33" fillId="0" borderId="0" xfId="13" applyNumberFormat="1" applyFont="1" applyFill="1" applyBorder="1" applyAlignment="1">
      <alignment horizontal="right"/>
    </xf>
    <xf numFmtId="164" fontId="33" fillId="17" borderId="5" xfId="13" applyNumberFormat="1" applyFont="1" applyFill="1" applyBorder="1"/>
    <xf numFmtId="164" fontId="30" fillId="6" borderId="0" xfId="10" applyNumberFormat="1" applyFont="1" applyFill="1"/>
    <xf numFmtId="164" fontId="30" fillId="17" borderId="5" xfId="10" applyNumberFormat="1" applyFont="1" applyFill="1" applyBorder="1"/>
    <xf numFmtId="164" fontId="44" fillId="0" borderId="0" xfId="13" applyNumberFormat="1" applyFont="1"/>
    <xf numFmtId="164" fontId="45" fillId="0" borderId="0" xfId="10" applyNumberFormat="1" applyFont="1"/>
    <xf numFmtId="0" fontId="31" fillId="0" borderId="0" xfId="10" applyFont="1" applyAlignment="1">
      <alignment wrapText="1"/>
    </xf>
    <xf numFmtId="0" fontId="30" fillId="0" borderId="0" xfId="10" applyFont="1" applyAlignment="1">
      <alignment wrapText="1"/>
    </xf>
    <xf numFmtId="164" fontId="46" fillId="0" borderId="0" xfId="13" applyNumberFormat="1" applyFont="1"/>
    <xf numFmtId="164" fontId="2" fillId="0" borderId="0" xfId="10" applyNumberFormat="1" applyFont="1"/>
    <xf numFmtId="164" fontId="26" fillId="0" borderId="0" xfId="10" applyNumberFormat="1" applyFont="1"/>
    <xf numFmtId="0" fontId="32" fillId="0" borderId="0" xfId="10" applyFont="1"/>
    <xf numFmtId="0" fontId="34" fillId="0" borderId="0" xfId="10" applyFont="1"/>
    <xf numFmtId="14" fontId="34" fillId="0" borderId="35" xfId="10" applyNumberFormat="1" applyFont="1" applyBorder="1"/>
    <xf numFmtId="0" fontId="29" fillId="0" borderId="0" xfId="10" applyFont="1"/>
    <xf numFmtId="0" fontId="29" fillId="0" borderId="0" xfId="10" applyFont="1" applyAlignment="1">
      <alignment horizontal="right"/>
    </xf>
    <xf numFmtId="164" fontId="29" fillId="17" borderId="5" xfId="10" applyNumberFormat="1" applyFont="1" applyFill="1" applyBorder="1"/>
    <xf numFmtId="164" fontId="29" fillId="17" borderId="8" xfId="13" applyNumberFormat="1" applyFont="1" applyFill="1" applyBorder="1"/>
    <xf numFmtId="164" fontId="29" fillId="17" borderId="8" xfId="10" applyNumberFormat="1" applyFont="1" applyFill="1" applyBorder="1"/>
    <xf numFmtId="0" fontId="26" fillId="0" borderId="0" xfId="12" applyFont="1" applyAlignment="1">
      <alignment horizontal="right"/>
    </xf>
    <xf numFmtId="164" fontId="26" fillId="0" borderId="40" xfId="10" applyNumberFormat="1" applyFont="1" applyBorder="1"/>
    <xf numFmtId="164" fontId="29" fillId="16" borderId="40" xfId="13" applyNumberFormat="1" applyFont="1" applyFill="1" applyBorder="1"/>
    <xf numFmtId="164" fontId="33" fillId="0" borderId="40" xfId="13" applyNumberFormat="1" applyFont="1" applyBorder="1"/>
    <xf numFmtId="0" fontId="30" fillId="0" borderId="0" xfId="10" applyFont="1" applyAlignment="1">
      <alignment horizontal="right"/>
    </xf>
    <xf numFmtId="164" fontId="30" fillId="17" borderId="8" xfId="10" applyNumberFormat="1" applyFont="1" applyFill="1" applyBorder="1"/>
    <xf numFmtId="167" fontId="30" fillId="0" borderId="8" xfId="9" applyNumberFormat="1" applyFont="1" applyFill="1" applyBorder="1"/>
    <xf numFmtId="167" fontId="30" fillId="18" borderId="8" xfId="9" applyNumberFormat="1" applyFont="1" applyFill="1" applyBorder="1"/>
    <xf numFmtId="167" fontId="30" fillId="0" borderId="0" xfId="9" applyNumberFormat="1" applyFont="1" applyFill="1"/>
    <xf numFmtId="0" fontId="47" fillId="0" borderId="0" xfId="12" applyFont="1" applyAlignment="1">
      <alignment horizontal="right"/>
    </xf>
    <xf numFmtId="164" fontId="48" fillId="0" borderId="0" xfId="13" applyNumberFormat="1" applyFont="1" applyFill="1"/>
    <xf numFmtId="167" fontId="2" fillId="0" borderId="0" xfId="9" applyNumberFormat="1" applyFont="1"/>
    <xf numFmtId="9" fontId="24" fillId="0" borderId="0" xfId="10" applyNumberFormat="1" applyFont="1"/>
    <xf numFmtId="164" fontId="33" fillId="0" borderId="0" xfId="13" applyNumberFormat="1" applyFont="1" applyAlignment="1">
      <alignment horizontal="right"/>
    </xf>
    <xf numFmtId="164" fontId="42" fillId="0" borderId="0" xfId="13" applyNumberFormat="1" applyFont="1"/>
    <xf numFmtId="0" fontId="2" fillId="0" borderId="0" xfId="10" applyFont="1"/>
    <xf numFmtId="167" fontId="12" fillId="0" borderId="0" xfId="9" applyNumberFormat="1" applyFont="1"/>
    <xf numFmtId="167" fontId="24" fillId="0" borderId="0" xfId="10" applyNumberFormat="1" applyFont="1"/>
    <xf numFmtId="9" fontId="3" fillId="0" borderId="11" xfId="5" applyFont="1" applyFill="1" applyBorder="1" applyAlignment="1">
      <alignment horizontal="left" wrapText="1"/>
    </xf>
    <xf numFmtId="9" fontId="3" fillId="0" borderId="12" xfId="5" applyFont="1" applyFill="1" applyBorder="1" applyAlignment="1">
      <alignment horizontal="left" wrapText="1"/>
    </xf>
    <xf numFmtId="9" fontId="3" fillId="0" borderId="11" xfId="5" applyFont="1" applyBorder="1" applyAlignment="1">
      <alignment horizontal="left" wrapText="1"/>
    </xf>
    <xf numFmtId="9" fontId="3" fillId="0" borderId="12" xfId="5" applyFont="1" applyBorder="1" applyAlignment="1">
      <alignment horizontal="left" wrapText="1"/>
    </xf>
    <xf numFmtId="0" fontId="4" fillId="0" borderId="0" xfId="4" applyFont="1"/>
    <xf numFmtId="0" fontId="9" fillId="0" borderId="0" xfId="4" applyFont="1"/>
    <xf numFmtId="0" fontId="1" fillId="0" borderId="0" xfId="3"/>
    <xf numFmtId="9" fontId="3" fillId="3" borderId="11" xfId="5" applyFont="1" applyFill="1" applyBorder="1" applyAlignment="1">
      <alignment horizontal="left" wrapText="1"/>
    </xf>
    <xf numFmtId="9" fontId="3" fillId="3" borderId="12" xfId="5" applyFont="1" applyFill="1" applyBorder="1" applyAlignment="1">
      <alignment horizontal="left" wrapText="1"/>
    </xf>
    <xf numFmtId="9" fontId="3" fillId="0" borderId="11" xfId="5" applyFont="1" applyFill="1" applyBorder="1" applyAlignment="1">
      <alignment horizontal="left" vertical="center" wrapText="1"/>
    </xf>
    <xf numFmtId="9" fontId="3" fillId="0" borderId="12" xfId="5" applyFont="1" applyFill="1" applyBorder="1" applyAlignment="1">
      <alignment horizontal="left" vertical="center" wrapText="1"/>
    </xf>
  </cellXfs>
  <cellStyles count="14">
    <cellStyle name="Comma" xfId="1" builtinId="3"/>
    <cellStyle name="Comma 2" xfId="13" xr:uid="{C8A98976-2DC9-4484-8D86-C35295686F64}"/>
    <cellStyle name="Hyperlink" xfId="7" builtinId="8"/>
    <cellStyle name="Komats 10" xfId="6" xr:uid="{782B01DD-D77E-43E7-855E-29E524491434}"/>
    <cellStyle name="Normal" xfId="0" builtinId="0"/>
    <cellStyle name="Normal 2" xfId="10" xr:uid="{A39EED42-AE47-4571-A3E3-1E750233D4E7}"/>
    <cellStyle name="Normal 2 2" xfId="8" xr:uid="{16C848D3-50D7-4B26-B995-86AFA7787FC2}"/>
    <cellStyle name="Normal 4" xfId="12" xr:uid="{C1A1EFEC-FAE6-4A5F-AA29-73E94BA3641E}"/>
    <cellStyle name="Parasts 2 2 2 2" xfId="11" xr:uid="{AA7AC425-2AB2-4AF9-8345-2940F646B9B5}"/>
    <cellStyle name="Parasts 2 2 5" xfId="3" xr:uid="{0371BAE7-0342-4C62-85FF-821592D5D1B4}"/>
    <cellStyle name="Parasts 2 2 5 2" xfId="4" xr:uid="{09BAC46A-3A4A-4C52-A653-145773B6CDBD}"/>
    <cellStyle name="Percent" xfId="2" builtinId="5"/>
    <cellStyle name="Percent 4" xfId="9" xr:uid="{B8BA4456-4A5A-4169-AB02-17A955A30EE4}"/>
    <cellStyle name="Procenti 2 3" xfId="5" xr:uid="{52AC8940-E10A-4395-9017-F92F5D9641B3}"/>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Saist&#299;bas\SAISTIBAS_2025\Saist&#299;bas_2025_SNOT_1.xlsx" TargetMode="External"/><Relationship Id="rId1" Type="http://schemas.openxmlformats.org/officeDocument/2006/relationships/externalLinkPath" Target="file:///C:\Users\Sarmite.Muze\Nextcloud\Finansu%20nodala%20kopmape\Saist&#299;bas\SAISTIBAS_2025\Saist&#299;bas_2025_SNO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īgumu saraksts_27062024 apst"/>
      <sheetName val="Līgumu saraksts_29082024"/>
      <sheetName val="Līgumu saraksts_2025"/>
      <sheetName val="Līgumu saraksts_2025_budžetam"/>
      <sheetName val="Līgumu saraksts_27032025"/>
      <sheetName val="Līgumu saraksts_29052025"/>
      <sheetName val="Līgumu saraksts_26062025"/>
      <sheetName val="Līgumu saraksts_28082025"/>
      <sheetName val="Līgumu saraksts_papildus"/>
      <sheetName val="Sheet1"/>
      <sheetName val="Aiznemumiem"/>
      <sheetName val="Fakts _Visvaris_%"/>
      <sheetName val="Fakts_Visvaris_apkalp.maksa"/>
    </sheetNames>
    <sheetDataSet>
      <sheetData sheetId="0"/>
      <sheetData sheetId="1"/>
      <sheetData sheetId="2">
        <row r="153">
          <cell r="R153">
            <v>3464075.6900000004</v>
          </cell>
        </row>
        <row r="154">
          <cell r="R154">
            <v>2176081.2377904006</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BDA3-8A5F-4427-A00E-90CF68A50B37}">
  <sheetPr>
    <tabColor rgb="FF92D050"/>
  </sheetPr>
  <dimension ref="A1:Q299"/>
  <sheetViews>
    <sheetView tabSelected="1" zoomScale="98" zoomScaleNormal="98" zoomScaleSheetLayoutView="80" workbookViewId="0">
      <pane xSplit="4" ySplit="5" topLeftCell="E68" activePane="bottomRight" state="frozen"/>
      <selection activeCell="C1" sqref="C1"/>
      <selection pane="topRight" activeCell="E1" sqref="E1"/>
      <selection pane="bottomLeft" activeCell="C6" sqref="C6"/>
      <selection pane="bottomRight" activeCell="O81" sqref="O81"/>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11" customWidth="1" collapsed="1"/>
    <col min="4" max="4" width="44" style="4" customWidth="1"/>
    <col min="5" max="5" width="14.85546875" style="8" customWidth="1"/>
    <col min="6" max="6" width="14.85546875" style="8" customWidth="1" collapsed="1"/>
    <col min="7" max="7" width="14.85546875" style="1" hidden="1" customWidth="1" outlineLevel="1"/>
    <col min="8" max="8" width="70.7109375" style="12" hidden="1" customWidth="1" outlineLevel="1" collapsed="1"/>
    <col min="9" max="9" width="14.85546875" style="8" customWidth="1" collapsed="1"/>
    <col min="10" max="10" width="14.85546875" style="1" hidden="1" customWidth="1" outlineLevel="1"/>
    <col min="11" max="11" width="70.7109375" style="12" hidden="1" customWidth="1" outlineLevel="1" collapsed="1"/>
    <col min="12" max="12" width="14.85546875" style="8" customWidth="1" collapsed="1"/>
    <col min="13" max="13" width="14.85546875" style="1" hidden="1" customWidth="1" outlineLevel="1"/>
    <col min="14" max="14" width="42.85546875" style="12" hidden="1" customWidth="1" outlineLevel="1" collapsed="1"/>
    <col min="15" max="15" width="14.85546875" style="8" customWidth="1" collapsed="1"/>
    <col min="16" max="16" width="14.85546875" style="1" customWidth="1"/>
    <col min="17" max="17" width="88" style="12" customWidth="1" collapsed="1"/>
    <col min="18" max="171" width="9.140625" style="1"/>
    <col min="172" max="173" width="0" style="1" hidden="1" customWidth="1"/>
    <col min="174" max="174" width="13.7109375" style="1" customWidth="1"/>
    <col min="175" max="175" width="52.85546875" style="1" customWidth="1"/>
    <col min="176" max="215" width="0" style="1" hidden="1" customWidth="1"/>
    <col min="216" max="217" width="14.85546875" style="1" customWidth="1"/>
    <col min="218" max="219" width="0" style="1" hidden="1" customWidth="1"/>
    <col min="220" max="220" width="14.85546875" style="1" customWidth="1"/>
    <col min="221" max="222" width="0" style="1" hidden="1" customWidth="1"/>
    <col min="223"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3" width="14.85546875" style="1" customWidth="1"/>
    <col min="234" max="234" width="44.42578125" style="1" customWidth="1"/>
    <col min="235" max="239" width="14.85546875" style="1" customWidth="1"/>
    <col min="240" max="240" width="63.85546875" style="1" customWidth="1"/>
    <col min="241" max="241" width="13.28515625" style="1" customWidth="1"/>
    <col min="242" max="427" width="9.140625" style="1"/>
    <col min="428" max="429" width="0" style="1" hidden="1" customWidth="1"/>
    <col min="430" max="430" width="13.7109375" style="1" customWidth="1"/>
    <col min="431" max="431" width="52.85546875" style="1" customWidth="1"/>
    <col min="432" max="471" width="0" style="1" hidden="1" customWidth="1"/>
    <col min="472" max="473" width="14.85546875" style="1" customWidth="1"/>
    <col min="474" max="475" width="0" style="1" hidden="1" customWidth="1"/>
    <col min="476" max="476" width="14.85546875" style="1" customWidth="1"/>
    <col min="477" max="478" width="0" style="1" hidden="1" customWidth="1"/>
    <col min="479"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9" width="14.85546875" style="1" customWidth="1"/>
    <col min="490" max="490" width="44.42578125" style="1" customWidth="1"/>
    <col min="491" max="495" width="14.85546875" style="1" customWidth="1"/>
    <col min="496" max="496" width="63.85546875" style="1" customWidth="1"/>
    <col min="497" max="497" width="13.28515625" style="1" customWidth="1"/>
    <col min="498" max="683" width="9.140625" style="1"/>
    <col min="684" max="685" width="0" style="1" hidden="1" customWidth="1"/>
    <col min="686" max="686" width="13.7109375" style="1" customWidth="1"/>
    <col min="687" max="687" width="52.85546875" style="1" customWidth="1"/>
    <col min="688" max="727" width="0" style="1" hidden="1" customWidth="1"/>
    <col min="728" max="729" width="14.85546875" style="1" customWidth="1"/>
    <col min="730" max="731" width="0" style="1" hidden="1" customWidth="1"/>
    <col min="732" max="732" width="14.85546875" style="1" customWidth="1"/>
    <col min="733" max="734" width="0" style="1" hidden="1" customWidth="1"/>
    <col min="735"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5" width="14.85546875" style="1" customWidth="1"/>
    <col min="746" max="746" width="44.42578125" style="1" customWidth="1"/>
    <col min="747" max="751" width="14.85546875" style="1" customWidth="1"/>
    <col min="752" max="752" width="63.85546875" style="1" customWidth="1"/>
    <col min="753" max="753" width="13.28515625" style="1" customWidth="1"/>
    <col min="754" max="939" width="9.140625" style="1"/>
    <col min="940" max="941" width="0" style="1" hidden="1" customWidth="1"/>
    <col min="942" max="942" width="13.7109375" style="1" customWidth="1"/>
    <col min="943" max="943" width="52.85546875" style="1" customWidth="1"/>
    <col min="944" max="983" width="0" style="1" hidden="1" customWidth="1"/>
    <col min="984" max="985" width="14.85546875" style="1" customWidth="1"/>
    <col min="986" max="987" width="0" style="1" hidden="1" customWidth="1"/>
    <col min="988" max="988" width="14.85546875" style="1" customWidth="1"/>
    <col min="989" max="990" width="0" style="1" hidden="1" customWidth="1"/>
    <col min="991"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1" width="14.85546875" style="1" customWidth="1"/>
    <col min="1002" max="1002" width="44.42578125" style="1" customWidth="1"/>
    <col min="1003" max="1007" width="14.85546875" style="1" customWidth="1"/>
    <col min="1008" max="1008" width="63.85546875" style="1" customWidth="1"/>
    <col min="1009" max="1009" width="13.28515625" style="1" customWidth="1"/>
    <col min="1010" max="1195" width="9.140625" style="1"/>
    <col min="1196" max="1197" width="0" style="1" hidden="1" customWidth="1"/>
    <col min="1198" max="1198" width="13.7109375" style="1" customWidth="1"/>
    <col min="1199" max="1199" width="52.85546875" style="1" customWidth="1"/>
    <col min="1200" max="1239" width="0" style="1" hidden="1" customWidth="1"/>
    <col min="1240" max="1241" width="14.85546875" style="1" customWidth="1"/>
    <col min="1242" max="1243" width="0" style="1" hidden="1" customWidth="1"/>
    <col min="1244" max="1244" width="14.85546875" style="1" customWidth="1"/>
    <col min="1245" max="1246" width="0" style="1" hidden="1" customWidth="1"/>
    <col min="1247"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7" width="14.85546875" style="1" customWidth="1"/>
    <col min="1258" max="1258" width="44.42578125" style="1" customWidth="1"/>
    <col min="1259" max="1263" width="14.85546875" style="1" customWidth="1"/>
    <col min="1264" max="1264" width="63.85546875" style="1" customWidth="1"/>
    <col min="1265" max="1265" width="13.28515625" style="1" customWidth="1"/>
    <col min="1266" max="1451" width="9.140625" style="1"/>
    <col min="1452" max="1453" width="0" style="1" hidden="1" customWidth="1"/>
    <col min="1454" max="1454" width="13.7109375" style="1" customWidth="1"/>
    <col min="1455" max="1455" width="52.85546875" style="1" customWidth="1"/>
    <col min="1456" max="1495" width="0" style="1" hidden="1" customWidth="1"/>
    <col min="1496" max="1497" width="14.85546875" style="1" customWidth="1"/>
    <col min="1498" max="1499" width="0" style="1" hidden="1" customWidth="1"/>
    <col min="1500" max="1500" width="14.85546875" style="1" customWidth="1"/>
    <col min="1501" max="1502" width="0" style="1" hidden="1" customWidth="1"/>
    <col min="1503"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3" width="14.85546875" style="1" customWidth="1"/>
    <col min="1514" max="1514" width="44.42578125" style="1" customWidth="1"/>
    <col min="1515" max="1519" width="14.85546875" style="1" customWidth="1"/>
    <col min="1520" max="1520" width="63.85546875" style="1" customWidth="1"/>
    <col min="1521" max="1521" width="13.28515625" style="1" customWidth="1"/>
    <col min="1522" max="1707" width="9.140625" style="1"/>
    <col min="1708" max="1709" width="0" style="1" hidden="1" customWidth="1"/>
    <col min="1710" max="1710" width="13.7109375" style="1" customWidth="1"/>
    <col min="1711" max="1711" width="52.85546875" style="1" customWidth="1"/>
    <col min="1712" max="1751" width="0" style="1" hidden="1" customWidth="1"/>
    <col min="1752" max="1753" width="14.85546875" style="1" customWidth="1"/>
    <col min="1754" max="1755" width="0" style="1" hidden="1" customWidth="1"/>
    <col min="1756" max="1756" width="14.85546875" style="1" customWidth="1"/>
    <col min="1757" max="1758" width="0" style="1" hidden="1" customWidth="1"/>
    <col min="1759"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9" width="14.85546875" style="1" customWidth="1"/>
    <col min="1770" max="1770" width="44.42578125" style="1" customWidth="1"/>
    <col min="1771" max="1775" width="14.85546875" style="1" customWidth="1"/>
    <col min="1776" max="1776" width="63.85546875" style="1" customWidth="1"/>
    <col min="1777" max="1777" width="13.28515625" style="1" customWidth="1"/>
    <col min="1778" max="1963" width="9.140625" style="1"/>
    <col min="1964" max="1965" width="0" style="1" hidden="1" customWidth="1"/>
    <col min="1966" max="1966" width="13.7109375" style="1" customWidth="1"/>
    <col min="1967" max="1967" width="52.85546875" style="1" customWidth="1"/>
    <col min="1968" max="2007" width="0" style="1" hidden="1" customWidth="1"/>
    <col min="2008" max="2009" width="14.85546875" style="1" customWidth="1"/>
    <col min="2010" max="2011" width="0" style="1" hidden="1" customWidth="1"/>
    <col min="2012" max="2012" width="14.85546875" style="1" customWidth="1"/>
    <col min="2013" max="2014" width="0" style="1" hidden="1" customWidth="1"/>
    <col min="2015"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5" width="14.85546875" style="1" customWidth="1"/>
    <col min="2026" max="2026" width="44.42578125" style="1" customWidth="1"/>
    <col min="2027" max="2031" width="14.85546875" style="1" customWidth="1"/>
    <col min="2032" max="2032" width="63.85546875" style="1" customWidth="1"/>
    <col min="2033" max="2033" width="13.28515625" style="1" customWidth="1"/>
    <col min="2034" max="2219" width="9.140625" style="1"/>
    <col min="2220" max="2221" width="0" style="1" hidden="1" customWidth="1"/>
    <col min="2222" max="2222" width="13.7109375" style="1" customWidth="1"/>
    <col min="2223" max="2223" width="52.85546875" style="1" customWidth="1"/>
    <col min="2224" max="2263" width="0" style="1" hidden="1" customWidth="1"/>
    <col min="2264" max="2265" width="14.85546875" style="1" customWidth="1"/>
    <col min="2266" max="2267" width="0" style="1" hidden="1" customWidth="1"/>
    <col min="2268" max="2268" width="14.85546875" style="1" customWidth="1"/>
    <col min="2269" max="2270" width="0" style="1" hidden="1" customWidth="1"/>
    <col min="2271"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1" width="14.85546875" style="1" customWidth="1"/>
    <col min="2282" max="2282" width="44.42578125" style="1" customWidth="1"/>
    <col min="2283" max="2287" width="14.85546875" style="1" customWidth="1"/>
    <col min="2288" max="2288" width="63.85546875" style="1" customWidth="1"/>
    <col min="2289" max="2289" width="13.28515625" style="1" customWidth="1"/>
    <col min="2290" max="2475" width="9.140625" style="1"/>
    <col min="2476" max="2477" width="0" style="1" hidden="1" customWidth="1"/>
    <col min="2478" max="2478" width="13.7109375" style="1" customWidth="1"/>
    <col min="2479" max="2479" width="52.85546875" style="1" customWidth="1"/>
    <col min="2480" max="2519" width="0" style="1" hidden="1" customWidth="1"/>
    <col min="2520" max="2521" width="14.85546875" style="1" customWidth="1"/>
    <col min="2522" max="2523" width="0" style="1" hidden="1" customWidth="1"/>
    <col min="2524" max="2524" width="14.85546875" style="1" customWidth="1"/>
    <col min="2525" max="2526" width="0" style="1" hidden="1" customWidth="1"/>
    <col min="2527"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7" width="14.85546875" style="1" customWidth="1"/>
    <col min="2538" max="2538" width="44.42578125" style="1" customWidth="1"/>
    <col min="2539" max="2543" width="14.85546875" style="1" customWidth="1"/>
    <col min="2544" max="2544" width="63.85546875" style="1" customWidth="1"/>
    <col min="2545" max="2545" width="13.28515625" style="1" customWidth="1"/>
    <col min="2546" max="2731" width="9.140625" style="1"/>
    <col min="2732" max="2733" width="0" style="1" hidden="1" customWidth="1"/>
    <col min="2734" max="2734" width="13.7109375" style="1" customWidth="1"/>
    <col min="2735" max="2735" width="52.85546875" style="1" customWidth="1"/>
    <col min="2736" max="2775" width="0" style="1" hidden="1" customWidth="1"/>
    <col min="2776" max="2777" width="14.85546875" style="1" customWidth="1"/>
    <col min="2778" max="2779" width="0" style="1" hidden="1" customWidth="1"/>
    <col min="2780" max="2780" width="14.85546875" style="1" customWidth="1"/>
    <col min="2781" max="2782" width="0" style="1" hidden="1" customWidth="1"/>
    <col min="2783"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3" width="14.85546875" style="1" customWidth="1"/>
    <col min="2794" max="2794" width="44.42578125" style="1" customWidth="1"/>
    <col min="2795" max="2799" width="14.85546875" style="1" customWidth="1"/>
    <col min="2800" max="2800" width="63.85546875" style="1" customWidth="1"/>
    <col min="2801" max="2801" width="13.28515625" style="1" customWidth="1"/>
    <col min="2802" max="2987" width="9.140625" style="1"/>
    <col min="2988" max="2989" width="0" style="1" hidden="1" customWidth="1"/>
    <col min="2990" max="2990" width="13.7109375" style="1" customWidth="1"/>
    <col min="2991" max="2991" width="52.85546875" style="1" customWidth="1"/>
    <col min="2992" max="3031" width="0" style="1" hidden="1" customWidth="1"/>
    <col min="3032" max="3033" width="14.85546875" style="1" customWidth="1"/>
    <col min="3034" max="3035" width="0" style="1" hidden="1" customWidth="1"/>
    <col min="3036" max="3036" width="14.85546875" style="1" customWidth="1"/>
    <col min="3037" max="3038" width="0" style="1" hidden="1" customWidth="1"/>
    <col min="3039"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9" width="14.85546875" style="1" customWidth="1"/>
    <col min="3050" max="3050" width="44.42578125" style="1" customWidth="1"/>
    <col min="3051" max="3055" width="14.85546875" style="1" customWidth="1"/>
    <col min="3056" max="3056" width="63.85546875" style="1" customWidth="1"/>
    <col min="3057" max="3057" width="13.28515625" style="1" customWidth="1"/>
    <col min="3058" max="3243" width="9.140625" style="1"/>
    <col min="3244" max="3245" width="0" style="1" hidden="1" customWidth="1"/>
    <col min="3246" max="3246" width="13.7109375" style="1" customWidth="1"/>
    <col min="3247" max="3247" width="52.85546875" style="1" customWidth="1"/>
    <col min="3248" max="3287" width="0" style="1" hidden="1" customWidth="1"/>
    <col min="3288" max="3289" width="14.85546875" style="1" customWidth="1"/>
    <col min="3290" max="3291" width="0" style="1" hidden="1" customWidth="1"/>
    <col min="3292" max="3292" width="14.85546875" style="1" customWidth="1"/>
    <col min="3293" max="3294" width="0" style="1" hidden="1" customWidth="1"/>
    <col min="3295"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5" width="14.85546875" style="1" customWidth="1"/>
    <col min="3306" max="3306" width="44.42578125" style="1" customWidth="1"/>
    <col min="3307" max="3311" width="14.85546875" style="1" customWidth="1"/>
    <col min="3312" max="3312" width="63.85546875" style="1" customWidth="1"/>
    <col min="3313" max="3313" width="13.28515625" style="1" customWidth="1"/>
    <col min="3314" max="3499" width="9.140625" style="1"/>
    <col min="3500" max="3501" width="0" style="1" hidden="1" customWidth="1"/>
    <col min="3502" max="3502" width="13.7109375" style="1" customWidth="1"/>
    <col min="3503" max="3503" width="52.85546875" style="1" customWidth="1"/>
    <col min="3504" max="3543" width="0" style="1" hidden="1" customWidth="1"/>
    <col min="3544" max="3545" width="14.85546875" style="1" customWidth="1"/>
    <col min="3546" max="3547" width="0" style="1" hidden="1" customWidth="1"/>
    <col min="3548" max="3548" width="14.85546875" style="1" customWidth="1"/>
    <col min="3549" max="3550" width="0" style="1" hidden="1" customWidth="1"/>
    <col min="3551"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1" width="14.85546875" style="1" customWidth="1"/>
    <col min="3562" max="3562" width="44.42578125" style="1" customWidth="1"/>
    <col min="3563" max="3567" width="14.85546875" style="1" customWidth="1"/>
    <col min="3568" max="3568" width="63.85546875" style="1" customWidth="1"/>
    <col min="3569" max="3569" width="13.28515625" style="1" customWidth="1"/>
    <col min="3570" max="3755" width="9.140625" style="1"/>
    <col min="3756" max="3757" width="0" style="1" hidden="1" customWidth="1"/>
    <col min="3758" max="3758" width="13.7109375" style="1" customWidth="1"/>
    <col min="3759" max="3759" width="52.85546875" style="1" customWidth="1"/>
    <col min="3760" max="3799" width="0" style="1" hidden="1" customWidth="1"/>
    <col min="3800" max="3801" width="14.85546875" style="1" customWidth="1"/>
    <col min="3802" max="3803" width="0" style="1" hidden="1" customWidth="1"/>
    <col min="3804" max="3804" width="14.85546875" style="1" customWidth="1"/>
    <col min="3805" max="3806" width="0" style="1" hidden="1" customWidth="1"/>
    <col min="3807"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7" width="14.85546875" style="1" customWidth="1"/>
    <col min="3818" max="3818" width="44.42578125" style="1" customWidth="1"/>
    <col min="3819" max="3823" width="14.85546875" style="1" customWidth="1"/>
    <col min="3824" max="3824" width="63.85546875" style="1" customWidth="1"/>
    <col min="3825" max="3825" width="13.28515625" style="1" customWidth="1"/>
    <col min="3826" max="4011" width="9.140625" style="1"/>
    <col min="4012" max="4013" width="0" style="1" hidden="1" customWidth="1"/>
    <col min="4014" max="4014" width="13.7109375" style="1" customWidth="1"/>
    <col min="4015" max="4015" width="52.85546875" style="1" customWidth="1"/>
    <col min="4016" max="4055" width="0" style="1" hidden="1" customWidth="1"/>
    <col min="4056" max="4057" width="14.85546875" style="1" customWidth="1"/>
    <col min="4058" max="4059" width="0" style="1" hidden="1" customWidth="1"/>
    <col min="4060" max="4060" width="14.85546875" style="1" customWidth="1"/>
    <col min="4061" max="4062" width="0" style="1" hidden="1" customWidth="1"/>
    <col min="4063"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3" width="14.85546875" style="1" customWidth="1"/>
    <col min="4074" max="4074" width="44.42578125" style="1" customWidth="1"/>
    <col min="4075" max="4079" width="14.85546875" style="1" customWidth="1"/>
    <col min="4080" max="4080" width="63.85546875" style="1" customWidth="1"/>
    <col min="4081" max="4081" width="13.28515625" style="1" customWidth="1"/>
    <col min="4082" max="4267" width="9.140625" style="1"/>
    <col min="4268" max="4269" width="0" style="1" hidden="1" customWidth="1"/>
    <col min="4270" max="4270" width="13.7109375" style="1" customWidth="1"/>
    <col min="4271" max="4271" width="52.85546875" style="1" customWidth="1"/>
    <col min="4272" max="4311" width="0" style="1" hidden="1" customWidth="1"/>
    <col min="4312" max="4313" width="14.85546875" style="1" customWidth="1"/>
    <col min="4314" max="4315" width="0" style="1" hidden="1" customWidth="1"/>
    <col min="4316" max="4316" width="14.85546875" style="1" customWidth="1"/>
    <col min="4317" max="4318" width="0" style="1" hidden="1" customWidth="1"/>
    <col min="4319"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9" width="14.85546875" style="1" customWidth="1"/>
    <col min="4330" max="4330" width="44.42578125" style="1" customWidth="1"/>
    <col min="4331" max="4335" width="14.85546875" style="1" customWidth="1"/>
    <col min="4336" max="4336" width="63.85546875" style="1" customWidth="1"/>
    <col min="4337" max="4337" width="13.28515625" style="1" customWidth="1"/>
    <col min="4338" max="4523" width="9.140625" style="1"/>
    <col min="4524" max="4525" width="0" style="1" hidden="1" customWidth="1"/>
    <col min="4526" max="4526" width="13.7109375" style="1" customWidth="1"/>
    <col min="4527" max="4527" width="52.85546875" style="1" customWidth="1"/>
    <col min="4528" max="4567" width="0" style="1" hidden="1" customWidth="1"/>
    <col min="4568" max="4569" width="14.85546875" style="1" customWidth="1"/>
    <col min="4570" max="4571" width="0" style="1" hidden="1" customWidth="1"/>
    <col min="4572" max="4572" width="14.85546875" style="1" customWidth="1"/>
    <col min="4573" max="4574" width="0" style="1" hidden="1" customWidth="1"/>
    <col min="4575"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5" width="14.85546875" style="1" customWidth="1"/>
    <col min="4586" max="4586" width="44.42578125" style="1" customWidth="1"/>
    <col min="4587" max="4591" width="14.85546875" style="1" customWidth="1"/>
    <col min="4592" max="4592" width="63.85546875" style="1" customWidth="1"/>
    <col min="4593" max="4593" width="13.28515625" style="1" customWidth="1"/>
    <col min="4594" max="4779" width="9.140625" style="1"/>
    <col min="4780" max="4781" width="0" style="1" hidden="1" customWidth="1"/>
    <col min="4782" max="4782" width="13.7109375" style="1" customWidth="1"/>
    <col min="4783" max="4783" width="52.85546875" style="1" customWidth="1"/>
    <col min="4784" max="4823" width="0" style="1" hidden="1" customWidth="1"/>
    <col min="4824" max="4825" width="14.85546875" style="1" customWidth="1"/>
    <col min="4826" max="4827" width="0" style="1" hidden="1" customWidth="1"/>
    <col min="4828" max="4828" width="14.85546875" style="1" customWidth="1"/>
    <col min="4829" max="4830" width="0" style="1" hidden="1" customWidth="1"/>
    <col min="4831"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1" width="14.85546875" style="1" customWidth="1"/>
    <col min="4842" max="4842" width="44.42578125" style="1" customWidth="1"/>
    <col min="4843" max="4847" width="14.85546875" style="1" customWidth="1"/>
    <col min="4848" max="4848" width="63.85546875" style="1" customWidth="1"/>
    <col min="4849" max="4849" width="13.28515625" style="1" customWidth="1"/>
    <col min="4850" max="5035" width="9.140625" style="1"/>
    <col min="5036" max="5037" width="0" style="1" hidden="1" customWidth="1"/>
    <col min="5038" max="5038" width="13.7109375" style="1" customWidth="1"/>
    <col min="5039" max="5039" width="52.85546875" style="1" customWidth="1"/>
    <col min="5040" max="5079" width="0" style="1" hidden="1" customWidth="1"/>
    <col min="5080" max="5081" width="14.85546875" style="1" customWidth="1"/>
    <col min="5082" max="5083" width="0" style="1" hidden="1" customWidth="1"/>
    <col min="5084" max="5084" width="14.85546875" style="1" customWidth="1"/>
    <col min="5085" max="5086" width="0" style="1" hidden="1" customWidth="1"/>
    <col min="5087"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7" width="14.85546875" style="1" customWidth="1"/>
    <col min="5098" max="5098" width="44.42578125" style="1" customWidth="1"/>
    <col min="5099" max="5103" width="14.85546875" style="1" customWidth="1"/>
    <col min="5104" max="5104" width="63.85546875" style="1" customWidth="1"/>
    <col min="5105" max="5105" width="13.28515625" style="1" customWidth="1"/>
    <col min="5106" max="5291" width="9.140625" style="1"/>
    <col min="5292" max="5293" width="0" style="1" hidden="1" customWidth="1"/>
    <col min="5294" max="5294" width="13.7109375" style="1" customWidth="1"/>
    <col min="5295" max="5295" width="52.85546875" style="1" customWidth="1"/>
    <col min="5296" max="5335" width="0" style="1" hidden="1" customWidth="1"/>
    <col min="5336" max="5337" width="14.85546875" style="1" customWidth="1"/>
    <col min="5338" max="5339" width="0" style="1" hidden="1" customWidth="1"/>
    <col min="5340" max="5340" width="14.85546875" style="1" customWidth="1"/>
    <col min="5341" max="5342" width="0" style="1" hidden="1" customWidth="1"/>
    <col min="5343"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3" width="14.85546875" style="1" customWidth="1"/>
    <col min="5354" max="5354" width="44.42578125" style="1" customWidth="1"/>
    <col min="5355" max="5359" width="14.85546875" style="1" customWidth="1"/>
    <col min="5360" max="5360" width="63.85546875" style="1" customWidth="1"/>
    <col min="5361" max="5361" width="13.28515625" style="1" customWidth="1"/>
    <col min="5362" max="5547" width="9.140625" style="1"/>
    <col min="5548" max="5549" width="0" style="1" hidden="1" customWidth="1"/>
    <col min="5550" max="5550" width="13.7109375" style="1" customWidth="1"/>
    <col min="5551" max="5551" width="52.85546875" style="1" customWidth="1"/>
    <col min="5552" max="5591" width="0" style="1" hidden="1" customWidth="1"/>
    <col min="5592" max="5593" width="14.85546875" style="1" customWidth="1"/>
    <col min="5594" max="5595" width="0" style="1" hidden="1" customWidth="1"/>
    <col min="5596" max="5596" width="14.85546875" style="1" customWidth="1"/>
    <col min="5597" max="5598" width="0" style="1" hidden="1" customWidth="1"/>
    <col min="5599"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9" width="14.85546875" style="1" customWidth="1"/>
    <col min="5610" max="5610" width="44.42578125" style="1" customWidth="1"/>
    <col min="5611" max="5615" width="14.85546875" style="1" customWidth="1"/>
    <col min="5616" max="5616" width="63.85546875" style="1" customWidth="1"/>
    <col min="5617" max="5617" width="13.28515625" style="1" customWidth="1"/>
    <col min="5618" max="5803" width="9.140625" style="1"/>
    <col min="5804" max="5805" width="0" style="1" hidden="1" customWidth="1"/>
    <col min="5806" max="5806" width="13.7109375" style="1" customWidth="1"/>
    <col min="5807" max="5807" width="52.85546875" style="1" customWidth="1"/>
    <col min="5808" max="5847" width="0" style="1" hidden="1" customWidth="1"/>
    <col min="5848" max="5849" width="14.85546875" style="1" customWidth="1"/>
    <col min="5850" max="5851" width="0" style="1" hidden="1" customWidth="1"/>
    <col min="5852" max="5852" width="14.85546875" style="1" customWidth="1"/>
    <col min="5853" max="5854" width="0" style="1" hidden="1" customWidth="1"/>
    <col min="5855"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5" width="14.85546875" style="1" customWidth="1"/>
    <col min="5866" max="5866" width="44.42578125" style="1" customWidth="1"/>
    <col min="5867" max="5871" width="14.85546875" style="1" customWidth="1"/>
    <col min="5872" max="5872" width="63.85546875" style="1" customWidth="1"/>
    <col min="5873" max="5873" width="13.28515625" style="1" customWidth="1"/>
    <col min="5874" max="6059" width="9.140625" style="1"/>
    <col min="6060" max="6061" width="0" style="1" hidden="1" customWidth="1"/>
    <col min="6062" max="6062" width="13.7109375" style="1" customWidth="1"/>
    <col min="6063" max="6063" width="52.85546875" style="1" customWidth="1"/>
    <col min="6064" max="6103" width="0" style="1" hidden="1" customWidth="1"/>
    <col min="6104" max="6105" width="14.85546875" style="1" customWidth="1"/>
    <col min="6106" max="6107" width="0" style="1" hidden="1" customWidth="1"/>
    <col min="6108" max="6108" width="14.85546875" style="1" customWidth="1"/>
    <col min="6109" max="6110" width="0" style="1" hidden="1" customWidth="1"/>
    <col min="6111"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1" width="14.85546875" style="1" customWidth="1"/>
    <col min="6122" max="6122" width="44.42578125" style="1" customWidth="1"/>
    <col min="6123" max="6127" width="14.85546875" style="1" customWidth="1"/>
    <col min="6128" max="6128" width="63.85546875" style="1" customWidth="1"/>
    <col min="6129" max="6129" width="13.28515625" style="1" customWidth="1"/>
    <col min="6130" max="6315" width="9.140625" style="1"/>
    <col min="6316" max="6317" width="0" style="1" hidden="1" customWidth="1"/>
    <col min="6318" max="6318" width="13.7109375" style="1" customWidth="1"/>
    <col min="6319" max="6319" width="52.85546875" style="1" customWidth="1"/>
    <col min="6320" max="6359" width="0" style="1" hidden="1" customWidth="1"/>
    <col min="6360" max="6361" width="14.85546875" style="1" customWidth="1"/>
    <col min="6362" max="6363" width="0" style="1" hidden="1" customWidth="1"/>
    <col min="6364" max="6364" width="14.85546875" style="1" customWidth="1"/>
    <col min="6365" max="6366" width="0" style="1" hidden="1" customWidth="1"/>
    <col min="6367"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7" width="14.85546875" style="1" customWidth="1"/>
    <col min="6378" max="6378" width="44.42578125" style="1" customWidth="1"/>
    <col min="6379" max="6383" width="14.85546875" style="1" customWidth="1"/>
    <col min="6384" max="6384" width="63.85546875" style="1" customWidth="1"/>
    <col min="6385" max="6385" width="13.28515625" style="1" customWidth="1"/>
    <col min="6386" max="6571" width="9.140625" style="1"/>
    <col min="6572" max="6573" width="0" style="1" hidden="1" customWidth="1"/>
    <col min="6574" max="6574" width="13.7109375" style="1" customWidth="1"/>
    <col min="6575" max="6575" width="52.85546875" style="1" customWidth="1"/>
    <col min="6576" max="6615" width="0" style="1" hidden="1" customWidth="1"/>
    <col min="6616" max="6617" width="14.85546875" style="1" customWidth="1"/>
    <col min="6618" max="6619" width="0" style="1" hidden="1" customWidth="1"/>
    <col min="6620" max="6620" width="14.85546875" style="1" customWidth="1"/>
    <col min="6621" max="6622" width="0" style="1" hidden="1" customWidth="1"/>
    <col min="6623"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3" width="14.85546875" style="1" customWidth="1"/>
    <col min="6634" max="6634" width="44.42578125" style="1" customWidth="1"/>
    <col min="6635" max="6639" width="14.85546875" style="1" customWidth="1"/>
    <col min="6640" max="6640" width="63.85546875" style="1" customWidth="1"/>
    <col min="6641" max="6641" width="13.28515625" style="1" customWidth="1"/>
    <col min="6642" max="6827" width="9.140625" style="1"/>
    <col min="6828" max="6829" width="0" style="1" hidden="1" customWidth="1"/>
    <col min="6830" max="6830" width="13.7109375" style="1" customWidth="1"/>
    <col min="6831" max="6831" width="52.85546875" style="1" customWidth="1"/>
    <col min="6832" max="6871" width="0" style="1" hidden="1" customWidth="1"/>
    <col min="6872" max="6873" width="14.85546875" style="1" customWidth="1"/>
    <col min="6874" max="6875" width="0" style="1" hidden="1" customWidth="1"/>
    <col min="6876" max="6876" width="14.85546875" style="1" customWidth="1"/>
    <col min="6877" max="6878" width="0" style="1" hidden="1" customWidth="1"/>
    <col min="6879"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9" width="14.85546875" style="1" customWidth="1"/>
    <col min="6890" max="6890" width="44.42578125" style="1" customWidth="1"/>
    <col min="6891" max="6895" width="14.85546875" style="1" customWidth="1"/>
    <col min="6896" max="6896" width="63.85546875" style="1" customWidth="1"/>
    <col min="6897" max="6897" width="13.28515625" style="1" customWidth="1"/>
    <col min="6898" max="7083" width="9.140625" style="1"/>
    <col min="7084" max="7085" width="0" style="1" hidden="1" customWidth="1"/>
    <col min="7086" max="7086" width="13.7109375" style="1" customWidth="1"/>
    <col min="7087" max="7087" width="52.85546875" style="1" customWidth="1"/>
    <col min="7088" max="7127" width="0" style="1" hidden="1" customWidth="1"/>
    <col min="7128" max="7129" width="14.85546875" style="1" customWidth="1"/>
    <col min="7130" max="7131" width="0" style="1" hidden="1" customWidth="1"/>
    <col min="7132" max="7132" width="14.85546875" style="1" customWidth="1"/>
    <col min="7133" max="7134" width="0" style="1" hidden="1" customWidth="1"/>
    <col min="7135"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5" width="14.85546875" style="1" customWidth="1"/>
    <col min="7146" max="7146" width="44.42578125" style="1" customWidth="1"/>
    <col min="7147" max="7151" width="14.85546875" style="1" customWidth="1"/>
    <col min="7152" max="7152" width="63.85546875" style="1" customWidth="1"/>
    <col min="7153" max="7153" width="13.28515625" style="1" customWidth="1"/>
    <col min="7154" max="7339" width="9.140625" style="1"/>
    <col min="7340" max="7341" width="0" style="1" hidden="1" customWidth="1"/>
    <col min="7342" max="7342" width="13.7109375" style="1" customWidth="1"/>
    <col min="7343" max="7343" width="52.85546875" style="1" customWidth="1"/>
    <col min="7344" max="7383" width="0" style="1" hidden="1" customWidth="1"/>
    <col min="7384" max="7385" width="14.85546875" style="1" customWidth="1"/>
    <col min="7386" max="7387" width="0" style="1" hidden="1" customWidth="1"/>
    <col min="7388" max="7388" width="14.85546875" style="1" customWidth="1"/>
    <col min="7389" max="7390" width="0" style="1" hidden="1" customWidth="1"/>
    <col min="7391"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1" width="14.85546875" style="1" customWidth="1"/>
    <col min="7402" max="7402" width="44.42578125" style="1" customWidth="1"/>
    <col min="7403" max="7407" width="14.85546875" style="1" customWidth="1"/>
    <col min="7408" max="7408" width="63.85546875" style="1" customWidth="1"/>
    <col min="7409" max="7409" width="13.28515625" style="1" customWidth="1"/>
    <col min="7410" max="7595" width="9.140625" style="1"/>
    <col min="7596" max="7597" width="0" style="1" hidden="1" customWidth="1"/>
    <col min="7598" max="7598" width="13.7109375" style="1" customWidth="1"/>
    <col min="7599" max="7599" width="52.85546875" style="1" customWidth="1"/>
    <col min="7600" max="7639" width="0" style="1" hidden="1" customWidth="1"/>
    <col min="7640" max="7641" width="14.85546875" style="1" customWidth="1"/>
    <col min="7642" max="7643" width="0" style="1" hidden="1" customWidth="1"/>
    <col min="7644" max="7644" width="14.85546875" style="1" customWidth="1"/>
    <col min="7645" max="7646" width="0" style="1" hidden="1" customWidth="1"/>
    <col min="7647"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7" width="14.85546875" style="1" customWidth="1"/>
    <col min="7658" max="7658" width="44.42578125" style="1" customWidth="1"/>
    <col min="7659" max="7663" width="14.85546875" style="1" customWidth="1"/>
    <col min="7664" max="7664" width="63.85546875" style="1" customWidth="1"/>
    <col min="7665" max="7665" width="13.28515625" style="1" customWidth="1"/>
    <col min="7666" max="7851" width="9.140625" style="1"/>
    <col min="7852" max="7853" width="0" style="1" hidden="1" customWidth="1"/>
    <col min="7854" max="7854" width="13.7109375" style="1" customWidth="1"/>
    <col min="7855" max="7855" width="52.85546875" style="1" customWidth="1"/>
    <col min="7856" max="7895" width="0" style="1" hidden="1" customWidth="1"/>
    <col min="7896" max="7897" width="14.85546875" style="1" customWidth="1"/>
    <col min="7898" max="7899" width="0" style="1" hidden="1" customWidth="1"/>
    <col min="7900" max="7900" width="14.85546875" style="1" customWidth="1"/>
    <col min="7901" max="7902" width="0" style="1" hidden="1" customWidth="1"/>
    <col min="7903"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3" width="14.85546875" style="1" customWidth="1"/>
    <col min="7914" max="7914" width="44.42578125" style="1" customWidth="1"/>
    <col min="7915" max="7919" width="14.85546875" style="1" customWidth="1"/>
    <col min="7920" max="7920" width="63.85546875" style="1" customWidth="1"/>
    <col min="7921" max="7921" width="13.28515625" style="1" customWidth="1"/>
    <col min="7922" max="8107" width="9.140625" style="1"/>
    <col min="8108" max="8109" width="0" style="1" hidden="1" customWidth="1"/>
    <col min="8110" max="8110" width="13.7109375" style="1" customWidth="1"/>
    <col min="8111" max="8111" width="52.85546875" style="1" customWidth="1"/>
    <col min="8112" max="8151" width="0" style="1" hidden="1" customWidth="1"/>
    <col min="8152" max="8153" width="14.85546875" style="1" customWidth="1"/>
    <col min="8154" max="8155" width="0" style="1" hidden="1" customWidth="1"/>
    <col min="8156" max="8156" width="14.85546875" style="1" customWidth="1"/>
    <col min="8157" max="8158" width="0" style="1" hidden="1" customWidth="1"/>
    <col min="8159"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9" width="14.85546875" style="1" customWidth="1"/>
    <col min="8170" max="8170" width="44.42578125" style="1" customWidth="1"/>
    <col min="8171" max="8175" width="14.85546875" style="1" customWidth="1"/>
    <col min="8176" max="8176" width="63.85546875" style="1" customWidth="1"/>
    <col min="8177" max="8177" width="13.28515625" style="1" customWidth="1"/>
    <col min="8178" max="8363" width="9.140625" style="1"/>
    <col min="8364" max="8365" width="0" style="1" hidden="1" customWidth="1"/>
    <col min="8366" max="8366" width="13.7109375" style="1" customWidth="1"/>
    <col min="8367" max="8367" width="52.85546875" style="1" customWidth="1"/>
    <col min="8368" max="8407" width="0" style="1" hidden="1" customWidth="1"/>
    <col min="8408" max="8409" width="14.85546875" style="1" customWidth="1"/>
    <col min="8410" max="8411" width="0" style="1" hidden="1" customWidth="1"/>
    <col min="8412" max="8412" width="14.85546875" style="1" customWidth="1"/>
    <col min="8413" max="8414" width="0" style="1" hidden="1" customWidth="1"/>
    <col min="8415"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5" width="14.85546875" style="1" customWidth="1"/>
    <col min="8426" max="8426" width="44.42578125" style="1" customWidth="1"/>
    <col min="8427" max="8431" width="14.85546875" style="1" customWidth="1"/>
    <col min="8432" max="8432" width="63.85546875" style="1" customWidth="1"/>
    <col min="8433" max="8433" width="13.28515625" style="1" customWidth="1"/>
    <col min="8434" max="8619" width="9.140625" style="1"/>
    <col min="8620" max="8621" width="0" style="1" hidden="1" customWidth="1"/>
    <col min="8622" max="8622" width="13.7109375" style="1" customWidth="1"/>
    <col min="8623" max="8623" width="52.85546875" style="1" customWidth="1"/>
    <col min="8624" max="8663" width="0" style="1" hidden="1" customWidth="1"/>
    <col min="8664" max="8665" width="14.85546875" style="1" customWidth="1"/>
    <col min="8666" max="8667" width="0" style="1" hidden="1" customWidth="1"/>
    <col min="8668" max="8668" width="14.85546875" style="1" customWidth="1"/>
    <col min="8669" max="8670" width="0" style="1" hidden="1" customWidth="1"/>
    <col min="8671"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1" width="14.85546875" style="1" customWidth="1"/>
    <col min="8682" max="8682" width="44.42578125" style="1" customWidth="1"/>
    <col min="8683" max="8687" width="14.85546875" style="1" customWidth="1"/>
    <col min="8688" max="8688" width="63.85546875" style="1" customWidth="1"/>
    <col min="8689" max="8689" width="13.28515625" style="1" customWidth="1"/>
    <col min="8690" max="8875" width="9.140625" style="1"/>
    <col min="8876" max="8877" width="0" style="1" hidden="1" customWidth="1"/>
    <col min="8878" max="8878" width="13.7109375" style="1" customWidth="1"/>
    <col min="8879" max="8879" width="52.85546875" style="1" customWidth="1"/>
    <col min="8880" max="8919" width="0" style="1" hidden="1" customWidth="1"/>
    <col min="8920" max="8921" width="14.85546875" style="1" customWidth="1"/>
    <col min="8922" max="8923" width="0" style="1" hidden="1" customWidth="1"/>
    <col min="8924" max="8924" width="14.85546875" style="1" customWidth="1"/>
    <col min="8925" max="8926" width="0" style="1" hidden="1" customWidth="1"/>
    <col min="8927"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7" width="14.85546875" style="1" customWidth="1"/>
    <col min="8938" max="8938" width="44.42578125" style="1" customWidth="1"/>
    <col min="8939" max="8943" width="14.85546875" style="1" customWidth="1"/>
    <col min="8944" max="8944" width="63.85546875" style="1" customWidth="1"/>
    <col min="8945" max="8945" width="13.28515625" style="1" customWidth="1"/>
    <col min="8946" max="9131" width="9.140625" style="1"/>
    <col min="9132" max="9133" width="0" style="1" hidden="1" customWidth="1"/>
    <col min="9134" max="9134" width="13.7109375" style="1" customWidth="1"/>
    <col min="9135" max="9135" width="52.85546875" style="1" customWidth="1"/>
    <col min="9136" max="9175" width="0" style="1" hidden="1" customWidth="1"/>
    <col min="9176" max="9177" width="14.85546875" style="1" customWidth="1"/>
    <col min="9178" max="9179" width="0" style="1" hidden="1" customWidth="1"/>
    <col min="9180" max="9180" width="14.85546875" style="1" customWidth="1"/>
    <col min="9181" max="9182" width="0" style="1" hidden="1" customWidth="1"/>
    <col min="9183"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3" width="14.85546875" style="1" customWidth="1"/>
    <col min="9194" max="9194" width="44.42578125" style="1" customWidth="1"/>
    <col min="9195" max="9199" width="14.85546875" style="1" customWidth="1"/>
    <col min="9200" max="9200" width="63.85546875" style="1" customWidth="1"/>
    <col min="9201" max="9201" width="13.28515625" style="1" customWidth="1"/>
    <col min="9202" max="9387" width="9.140625" style="1"/>
    <col min="9388" max="9389" width="0" style="1" hidden="1" customWidth="1"/>
    <col min="9390" max="9390" width="13.7109375" style="1" customWidth="1"/>
    <col min="9391" max="9391" width="52.85546875" style="1" customWidth="1"/>
    <col min="9392" max="9431" width="0" style="1" hidden="1" customWidth="1"/>
    <col min="9432" max="9433" width="14.85546875" style="1" customWidth="1"/>
    <col min="9434" max="9435" width="0" style="1" hidden="1" customWidth="1"/>
    <col min="9436" max="9436" width="14.85546875" style="1" customWidth="1"/>
    <col min="9437" max="9438" width="0" style="1" hidden="1" customWidth="1"/>
    <col min="9439"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9" width="14.85546875" style="1" customWidth="1"/>
    <col min="9450" max="9450" width="44.42578125" style="1" customWidth="1"/>
    <col min="9451" max="9455" width="14.85546875" style="1" customWidth="1"/>
    <col min="9456" max="9456" width="63.85546875" style="1" customWidth="1"/>
    <col min="9457" max="9457" width="13.28515625" style="1" customWidth="1"/>
    <col min="9458" max="9643" width="9.140625" style="1"/>
    <col min="9644" max="9645" width="0" style="1" hidden="1" customWidth="1"/>
    <col min="9646" max="9646" width="13.7109375" style="1" customWidth="1"/>
    <col min="9647" max="9647" width="52.85546875" style="1" customWidth="1"/>
    <col min="9648" max="9687" width="0" style="1" hidden="1" customWidth="1"/>
    <col min="9688" max="9689" width="14.85546875" style="1" customWidth="1"/>
    <col min="9690" max="9691" width="0" style="1" hidden="1" customWidth="1"/>
    <col min="9692" max="9692" width="14.85546875" style="1" customWidth="1"/>
    <col min="9693" max="9694" width="0" style="1" hidden="1" customWidth="1"/>
    <col min="9695"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5" width="14.85546875" style="1" customWidth="1"/>
    <col min="9706" max="9706" width="44.42578125" style="1" customWidth="1"/>
    <col min="9707" max="9711" width="14.85546875" style="1" customWidth="1"/>
    <col min="9712" max="9712" width="63.85546875" style="1" customWidth="1"/>
    <col min="9713" max="9713" width="13.28515625" style="1" customWidth="1"/>
    <col min="9714" max="9899" width="9.140625" style="1"/>
    <col min="9900" max="9901" width="0" style="1" hidden="1" customWidth="1"/>
    <col min="9902" max="9902" width="13.7109375" style="1" customWidth="1"/>
    <col min="9903" max="9903" width="52.85546875" style="1" customWidth="1"/>
    <col min="9904" max="9943" width="0" style="1" hidden="1" customWidth="1"/>
    <col min="9944" max="9945" width="14.85546875" style="1" customWidth="1"/>
    <col min="9946" max="9947" width="0" style="1" hidden="1" customWidth="1"/>
    <col min="9948" max="9948" width="14.85546875" style="1" customWidth="1"/>
    <col min="9949" max="9950" width="0" style="1" hidden="1" customWidth="1"/>
    <col min="9951"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1" width="14.85546875" style="1" customWidth="1"/>
    <col min="9962" max="9962" width="44.42578125" style="1" customWidth="1"/>
    <col min="9963" max="9967" width="14.85546875" style="1" customWidth="1"/>
    <col min="9968" max="9968" width="63.85546875" style="1" customWidth="1"/>
    <col min="9969" max="9969" width="13.28515625" style="1" customWidth="1"/>
    <col min="9970" max="10155" width="9.140625" style="1"/>
    <col min="10156" max="10157" width="0" style="1" hidden="1" customWidth="1"/>
    <col min="10158" max="10158" width="13.7109375" style="1" customWidth="1"/>
    <col min="10159" max="10159" width="52.85546875" style="1" customWidth="1"/>
    <col min="10160" max="10199" width="0" style="1" hidden="1" customWidth="1"/>
    <col min="10200" max="10201" width="14.85546875" style="1" customWidth="1"/>
    <col min="10202" max="10203" width="0" style="1" hidden="1" customWidth="1"/>
    <col min="10204" max="10204" width="14.85546875" style="1" customWidth="1"/>
    <col min="10205" max="10206" width="0" style="1" hidden="1" customWidth="1"/>
    <col min="10207"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7" width="14.85546875" style="1" customWidth="1"/>
    <col min="10218" max="10218" width="44.42578125" style="1" customWidth="1"/>
    <col min="10219" max="10223" width="14.85546875" style="1" customWidth="1"/>
    <col min="10224" max="10224" width="63.85546875" style="1" customWidth="1"/>
    <col min="10225" max="10225" width="13.28515625" style="1" customWidth="1"/>
    <col min="10226" max="10411" width="9.140625" style="1"/>
    <col min="10412" max="10413" width="0" style="1" hidden="1" customWidth="1"/>
    <col min="10414" max="10414" width="13.7109375" style="1" customWidth="1"/>
    <col min="10415" max="10415" width="52.85546875" style="1" customWidth="1"/>
    <col min="10416" max="10455" width="0" style="1" hidden="1" customWidth="1"/>
    <col min="10456" max="10457" width="14.85546875" style="1" customWidth="1"/>
    <col min="10458" max="10459" width="0" style="1" hidden="1" customWidth="1"/>
    <col min="10460" max="10460" width="14.85546875" style="1" customWidth="1"/>
    <col min="10461" max="10462" width="0" style="1" hidden="1" customWidth="1"/>
    <col min="10463"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3" width="14.85546875" style="1" customWidth="1"/>
    <col min="10474" max="10474" width="44.42578125" style="1" customWidth="1"/>
    <col min="10475" max="10479" width="14.85546875" style="1" customWidth="1"/>
    <col min="10480" max="10480" width="63.85546875" style="1" customWidth="1"/>
    <col min="10481" max="10481" width="13.28515625" style="1" customWidth="1"/>
    <col min="10482" max="10667" width="9.140625" style="1"/>
    <col min="10668" max="10669" width="0" style="1" hidden="1" customWidth="1"/>
    <col min="10670" max="10670" width="13.7109375" style="1" customWidth="1"/>
    <col min="10671" max="10671" width="52.85546875" style="1" customWidth="1"/>
    <col min="10672" max="10711" width="0" style="1" hidden="1" customWidth="1"/>
    <col min="10712" max="10713" width="14.85546875" style="1" customWidth="1"/>
    <col min="10714" max="10715" width="0" style="1" hidden="1" customWidth="1"/>
    <col min="10716" max="10716" width="14.85546875" style="1" customWidth="1"/>
    <col min="10717" max="10718" width="0" style="1" hidden="1" customWidth="1"/>
    <col min="10719"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9" width="14.85546875" style="1" customWidth="1"/>
    <col min="10730" max="10730" width="44.42578125" style="1" customWidth="1"/>
    <col min="10731" max="10735" width="14.85546875" style="1" customWidth="1"/>
    <col min="10736" max="10736" width="63.85546875" style="1" customWidth="1"/>
    <col min="10737" max="10737" width="13.28515625" style="1" customWidth="1"/>
    <col min="10738" max="10923" width="9.140625" style="1"/>
    <col min="10924" max="10925" width="0" style="1" hidden="1" customWidth="1"/>
    <col min="10926" max="10926" width="13.7109375" style="1" customWidth="1"/>
    <col min="10927" max="10927" width="52.85546875" style="1" customWidth="1"/>
    <col min="10928" max="10967" width="0" style="1" hidden="1" customWidth="1"/>
    <col min="10968" max="10969" width="14.85546875" style="1" customWidth="1"/>
    <col min="10970" max="10971" width="0" style="1" hidden="1" customWidth="1"/>
    <col min="10972" max="10972" width="14.85546875" style="1" customWidth="1"/>
    <col min="10973" max="10974" width="0" style="1" hidden="1" customWidth="1"/>
    <col min="10975"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5" width="14.85546875" style="1" customWidth="1"/>
    <col min="10986" max="10986" width="44.42578125" style="1" customWidth="1"/>
    <col min="10987" max="10991" width="14.85546875" style="1" customWidth="1"/>
    <col min="10992" max="10992" width="63.85546875" style="1" customWidth="1"/>
    <col min="10993" max="10993" width="13.28515625" style="1" customWidth="1"/>
    <col min="10994" max="11179" width="9.140625" style="1"/>
    <col min="11180" max="11181" width="0" style="1" hidden="1" customWidth="1"/>
    <col min="11182" max="11182" width="13.7109375" style="1" customWidth="1"/>
    <col min="11183" max="11183" width="52.85546875" style="1" customWidth="1"/>
    <col min="11184" max="11223" width="0" style="1" hidden="1" customWidth="1"/>
    <col min="11224" max="11225" width="14.85546875" style="1" customWidth="1"/>
    <col min="11226" max="11227" width="0" style="1" hidden="1" customWidth="1"/>
    <col min="11228" max="11228" width="14.85546875" style="1" customWidth="1"/>
    <col min="11229" max="11230" width="0" style="1" hidden="1" customWidth="1"/>
    <col min="11231"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1" width="14.85546875" style="1" customWidth="1"/>
    <col min="11242" max="11242" width="44.42578125" style="1" customWidth="1"/>
    <col min="11243" max="11247" width="14.85546875" style="1" customWidth="1"/>
    <col min="11248" max="11248" width="63.85546875" style="1" customWidth="1"/>
    <col min="11249" max="11249" width="13.28515625" style="1" customWidth="1"/>
    <col min="11250" max="11435" width="9.140625" style="1"/>
    <col min="11436" max="11437" width="0" style="1" hidden="1" customWidth="1"/>
    <col min="11438" max="11438" width="13.7109375" style="1" customWidth="1"/>
    <col min="11439" max="11439" width="52.85546875" style="1" customWidth="1"/>
    <col min="11440" max="11479" width="0" style="1" hidden="1" customWidth="1"/>
    <col min="11480" max="11481" width="14.85546875" style="1" customWidth="1"/>
    <col min="11482" max="11483" width="0" style="1" hidden="1" customWidth="1"/>
    <col min="11484" max="11484" width="14.85546875" style="1" customWidth="1"/>
    <col min="11485" max="11486" width="0" style="1" hidden="1" customWidth="1"/>
    <col min="11487"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7" width="14.85546875" style="1" customWidth="1"/>
    <col min="11498" max="11498" width="44.42578125" style="1" customWidth="1"/>
    <col min="11499" max="11503" width="14.85546875" style="1" customWidth="1"/>
    <col min="11504" max="11504" width="63.85546875" style="1" customWidth="1"/>
    <col min="11505" max="11505" width="13.28515625" style="1" customWidth="1"/>
    <col min="11506" max="11691" width="9.140625" style="1"/>
    <col min="11692" max="11693" width="0" style="1" hidden="1" customWidth="1"/>
    <col min="11694" max="11694" width="13.7109375" style="1" customWidth="1"/>
    <col min="11695" max="11695" width="52.85546875" style="1" customWidth="1"/>
    <col min="11696" max="11735" width="0" style="1" hidden="1" customWidth="1"/>
    <col min="11736" max="11737" width="14.85546875" style="1" customWidth="1"/>
    <col min="11738" max="11739" width="0" style="1" hidden="1" customWidth="1"/>
    <col min="11740" max="11740" width="14.85546875" style="1" customWidth="1"/>
    <col min="11741" max="11742" width="0" style="1" hidden="1" customWidth="1"/>
    <col min="11743"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3" width="14.85546875" style="1" customWidth="1"/>
    <col min="11754" max="11754" width="44.42578125" style="1" customWidth="1"/>
    <col min="11755" max="11759" width="14.85546875" style="1" customWidth="1"/>
    <col min="11760" max="11760" width="63.85546875" style="1" customWidth="1"/>
    <col min="11761" max="11761" width="13.28515625" style="1" customWidth="1"/>
    <col min="11762" max="11947" width="9.140625" style="1"/>
    <col min="11948" max="11949" width="0" style="1" hidden="1" customWidth="1"/>
    <col min="11950" max="11950" width="13.7109375" style="1" customWidth="1"/>
    <col min="11951" max="11951" width="52.85546875" style="1" customWidth="1"/>
    <col min="11952" max="11991" width="0" style="1" hidden="1" customWidth="1"/>
    <col min="11992" max="11993" width="14.85546875" style="1" customWidth="1"/>
    <col min="11994" max="11995" width="0" style="1" hidden="1" customWidth="1"/>
    <col min="11996" max="11996" width="14.85546875" style="1" customWidth="1"/>
    <col min="11997" max="11998" width="0" style="1" hidden="1" customWidth="1"/>
    <col min="11999"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9" width="14.85546875" style="1" customWidth="1"/>
    <col min="12010" max="12010" width="44.42578125" style="1" customWidth="1"/>
    <col min="12011" max="12015" width="14.85546875" style="1" customWidth="1"/>
    <col min="12016" max="12016" width="63.85546875" style="1" customWidth="1"/>
    <col min="12017" max="12017" width="13.28515625" style="1" customWidth="1"/>
    <col min="12018" max="12203" width="9.140625" style="1"/>
    <col min="12204" max="12205" width="0" style="1" hidden="1" customWidth="1"/>
    <col min="12206" max="12206" width="13.7109375" style="1" customWidth="1"/>
    <col min="12207" max="12207" width="52.85546875" style="1" customWidth="1"/>
    <col min="12208" max="12247" width="0" style="1" hidden="1" customWidth="1"/>
    <col min="12248" max="12249" width="14.85546875" style="1" customWidth="1"/>
    <col min="12250" max="12251" width="0" style="1" hidden="1" customWidth="1"/>
    <col min="12252" max="12252" width="14.85546875" style="1" customWidth="1"/>
    <col min="12253" max="12254" width="0" style="1" hidden="1" customWidth="1"/>
    <col min="12255"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5" width="14.85546875" style="1" customWidth="1"/>
    <col min="12266" max="12266" width="44.42578125" style="1" customWidth="1"/>
    <col min="12267" max="12271" width="14.85546875" style="1" customWidth="1"/>
    <col min="12272" max="12272" width="63.85546875" style="1" customWidth="1"/>
    <col min="12273" max="12273" width="13.28515625" style="1" customWidth="1"/>
    <col min="12274" max="12459" width="9.140625" style="1"/>
    <col min="12460" max="12461" width="0" style="1" hidden="1" customWidth="1"/>
    <col min="12462" max="12462" width="13.7109375" style="1" customWidth="1"/>
    <col min="12463" max="12463" width="52.85546875" style="1" customWidth="1"/>
    <col min="12464" max="12503" width="0" style="1" hidden="1" customWidth="1"/>
    <col min="12504" max="12505" width="14.85546875" style="1" customWidth="1"/>
    <col min="12506" max="12507" width="0" style="1" hidden="1" customWidth="1"/>
    <col min="12508" max="12508" width="14.85546875" style="1" customWidth="1"/>
    <col min="12509" max="12510" width="0" style="1" hidden="1" customWidth="1"/>
    <col min="12511"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1" width="14.85546875" style="1" customWidth="1"/>
    <col min="12522" max="12522" width="44.42578125" style="1" customWidth="1"/>
    <col min="12523" max="12527" width="14.85546875" style="1" customWidth="1"/>
    <col min="12528" max="12528" width="63.85546875" style="1" customWidth="1"/>
    <col min="12529" max="12529" width="13.28515625" style="1" customWidth="1"/>
    <col min="12530" max="12715" width="9.140625" style="1"/>
    <col min="12716" max="12717" width="0" style="1" hidden="1" customWidth="1"/>
    <col min="12718" max="12718" width="13.7109375" style="1" customWidth="1"/>
    <col min="12719" max="12719" width="52.85546875" style="1" customWidth="1"/>
    <col min="12720" max="12759" width="0" style="1" hidden="1" customWidth="1"/>
    <col min="12760" max="12761" width="14.85546875" style="1" customWidth="1"/>
    <col min="12762" max="12763" width="0" style="1" hidden="1" customWidth="1"/>
    <col min="12764" max="12764" width="14.85546875" style="1" customWidth="1"/>
    <col min="12765" max="12766" width="0" style="1" hidden="1" customWidth="1"/>
    <col min="12767"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7" width="14.85546875" style="1" customWidth="1"/>
    <col min="12778" max="12778" width="44.42578125" style="1" customWidth="1"/>
    <col min="12779" max="12783" width="14.85546875" style="1" customWidth="1"/>
    <col min="12784" max="12784" width="63.85546875" style="1" customWidth="1"/>
    <col min="12785" max="12785" width="13.28515625" style="1" customWidth="1"/>
    <col min="12786" max="12971" width="9.140625" style="1"/>
    <col min="12972" max="12973" width="0" style="1" hidden="1" customWidth="1"/>
    <col min="12974" max="12974" width="13.7109375" style="1" customWidth="1"/>
    <col min="12975" max="12975" width="52.85546875" style="1" customWidth="1"/>
    <col min="12976" max="13015" width="0" style="1" hidden="1" customWidth="1"/>
    <col min="13016" max="13017" width="14.85546875" style="1" customWidth="1"/>
    <col min="13018" max="13019" width="0" style="1" hidden="1" customWidth="1"/>
    <col min="13020" max="13020" width="14.85546875" style="1" customWidth="1"/>
    <col min="13021" max="13022" width="0" style="1" hidden="1" customWidth="1"/>
    <col min="13023"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3" width="14.85546875" style="1" customWidth="1"/>
    <col min="13034" max="13034" width="44.42578125" style="1" customWidth="1"/>
    <col min="13035" max="13039" width="14.85546875" style="1" customWidth="1"/>
    <col min="13040" max="13040" width="63.85546875" style="1" customWidth="1"/>
    <col min="13041" max="13041" width="13.28515625" style="1" customWidth="1"/>
    <col min="13042" max="13227" width="9.140625" style="1"/>
    <col min="13228" max="13229" width="0" style="1" hidden="1" customWidth="1"/>
    <col min="13230" max="13230" width="13.7109375" style="1" customWidth="1"/>
    <col min="13231" max="13231" width="52.85546875" style="1" customWidth="1"/>
    <col min="13232" max="13271" width="0" style="1" hidden="1" customWidth="1"/>
    <col min="13272" max="13273" width="14.85546875" style="1" customWidth="1"/>
    <col min="13274" max="13275" width="0" style="1" hidden="1" customWidth="1"/>
    <col min="13276" max="13276" width="14.85546875" style="1" customWidth="1"/>
    <col min="13277" max="13278" width="0" style="1" hidden="1" customWidth="1"/>
    <col min="13279"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9" width="14.85546875" style="1" customWidth="1"/>
    <col min="13290" max="13290" width="44.42578125" style="1" customWidth="1"/>
    <col min="13291" max="13295" width="14.85546875" style="1" customWidth="1"/>
    <col min="13296" max="13296" width="63.85546875" style="1" customWidth="1"/>
    <col min="13297" max="13297" width="13.28515625" style="1" customWidth="1"/>
    <col min="13298" max="13483" width="9.140625" style="1"/>
    <col min="13484" max="13485" width="0" style="1" hidden="1" customWidth="1"/>
    <col min="13486" max="13486" width="13.7109375" style="1" customWidth="1"/>
    <col min="13487" max="13487" width="52.85546875" style="1" customWidth="1"/>
    <col min="13488" max="13527" width="0" style="1" hidden="1" customWidth="1"/>
    <col min="13528" max="13529" width="14.85546875" style="1" customWidth="1"/>
    <col min="13530" max="13531" width="0" style="1" hidden="1" customWidth="1"/>
    <col min="13532" max="13532" width="14.85546875" style="1" customWidth="1"/>
    <col min="13533" max="13534" width="0" style="1" hidden="1" customWidth="1"/>
    <col min="13535"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5" width="14.85546875" style="1" customWidth="1"/>
    <col min="13546" max="13546" width="44.42578125" style="1" customWidth="1"/>
    <col min="13547" max="13551" width="14.85546875" style="1" customWidth="1"/>
    <col min="13552" max="13552" width="63.85546875" style="1" customWidth="1"/>
    <col min="13553" max="13553" width="13.28515625" style="1" customWidth="1"/>
    <col min="13554" max="13739" width="9.140625" style="1"/>
    <col min="13740" max="13741" width="0" style="1" hidden="1" customWidth="1"/>
    <col min="13742" max="13742" width="13.7109375" style="1" customWidth="1"/>
    <col min="13743" max="13743" width="52.85546875" style="1" customWidth="1"/>
    <col min="13744" max="13783" width="0" style="1" hidden="1" customWidth="1"/>
    <col min="13784" max="13785" width="14.85546875" style="1" customWidth="1"/>
    <col min="13786" max="13787" width="0" style="1" hidden="1" customWidth="1"/>
    <col min="13788" max="13788" width="14.85546875" style="1" customWidth="1"/>
    <col min="13789" max="13790" width="0" style="1" hidden="1" customWidth="1"/>
    <col min="13791"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1" width="14.85546875" style="1" customWidth="1"/>
    <col min="13802" max="13802" width="44.42578125" style="1" customWidth="1"/>
    <col min="13803" max="13807" width="14.85546875" style="1" customWidth="1"/>
    <col min="13808" max="13808" width="63.85546875" style="1" customWidth="1"/>
    <col min="13809" max="13809" width="13.28515625" style="1" customWidth="1"/>
    <col min="13810" max="13995" width="9.140625" style="1"/>
    <col min="13996" max="13997" width="0" style="1" hidden="1" customWidth="1"/>
    <col min="13998" max="13998" width="13.7109375" style="1" customWidth="1"/>
    <col min="13999" max="13999" width="52.85546875" style="1" customWidth="1"/>
    <col min="14000" max="14039" width="0" style="1" hidden="1" customWidth="1"/>
    <col min="14040" max="14041" width="14.85546875" style="1" customWidth="1"/>
    <col min="14042" max="14043" width="0" style="1" hidden="1" customWidth="1"/>
    <col min="14044" max="14044" width="14.85546875" style="1" customWidth="1"/>
    <col min="14045" max="14046" width="0" style="1" hidden="1" customWidth="1"/>
    <col min="14047"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7" width="14.85546875" style="1" customWidth="1"/>
    <col min="14058" max="14058" width="44.42578125" style="1" customWidth="1"/>
    <col min="14059" max="14063" width="14.85546875" style="1" customWidth="1"/>
    <col min="14064" max="14064" width="63.85546875" style="1" customWidth="1"/>
    <col min="14065" max="14065" width="13.28515625" style="1" customWidth="1"/>
    <col min="14066" max="14251" width="9.140625" style="1"/>
    <col min="14252" max="14253" width="0" style="1" hidden="1" customWidth="1"/>
    <col min="14254" max="14254" width="13.7109375" style="1" customWidth="1"/>
    <col min="14255" max="14255" width="52.85546875" style="1" customWidth="1"/>
    <col min="14256" max="14295" width="0" style="1" hidden="1" customWidth="1"/>
    <col min="14296" max="14297" width="14.85546875" style="1" customWidth="1"/>
    <col min="14298" max="14299" width="0" style="1" hidden="1" customWidth="1"/>
    <col min="14300" max="14300" width="14.85546875" style="1" customWidth="1"/>
    <col min="14301" max="14302" width="0" style="1" hidden="1" customWidth="1"/>
    <col min="14303"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3" width="14.85546875" style="1" customWidth="1"/>
    <col min="14314" max="14314" width="44.42578125" style="1" customWidth="1"/>
    <col min="14315" max="14319" width="14.85546875" style="1" customWidth="1"/>
    <col min="14320" max="14320" width="63.85546875" style="1" customWidth="1"/>
    <col min="14321" max="14321" width="13.28515625" style="1" customWidth="1"/>
    <col min="14322" max="14507" width="9.140625" style="1"/>
    <col min="14508" max="14509" width="0" style="1" hidden="1" customWidth="1"/>
    <col min="14510" max="14510" width="13.7109375" style="1" customWidth="1"/>
    <col min="14511" max="14511" width="52.85546875" style="1" customWidth="1"/>
    <col min="14512" max="14551" width="0" style="1" hidden="1" customWidth="1"/>
    <col min="14552" max="14553" width="14.85546875" style="1" customWidth="1"/>
    <col min="14554" max="14555" width="0" style="1" hidden="1" customWidth="1"/>
    <col min="14556" max="14556" width="14.85546875" style="1" customWidth="1"/>
    <col min="14557" max="14558" width="0" style="1" hidden="1" customWidth="1"/>
    <col min="14559"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9" width="14.85546875" style="1" customWidth="1"/>
    <col min="14570" max="14570" width="44.42578125" style="1" customWidth="1"/>
    <col min="14571" max="14575" width="14.85546875" style="1" customWidth="1"/>
    <col min="14576" max="14576" width="63.85546875" style="1" customWidth="1"/>
    <col min="14577" max="14577" width="13.28515625" style="1" customWidth="1"/>
    <col min="14578" max="14763" width="9.140625" style="1"/>
    <col min="14764" max="14765" width="0" style="1" hidden="1" customWidth="1"/>
    <col min="14766" max="14766" width="13.7109375" style="1" customWidth="1"/>
    <col min="14767" max="14767" width="52.85546875" style="1" customWidth="1"/>
    <col min="14768" max="14807" width="0" style="1" hidden="1" customWidth="1"/>
    <col min="14808" max="14809" width="14.85546875" style="1" customWidth="1"/>
    <col min="14810" max="14811" width="0" style="1" hidden="1" customWidth="1"/>
    <col min="14812" max="14812" width="14.85546875" style="1" customWidth="1"/>
    <col min="14813" max="14814" width="0" style="1" hidden="1" customWidth="1"/>
    <col min="14815"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5" width="14.85546875" style="1" customWidth="1"/>
    <col min="14826" max="14826" width="44.42578125" style="1" customWidth="1"/>
    <col min="14827" max="14831" width="14.85546875" style="1" customWidth="1"/>
    <col min="14832" max="14832" width="63.85546875" style="1" customWidth="1"/>
    <col min="14833" max="14833" width="13.28515625" style="1" customWidth="1"/>
    <col min="14834" max="15019" width="9.140625" style="1"/>
    <col min="15020" max="15021" width="0" style="1" hidden="1" customWidth="1"/>
    <col min="15022" max="15022" width="13.7109375" style="1" customWidth="1"/>
    <col min="15023" max="15023" width="52.85546875" style="1" customWidth="1"/>
    <col min="15024" max="15063" width="0" style="1" hidden="1" customWidth="1"/>
    <col min="15064" max="15065" width="14.85546875" style="1" customWidth="1"/>
    <col min="15066" max="15067" width="0" style="1" hidden="1" customWidth="1"/>
    <col min="15068" max="15068" width="14.85546875" style="1" customWidth="1"/>
    <col min="15069" max="15070" width="0" style="1" hidden="1" customWidth="1"/>
    <col min="15071"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1" width="14.85546875" style="1" customWidth="1"/>
    <col min="15082" max="15082" width="44.42578125" style="1" customWidth="1"/>
    <col min="15083" max="15087" width="14.85546875" style="1" customWidth="1"/>
    <col min="15088" max="15088" width="63.85546875" style="1" customWidth="1"/>
    <col min="15089" max="15089" width="13.28515625" style="1" customWidth="1"/>
    <col min="15090" max="15275" width="9.140625" style="1"/>
    <col min="15276" max="15277" width="0" style="1" hidden="1" customWidth="1"/>
    <col min="15278" max="15278" width="13.7109375" style="1" customWidth="1"/>
    <col min="15279" max="15279" width="52.85546875" style="1" customWidth="1"/>
    <col min="15280" max="15319" width="0" style="1" hidden="1" customWidth="1"/>
    <col min="15320" max="15321" width="14.85546875" style="1" customWidth="1"/>
    <col min="15322" max="15323" width="0" style="1" hidden="1" customWidth="1"/>
    <col min="15324" max="15324" width="14.85546875" style="1" customWidth="1"/>
    <col min="15325" max="15326" width="0" style="1" hidden="1" customWidth="1"/>
    <col min="15327"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7" width="14.85546875" style="1" customWidth="1"/>
    <col min="15338" max="15338" width="44.42578125" style="1" customWidth="1"/>
    <col min="15339" max="15343" width="14.85546875" style="1" customWidth="1"/>
    <col min="15344" max="15344" width="63.85546875" style="1" customWidth="1"/>
    <col min="15345" max="15345" width="13.28515625" style="1" customWidth="1"/>
    <col min="15346" max="15531" width="9.140625" style="1"/>
    <col min="15532" max="15533" width="0" style="1" hidden="1" customWidth="1"/>
    <col min="15534" max="15534" width="13.7109375" style="1" customWidth="1"/>
    <col min="15535" max="15535" width="52.85546875" style="1" customWidth="1"/>
    <col min="15536" max="15575" width="0" style="1" hidden="1" customWidth="1"/>
    <col min="15576" max="15577" width="14.85546875" style="1" customWidth="1"/>
    <col min="15578" max="15579" width="0" style="1" hidden="1" customWidth="1"/>
    <col min="15580" max="15580" width="14.85546875" style="1" customWidth="1"/>
    <col min="15581" max="15582" width="0" style="1" hidden="1" customWidth="1"/>
    <col min="15583"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3" width="14.85546875" style="1" customWidth="1"/>
    <col min="15594" max="15594" width="44.42578125" style="1" customWidth="1"/>
    <col min="15595" max="15599" width="14.85546875" style="1" customWidth="1"/>
    <col min="15600" max="15600" width="63.85546875" style="1" customWidth="1"/>
    <col min="15601" max="15601" width="13.28515625" style="1" customWidth="1"/>
    <col min="15602" max="15787" width="9.140625" style="1"/>
    <col min="15788" max="15789" width="0" style="1" hidden="1" customWidth="1"/>
    <col min="15790" max="15790" width="13.7109375" style="1" customWidth="1"/>
    <col min="15791" max="15791" width="52.85546875" style="1" customWidth="1"/>
    <col min="15792" max="15831" width="0" style="1" hidden="1" customWidth="1"/>
    <col min="15832" max="15833" width="14.85546875" style="1" customWidth="1"/>
    <col min="15834" max="15835" width="0" style="1" hidden="1" customWidth="1"/>
    <col min="15836" max="15836" width="14.85546875" style="1" customWidth="1"/>
    <col min="15837" max="15838" width="0" style="1" hidden="1" customWidth="1"/>
    <col min="15839"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9" width="14.85546875" style="1" customWidth="1"/>
    <col min="15850" max="15850" width="44.42578125" style="1" customWidth="1"/>
    <col min="15851" max="15855" width="14.85546875" style="1" customWidth="1"/>
    <col min="15856" max="15856" width="63.85546875" style="1" customWidth="1"/>
    <col min="15857" max="15857" width="13.28515625" style="1" customWidth="1"/>
    <col min="15858" max="16043" width="9.140625" style="1"/>
    <col min="16044" max="16045" width="0" style="1" hidden="1" customWidth="1"/>
    <col min="16046" max="16046" width="13.7109375" style="1" customWidth="1"/>
    <col min="16047" max="16047" width="52.85546875" style="1" customWidth="1"/>
    <col min="16048" max="16087" width="0" style="1" hidden="1" customWidth="1"/>
    <col min="16088" max="16089" width="14.85546875" style="1" customWidth="1"/>
    <col min="16090" max="16091" width="0" style="1" hidden="1" customWidth="1"/>
    <col min="16092" max="16092" width="14.85546875" style="1" customWidth="1"/>
    <col min="16093" max="16094" width="0" style="1" hidden="1" customWidth="1"/>
    <col min="16095"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5" width="14.85546875" style="1" customWidth="1"/>
    <col min="16106" max="16106" width="44.42578125" style="1" customWidth="1"/>
    <col min="16107" max="16111" width="14.85546875" style="1" customWidth="1"/>
    <col min="16112" max="16112" width="63.85546875" style="1" customWidth="1"/>
    <col min="16113" max="16113" width="13.28515625" style="1" customWidth="1"/>
    <col min="16114" max="16312" width="9.140625" style="1"/>
    <col min="16313" max="16345" width="9.140625" style="1" customWidth="1"/>
    <col min="16346" max="16353" width="9.140625" style="1"/>
    <col min="16354" max="16354" width="9.140625" style="1" customWidth="1"/>
    <col min="16355" max="16384" width="9.140625" style="1"/>
  </cols>
  <sheetData>
    <row r="1" spans="1:17" ht="25.5" outlineLevel="1" x14ac:dyDescent="0.35">
      <c r="C1" s="2" t="s">
        <v>0</v>
      </c>
      <c r="D1" s="3"/>
      <c r="E1" s="6"/>
      <c r="F1" s="6"/>
      <c r="G1" s="4"/>
      <c r="H1" s="7"/>
      <c r="I1" s="6"/>
      <c r="J1" s="4"/>
      <c r="K1" s="7"/>
      <c r="L1" s="6"/>
      <c r="M1" s="4"/>
      <c r="N1" s="7"/>
      <c r="O1" s="6"/>
      <c r="P1" s="4"/>
      <c r="Q1" s="7"/>
    </row>
    <row r="2" spans="1:17" ht="25.5" outlineLevel="1" x14ac:dyDescent="0.35">
      <c r="C2" s="361" t="s">
        <v>1</v>
      </c>
      <c r="D2" s="361"/>
      <c r="G2" s="5"/>
      <c r="H2" s="9"/>
      <c r="J2" s="5"/>
      <c r="K2" s="9"/>
      <c r="M2" s="5"/>
      <c r="N2" s="9"/>
      <c r="P2" s="5"/>
      <c r="Q2" s="9"/>
    </row>
    <row r="3" spans="1:17" ht="20.25" outlineLevel="1" x14ac:dyDescent="0.3">
      <c r="C3" s="362" t="s">
        <v>2</v>
      </c>
      <c r="D3" s="362"/>
      <c r="E3" s="11">
        <v>37257977</v>
      </c>
      <c r="F3" s="11">
        <v>37259477</v>
      </c>
      <c r="G3" s="10"/>
      <c r="I3" s="11">
        <f>I106-I135-I42+I87</f>
        <v>37259477</v>
      </c>
      <c r="J3" s="10"/>
      <c r="L3" s="11">
        <f>L106-L135-L42+L87</f>
        <v>37269477</v>
      </c>
      <c r="M3" s="10"/>
      <c r="O3" s="11">
        <f>O106-O135-O42+O87</f>
        <v>37428755</v>
      </c>
      <c r="P3" s="10"/>
    </row>
    <row r="4" spans="1:17" ht="15.75" outlineLevel="1" thickBot="1" x14ac:dyDescent="0.3">
      <c r="C4" s="13"/>
      <c r="E4" s="11"/>
      <c r="F4" s="11"/>
      <c r="G4" s="12"/>
      <c r="I4" s="11"/>
      <c r="J4" s="12"/>
      <c r="L4" s="11"/>
      <c r="M4" s="12"/>
      <c r="O4" s="11"/>
      <c r="P4" s="12"/>
    </row>
    <row r="5" spans="1:17" ht="55.15" customHeight="1" thickBot="1" x14ac:dyDescent="0.3">
      <c r="C5" s="14" t="s">
        <v>3</v>
      </c>
      <c r="D5" s="15" t="s">
        <v>4</v>
      </c>
      <c r="E5" s="17" t="s">
        <v>6</v>
      </c>
      <c r="F5" s="17" t="s">
        <v>7</v>
      </c>
      <c r="G5" s="16" t="s">
        <v>8</v>
      </c>
      <c r="H5" s="18" t="s">
        <v>9</v>
      </c>
      <c r="I5" s="17" t="s">
        <v>10</v>
      </c>
      <c r="J5" s="16" t="s">
        <v>11</v>
      </c>
      <c r="K5" s="18" t="s">
        <v>9</v>
      </c>
      <c r="L5" s="17" t="s">
        <v>12</v>
      </c>
      <c r="M5" s="16" t="s">
        <v>13</v>
      </c>
      <c r="N5" s="18" t="s">
        <v>9</v>
      </c>
      <c r="O5" s="17" t="s">
        <v>14</v>
      </c>
      <c r="P5" s="16" t="s">
        <v>15</v>
      </c>
      <c r="Q5" s="18" t="s">
        <v>9</v>
      </c>
    </row>
    <row r="6" spans="1:17" x14ac:dyDescent="0.25">
      <c r="C6" s="19" t="s">
        <v>16</v>
      </c>
      <c r="D6" s="20" t="s">
        <v>17</v>
      </c>
      <c r="E6" s="21">
        <v>42715458</v>
      </c>
      <c r="F6" s="21">
        <v>42715458</v>
      </c>
      <c r="G6" s="22">
        <f>F6-E6</f>
        <v>0</v>
      </c>
      <c r="H6" s="23"/>
      <c r="I6" s="21">
        <f>ROUND((I7+I10+I13+I16+I19),0)</f>
        <v>41763189</v>
      </c>
      <c r="J6" s="22">
        <f>I6-F6</f>
        <v>-952269</v>
      </c>
      <c r="K6" s="23"/>
      <c r="L6" s="21">
        <f>ROUND((L7+L10+L13+L16+L19),0)</f>
        <v>41763189</v>
      </c>
      <c r="M6" s="22">
        <f>L6-I6</f>
        <v>0</v>
      </c>
      <c r="N6" s="23"/>
      <c r="O6" s="21">
        <f>ROUND((O7+O10+O13+O16+O19),0)</f>
        <v>41763189</v>
      </c>
      <c r="P6" s="22">
        <f>O6-L6</f>
        <v>0</v>
      </c>
      <c r="Q6" s="23"/>
    </row>
    <row r="7" spans="1:17" x14ac:dyDescent="0.25">
      <c r="B7" s="1" t="s">
        <v>18</v>
      </c>
      <c r="C7" s="24" t="s">
        <v>19</v>
      </c>
      <c r="D7" s="25" t="s">
        <v>20</v>
      </c>
      <c r="E7" s="27">
        <v>39439118</v>
      </c>
      <c r="F7" s="27">
        <v>39439118</v>
      </c>
      <c r="G7" s="26">
        <f t="shared" ref="G7:G71" si="0">F7-E7</f>
        <v>0</v>
      </c>
      <c r="H7" s="28"/>
      <c r="I7" s="27">
        <f>SUM(I8:I8)</f>
        <v>38486849</v>
      </c>
      <c r="J7" s="26">
        <f t="shared" ref="J7:J71" si="1">I7-F7</f>
        <v>-952269</v>
      </c>
      <c r="K7" s="28"/>
      <c r="L7" s="27">
        <f>SUM(L8:L8)</f>
        <v>38486849</v>
      </c>
      <c r="M7" s="26">
        <f t="shared" ref="M7:M71" si="2">L7-I7</f>
        <v>0</v>
      </c>
      <c r="N7" s="28"/>
      <c r="O7" s="27">
        <f>SUM(O8:O8)</f>
        <v>38486849</v>
      </c>
      <c r="P7" s="26">
        <f t="shared" ref="P7:P71" si="3">O7-L7</f>
        <v>0</v>
      </c>
      <c r="Q7" s="28"/>
    </row>
    <row r="8" spans="1:17" ht="33" customHeight="1" x14ac:dyDescent="0.25">
      <c r="A8" s="1" t="s">
        <v>21</v>
      </c>
      <c r="B8" s="29" t="s">
        <v>22</v>
      </c>
      <c r="C8" s="30" t="s">
        <v>23</v>
      </c>
      <c r="D8" s="31" t="s">
        <v>24</v>
      </c>
      <c r="E8" s="33">
        <v>39439118</v>
      </c>
      <c r="F8" s="33">
        <v>39439118</v>
      </c>
      <c r="G8" s="32">
        <f t="shared" si="0"/>
        <v>0</v>
      </c>
      <c r="H8" s="34"/>
      <c r="I8" s="33">
        <f>ROUND(F8,0)-952269</f>
        <v>38486849</v>
      </c>
      <c r="J8" s="32">
        <f t="shared" si="1"/>
        <v>-952269</v>
      </c>
      <c r="K8" s="35" t="s">
        <v>25</v>
      </c>
      <c r="L8" s="33">
        <f>ROUND(I8,0)</f>
        <v>38486849</v>
      </c>
      <c r="M8" s="32">
        <f t="shared" si="2"/>
        <v>0</v>
      </c>
      <c r="N8" s="35"/>
      <c r="O8" s="33">
        <f>ROUND(L8,0)</f>
        <v>38486849</v>
      </c>
      <c r="P8" s="32">
        <f t="shared" si="3"/>
        <v>0</v>
      </c>
      <c r="Q8" s="35"/>
    </row>
    <row r="9" spans="1:17" ht="32.450000000000003" customHeight="1" x14ac:dyDescent="0.25">
      <c r="C9" s="19" t="s">
        <v>26</v>
      </c>
      <c r="D9" s="20" t="s">
        <v>27</v>
      </c>
      <c r="E9" s="21">
        <v>3211340</v>
      </c>
      <c r="F9" s="21">
        <v>3211340</v>
      </c>
      <c r="G9" s="22">
        <f t="shared" si="0"/>
        <v>0</v>
      </c>
      <c r="H9" s="23"/>
      <c r="I9" s="21">
        <f>I10+I13+I16</f>
        <v>3211340</v>
      </c>
      <c r="J9" s="22">
        <f t="shared" si="1"/>
        <v>0</v>
      </c>
      <c r="K9" s="23"/>
      <c r="L9" s="21">
        <f>L10+L13+L16</f>
        <v>3211340</v>
      </c>
      <c r="M9" s="22">
        <f t="shared" si="2"/>
        <v>0</v>
      </c>
      <c r="N9" s="23"/>
      <c r="O9" s="21">
        <f>O10+O13+O16</f>
        <v>3211340</v>
      </c>
      <c r="P9" s="22">
        <f t="shared" si="3"/>
        <v>0</v>
      </c>
      <c r="Q9" s="23"/>
    </row>
    <row r="10" spans="1:17" x14ac:dyDescent="0.25">
      <c r="B10" s="1" t="s">
        <v>28</v>
      </c>
      <c r="C10" s="36" t="s">
        <v>29</v>
      </c>
      <c r="D10" s="37" t="s">
        <v>30</v>
      </c>
      <c r="E10" s="39">
        <v>2082625</v>
      </c>
      <c r="F10" s="39">
        <v>2082625</v>
      </c>
      <c r="G10" s="38">
        <f t="shared" si="0"/>
        <v>0</v>
      </c>
      <c r="H10" s="40"/>
      <c r="I10" s="39">
        <f>SUM(I11:I12)</f>
        <v>2082625</v>
      </c>
      <c r="J10" s="38">
        <f t="shared" si="1"/>
        <v>0</v>
      </c>
      <c r="K10" s="40"/>
      <c r="L10" s="39">
        <f>SUM(L11:L12)</f>
        <v>2082625</v>
      </c>
      <c r="M10" s="38">
        <f t="shared" si="2"/>
        <v>0</v>
      </c>
      <c r="N10" s="40"/>
      <c r="O10" s="39">
        <f>SUM(O11:O12)</f>
        <v>2082625</v>
      </c>
      <c r="P10" s="38">
        <f t="shared" si="3"/>
        <v>0</v>
      </c>
      <c r="Q10" s="40"/>
    </row>
    <row r="11" spans="1:17" x14ac:dyDescent="0.25">
      <c r="A11" s="1" t="s">
        <v>21</v>
      </c>
      <c r="B11" s="29" t="s">
        <v>31</v>
      </c>
      <c r="C11" s="30" t="s">
        <v>32</v>
      </c>
      <c r="D11" s="31" t="s">
        <v>24</v>
      </c>
      <c r="E11" s="33">
        <v>1945625</v>
      </c>
      <c r="F11" s="33">
        <v>1945625</v>
      </c>
      <c r="G11" s="32">
        <f t="shared" si="0"/>
        <v>0</v>
      </c>
      <c r="H11" s="41"/>
      <c r="I11" s="33">
        <f>ROUND(F11,0)</f>
        <v>1945625</v>
      </c>
      <c r="J11" s="32">
        <f t="shared" si="1"/>
        <v>0</v>
      </c>
      <c r="K11" s="41"/>
      <c r="L11" s="33">
        <f>ROUND(I11,0)</f>
        <v>1945625</v>
      </c>
      <c r="M11" s="32">
        <f t="shared" si="2"/>
        <v>0</v>
      </c>
      <c r="N11" s="41"/>
      <c r="O11" s="33">
        <f>ROUND(L11,0)</f>
        <v>1945625</v>
      </c>
      <c r="P11" s="32">
        <f t="shared" si="3"/>
        <v>0</v>
      </c>
      <c r="Q11" s="41"/>
    </row>
    <row r="12" spans="1:17" x14ac:dyDescent="0.25">
      <c r="A12" s="1" t="s">
        <v>21</v>
      </c>
      <c r="B12" s="29" t="s">
        <v>33</v>
      </c>
      <c r="C12" s="30" t="s">
        <v>34</v>
      </c>
      <c r="D12" s="31" t="s">
        <v>35</v>
      </c>
      <c r="E12" s="33">
        <v>137000</v>
      </c>
      <c r="F12" s="33">
        <v>137000</v>
      </c>
      <c r="G12" s="32">
        <f t="shared" si="0"/>
        <v>0</v>
      </c>
      <c r="H12" s="34"/>
      <c r="I12" s="33">
        <f>ROUND(F12,0)</f>
        <v>137000</v>
      </c>
      <c r="J12" s="32">
        <f t="shared" si="1"/>
        <v>0</v>
      </c>
      <c r="K12" s="34"/>
      <c r="L12" s="33">
        <f>ROUND(I12,0)</f>
        <v>137000</v>
      </c>
      <c r="M12" s="32">
        <f t="shared" si="2"/>
        <v>0</v>
      </c>
      <c r="N12" s="34"/>
      <c r="O12" s="33">
        <f>ROUND(L12,0)</f>
        <v>137000</v>
      </c>
      <c r="P12" s="32">
        <f t="shared" si="3"/>
        <v>0</v>
      </c>
      <c r="Q12" s="34"/>
    </row>
    <row r="13" spans="1:17" x14ac:dyDescent="0.25">
      <c r="B13" s="1" t="s">
        <v>36</v>
      </c>
      <c r="C13" s="36" t="s">
        <v>37</v>
      </c>
      <c r="D13" s="37" t="s">
        <v>38</v>
      </c>
      <c r="E13" s="39">
        <v>392228</v>
      </c>
      <c r="F13" s="39">
        <v>392228</v>
      </c>
      <c r="G13" s="38">
        <f t="shared" si="0"/>
        <v>0</v>
      </c>
      <c r="H13" s="40"/>
      <c r="I13" s="39">
        <f>SUM(I14:I15)</f>
        <v>392228</v>
      </c>
      <c r="J13" s="38">
        <f t="shared" si="1"/>
        <v>0</v>
      </c>
      <c r="K13" s="40"/>
      <c r="L13" s="39">
        <f>SUM(L14:L15)</f>
        <v>392228</v>
      </c>
      <c r="M13" s="38">
        <f t="shared" si="2"/>
        <v>0</v>
      </c>
      <c r="N13" s="40"/>
      <c r="O13" s="39">
        <f>SUM(O14:O15)</f>
        <v>392228</v>
      </c>
      <c r="P13" s="38">
        <f t="shared" si="3"/>
        <v>0</v>
      </c>
      <c r="Q13" s="40"/>
    </row>
    <row r="14" spans="1:17" x14ac:dyDescent="0.25">
      <c r="A14" s="1" t="s">
        <v>21</v>
      </c>
      <c r="B14" s="29" t="s">
        <v>39</v>
      </c>
      <c r="C14" s="30" t="s">
        <v>40</v>
      </c>
      <c r="D14" s="31" t="s">
        <v>41</v>
      </c>
      <c r="E14" s="33">
        <v>362228</v>
      </c>
      <c r="F14" s="33">
        <v>362228</v>
      </c>
      <c r="G14" s="32">
        <f t="shared" si="0"/>
        <v>0</v>
      </c>
      <c r="H14" s="42"/>
      <c r="I14" s="33">
        <f>ROUND(F14,0)</f>
        <v>362228</v>
      </c>
      <c r="J14" s="32">
        <f t="shared" si="1"/>
        <v>0</v>
      </c>
      <c r="K14" s="42"/>
      <c r="L14" s="33">
        <f>ROUND(I14,0)</f>
        <v>362228</v>
      </c>
      <c r="M14" s="32">
        <f t="shared" si="2"/>
        <v>0</v>
      </c>
      <c r="N14" s="42"/>
      <c r="O14" s="33">
        <f>ROUND(L14,0)</f>
        <v>362228</v>
      </c>
      <c r="P14" s="32">
        <f t="shared" si="3"/>
        <v>0</v>
      </c>
      <c r="Q14" s="42"/>
    </row>
    <row r="15" spans="1:17" x14ac:dyDescent="0.25">
      <c r="A15" s="1" t="s">
        <v>21</v>
      </c>
      <c r="B15" s="29" t="s">
        <v>42</v>
      </c>
      <c r="C15" s="30" t="s">
        <v>43</v>
      </c>
      <c r="D15" s="31" t="s">
        <v>35</v>
      </c>
      <c r="E15" s="33">
        <v>30000</v>
      </c>
      <c r="F15" s="33">
        <v>30000</v>
      </c>
      <c r="G15" s="32">
        <f t="shared" si="0"/>
        <v>0</v>
      </c>
      <c r="H15" s="34"/>
      <c r="I15" s="33">
        <f>ROUND(F15,0)</f>
        <v>30000</v>
      </c>
      <c r="J15" s="32">
        <f t="shared" si="1"/>
        <v>0</v>
      </c>
      <c r="K15" s="34"/>
      <c r="L15" s="33">
        <f>ROUND(I15,0)</f>
        <v>30000</v>
      </c>
      <c r="M15" s="32">
        <f t="shared" si="2"/>
        <v>0</v>
      </c>
      <c r="N15" s="34"/>
      <c r="O15" s="33">
        <f>ROUND(L15,0)</f>
        <v>30000</v>
      </c>
      <c r="P15" s="32">
        <f t="shared" si="3"/>
        <v>0</v>
      </c>
      <c r="Q15" s="34"/>
    </row>
    <row r="16" spans="1:17" ht="29.25" x14ac:dyDescent="0.25">
      <c r="B16" s="1" t="s">
        <v>44</v>
      </c>
      <c r="C16" s="36" t="s">
        <v>45</v>
      </c>
      <c r="D16" s="37" t="s">
        <v>46</v>
      </c>
      <c r="E16" s="39">
        <v>736487</v>
      </c>
      <c r="F16" s="39">
        <v>736487</v>
      </c>
      <c r="G16" s="38">
        <f t="shared" si="0"/>
        <v>0</v>
      </c>
      <c r="H16" s="40"/>
      <c r="I16" s="39">
        <f>SUM(I17:I18)</f>
        <v>736487</v>
      </c>
      <c r="J16" s="38">
        <f t="shared" si="1"/>
        <v>0</v>
      </c>
      <c r="K16" s="40"/>
      <c r="L16" s="39">
        <f>SUM(L17:L18)</f>
        <v>736487</v>
      </c>
      <c r="M16" s="38">
        <f t="shared" si="2"/>
        <v>0</v>
      </c>
      <c r="N16" s="40"/>
      <c r="O16" s="39">
        <f>SUM(O17:O18)</f>
        <v>736487</v>
      </c>
      <c r="P16" s="38">
        <f t="shared" si="3"/>
        <v>0</v>
      </c>
      <c r="Q16" s="40"/>
    </row>
    <row r="17" spans="1:17" ht="18.75" customHeight="1" x14ac:dyDescent="0.25">
      <c r="A17" s="1" t="s">
        <v>21</v>
      </c>
      <c r="B17" s="29" t="s">
        <v>47</v>
      </c>
      <c r="C17" s="30" t="s">
        <v>48</v>
      </c>
      <c r="D17" s="31" t="s">
        <v>41</v>
      </c>
      <c r="E17" s="33">
        <v>665899</v>
      </c>
      <c r="F17" s="33">
        <v>665899</v>
      </c>
      <c r="G17" s="32">
        <f t="shared" si="0"/>
        <v>0</v>
      </c>
      <c r="H17" s="42"/>
      <c r="I17" s="33">
        <f>ROUND(F17,0)</f>
        <v>665899</v>
      </c>
      <c r="J17" s="32">
        <f t="shared" si="1"/>
        <v>0</v>
      </c>
      <c r="K17" s="42"/>
      <c r="L17" s="33">
        <f>ROUND(I17,0)</f>
        <v>665899</v>
      </c>
      <c r="M17" s="32">
        <f t="shared" si="2"/>
        <v>0</v>
      </c>
      <c r="N17" s="42"/>
      <c r="O17" s="33">
        <f>ROUND(L17,0)</f>
        <v>665899</v>
      </c>
      <c r="P17" s="32">
        <f t="shared" si="3"/>
        <v>0</v>
      </c>
      <c r="Q17" s="42"/>
    </row>
    <row r="18" spans="1:17" x14ac:dyDescent="0.25">
      <c r="A18" s="1" t="s">
        <v>21</v>
      </c>
      <c r="B18" s="29" t="s">
        <v>49</v>
      </c>
      <c r="C18" s="30" t="s">
        <v>50</v>
      </c>
      <c r="D18" s="31" t="s">
        <v>35</v>
      </c>
      <c r="E18" s="33">
        <v>70588</v>
      </c>
      <c r="F18" s="33">
        <v>70588</v>
      </c>
      <c r="G18" s="32">
        <f t="shared" si="0"/>
        <v>0</v>
      </c>
      <c r="H18" s="41"/>
      <c r="I18" s="33">
        <f>ROUND(F18,0)</f>
        <v>70588</v>
      </c>
      <c r="J18" s="32">
        <f t="shared" si="1"/>
        <v>0</v>
      </c>
      <c r="K18" s="41"/>
      <c r="L18" s="33">
        <f>ROUND(I18,0)</f>
        <v>70588</v>
      </c>
      <c r="M18" s="32">
        <f t="shared" si="2"/>
        <v>0</v>
      </c>
      <c r="N18" s="41"/>
      <c r="O18" s="33">
        <f>ROUND(L18,0)</f>
        <v>70588</v>
      </c>
      <c r="P18" s="32">
        <f t="shared" si="3"/>
        <v>0</v>
      </c>
      <c r="Q18" s="41"/>
    </row>
    <row r="19" spans="1:17" ht="29.25" x14ac:dyDescent="0.25">
      <c r="B19" s="43"/>
      <c r="C19" s="36" t="s">
        <v>51</v>
      </c>
      <c r="D19" s="37" t="s">
        <v>52</v>
      </c>
      <c r="E19" s="39">
        <v>65000</v>
      </c>
      <c r="F19" s="39">
        <v>65000</v>
      </c>
      <c r="G19" s="38">
        <f t="shared" si="0"/>
        <v>0</v>
      </c>
      <c r="H19" s="40"/>
      <c r="I19" s="39">
        <f>SUM(I20:I21)</f>
        <v>65000</v>
      </c>
      <c r="J19" s="38">
        <f t="shared" si="1"/>
        <v>0</v>
      </c>
      <c r="K19" s="40"/>
      <c r="L19" s="39">
        <f>SUM(L20:L21)</f>
        <v>65000</v>
      </c>
      <c r="M19" s="38">
        <f t="shared" si="2"/>
        <v>0</v>
      </c>
      <c r="N19" s="40"/>
      <c r="O19" s="39">
        <f>SUM(O20:O21)</f>
        <v>65000</v>
      </c>
      <c r="P19" s="38">
        <f t="shared" si="3"/>
        <v>0</v>
      </c>
      <c r="Q19" s="40"/>
    </row>
    <row r="20" spans="1:17" ht="14.45" customHeight="1" outlineLevel="1" x14ac:dyDescent="0.25">
      <c r="B20" s="29" t="s">
        <v>53</v>
      </c>
      <c r="C20" s="30" t="s">
        <v>54</v>
      </c>
      <c r="D20" s="31" t="s">
        <v>55</v>
      </c>
      <c r="E20" s="33">
        <v>5000</v>
      </c>
      <c r="F20" s="33">
        <v>5000</v>
      </c>
      <c r="G20" s="32">
        <f t="shared" si="0"/>
        <v>0</v>
      </c>
      <c r="H20" s="42"/>
      <c r="I20" s="33">
        <f>ROUND(F20,0)</f>
        <v>5000</v>
      </c>
      <c r="J20" s="32">
        <f t="shared" si="1"/>
        <v>0</v>
      </c>
      <c r="K20" s="42"/>
      <c r="L20" s="33">
        <f>ROUND(I20,0)</f>
        <v>5000</v>
      </c>
      <c r="M20" s="32">
        <f t="shared" si="2"/>
        <v>0</v>
      </c>
      <c r="N20" s="42"/>
      <c r="O20" s="33">
        <f>ROUND(L20,0)</f>
        <v>5000</v>
      </c>
      <c r="P20" s="32">
        <f t="shared" si="3"/>
        <v>0</v>
      </c>
      <c r="Q20" s="42"/>
    </row>
    <row r="21" spans="1:17" ht="15.6" customHeight="1" x14ac:dyDescent="0.25">
      <c r="B21" s="29" t="s">
        <v>56</v>
      </c>
      <c r="C21" s="30" t="s">
        <v>54</v>
      </c>
      <c r="D21" s="31" t="s">
        <v>57</v>
      </c>
      <c r="E21" s="33">
        <v>60000</v>
      </c>
      <c r="F21" s="33">
        <v>60000</v>
      </c>
      <c r="G21" s="32">
        <f t="shared" si="0"/>
        <v>0</v>
      </c>
      <c r="H21" s="44"/>
      <c r="I21" s="33">
        <f>ROUND(F21,0)</f>
        <v>60000</v>
      </c>
      <c r="J21" s="32">
        <f t="shared" si="1"/>
        <v>0</v>
      </c>
      <c r="K21" s="44"/>
      <c r="L21" s="33">
        <f>ROUND(I21,0)</f>
        <v>60000</v>
      </c>
      <c r="M21" s="32">
        <f t="shared" si="2"/>
        <v>0</v>
      </c>
      <c r="N21" s="44"/>
      <c r="O21" s="33">
        <f>ROUND(L21,0)</f>
        <v>60000</v>
      </c>
      <c r="P21" s="32">
        <f t="shared" si="3"/>
        <v>0</v>
      </c>
      <c r="Q21" s="44"/>
    </row>
    <row r="22" spans="1:17" ht="15.75" customHeight="1" x14ac:dyDescent="0.25">
      <c r="B22" s="1" t="s">
        <v>58</v>
      </c>
      <c r="C22" s="36" t="s">
        <v>59</v>
      </c>
      <c r="D22" s="37" t="s">
        <v>60</v>
      </c>
      <c r="E22" s="39">
        <v>144060</v>
      </c>
      <c r="F22" s="39">
        <v>144060</v>
      </c>
      <c r="G22" s="38">
        <f t="shared" si="0"/>
        <v>0</v>
      </c>
      <c r="H22" s="40"/>
      <c r="I22" s="39">
        <f>I23+I27</f>
        <v>144060</v>
      </c>
      <c r="J22" s="38">
        <f t="shared" si="1"/>
        <v>0</v>
      </c>
      <c r="K22" s="40"/>
      <c r="L22" s="39">
        <f>L23+L27</f>
        <v>144060</v>
      </c>
      <c r="M22" s="38">
        <f t="shared" si="2"/>
        <v>0</v>
      </c>
      <c r="N22" s="40"/>
      <c r="O22" s="39">
        <f>O23+O27</f>
        <v>144060</v>
      </c>
      <c r="P22" s="38">
        <f t="shared" si="3"/>
        <v>0</v>
      </c>
      <c r="Q22" s="40"/>
    </row>
    <row r="23" spans="1:17" x14ac:dyDescent="0.25">
      <c r="A23" s="1" t="s">
        <v>21</v>
      </c>
      <c r="B23" s="1" t="s">
        <v>61</v>
      </c>
      <c r="C23" s="30" t="s">
        <v>62</v>
      </c>
      <c r="D23" s="31" t="s">
        <v>63</v>
      </c>
      <c r="E23" s="33">
        <v>6100</v>
      </c>
      <c r="F23" s="33">
        <v>6100</v>
      </c>
      <c r="G23" s="32">
        <f t="shared" si="0"/>
        <v>0</v>
      </c>
      <c r="H23" s="41"/>
      <c r="I23" s="33">
        <f>I24+I25+I26</f>
        <v>6100</v>
      </c>
      <c r="J23" s="32">
        <f t="shared" si="1"/>
        <v>0</v>
      </c>
      <c r="K23" s="41"/>
      <c r="L23" s="33">
        <f>L24+L25+L26</f>
        <v>6100</v>
      </c>
      <c r="M23" s="32">
        <f t="shared" si="2"/>
        <v>0</v>
      </c>
      <c r="N23" s="41"/>
      <c r="O23" s="33">
        <f>O24+O25+O26</f>
        <v>6100</v>
      </c>
      <c r="P23" s="32">
        <f t="shared" si="3"/>
        <v>0</v>
      </c>
      <c r="Q23" s="41"/>
    </row>
    <row r="24" spans="1:17" ht="26.25" x14ac:dyDescent="0.25">
      <c r="B24" s="29" t="s">
        <v>64</v>
      </c>
      <c r="C24" s="45" t="s">
        <v>65</v>
      </c>
      <c r="D24" s="46" t="s">
        <v>66</v>
      </c>
      <c r="E24" s="33">
        <v>1100</v>
      </c>
      <c r="F24" s="33">
        <v>1100</v>
      </c>
      <c r="G24" s="32">
        <f t="shared" si="0"/>
        <v>0</v>
      </c>
      <c r="H24" s="41"/>
      <c r="I24" s="33">
        <f>ROUND(F24,0)</f>
        <v>1100</v>
      </c>
      <c r="J24" s="32">
        <f t="shared" si="1"/>
        <v>0</v>
      </c>
      <c r="K24" s="41"/>
      <c r="L24" s="33">
        <f>ROUND(I24,0)</f>
        <v>1100</v>
      </c>
      <c r="M24" s="32">
        <f t="shared" si="2"/>
        <v>0</v>
      </c>
      <c r="N24" s="41"/>
      <c r="O24" s="33">
        <f>ROUND(L24,0)</f>
        <v>1100</v>
      </c>
      <c r="P24" s="32">
        <f t="shared" si="3"/>
        <v>0</v>
      </c>
      <c r="Q24" s="41"/>
    </row>
    <row r="25" spans="1:17" ht="26.25" x14ac:dyDescent="0.25">
      <c r="B25" s="29" t="s">
        <v>67</v>
      </c>
      <c r="C25" s="45" t="s">
        <v>68</v>
      </c>
      <c r="D25" s="46" t="s">
        <v>69</v>
      </c>
      <c r="E25" s="33">
        <v>4500</v>
      </c>
      <c r="F25" s="33">
        <v>4500</v>
      </c>
      <c r="G25" s="32">
        <f t="shared" si="0"/>
        <v>0</v>
      </c>
      <c r="H25" s="41"/>
      <c r="I25" s="33">
        <f>ROUND(F25,0)</f>
        <v>4500</v>
      </c>
      <c r="J25" s="32">
        <f t="shared" si="1"/>
        <v>0</v>
      </c>
      <c r="K25" s="41"/>
      <c r="L25" s="33">
        <f>ROUND(I25,0)</f>
        <v>4500</v>
      </c>
      <c r="M25" s="32">
        <f t="shared" si="2"/>
        <v>0</v>
      </c>
      <c r="N25" s="41"/>
      <c r="O25" s="33">
        <f>ROUND(L25,0)</f>
        <v>4500</v>
      </c>
      <c r="P25" s="32">
        <f t="shared" si="3"/>
        <v>0</v>
      </c>
      <c r="Q25" s="41"/>
    </row>
    <row r="26" spans="1:17" ht="26.25" x14ac:dyDescent="0.25">
      <c r="B26" s="29" t="s">
        <v>70</v>
      </c>
      <c r="C26" s="45" t="s">
        <v>71</v>
      </c>
      <c r="D26" s="46" t="s">
        <v>72</v>
      </c>
      <c r="E26" s="33">
        <v>500</v>
      </c>
      <c r="F26" s="33">
        <v>500</v>
      </c>
      <c r="G26" s="32">
        <f t="shared" si="0"/>
        <v>0</v>
      </c>
      <c r="H26" s="41"/>
      <c r="I26" s="33">
        <f>ROUND(F26,0)</f>
        <v>500</v>
      </c>
      <c r="J26" s="32">
        <f t="shared" si="1"/>
        <v>0</v>
      </c>
      <c r="K26" s="41"/>
      <c r="L26" s="33">
        <f>ROUND(I26,0)</f>
        <v>500</v>
      </c>
      <c r="M26" s="32">
        <f t="shared" si="2"/>
        <v>0</v>
      </c>
      <c r="N26" s="41"/>
      <c r="O26" s="33">
        <f>ROUND(L26,0)</f>
        <v>500</v>
      </c>
      <c r="P26" s="32">
        <f t="shared" si="3"/>
        <v>0</v>
      </c>
      <c r="Q26" s="41"/>
    </row>
    <row r="27" spans="1:17" x14ac:dyDescent="0.25">
      <c r="A27" s="1" t="s">
        <v>21</v>
      </c>
      <c r="B27" s="1" t="s">
        <v>73</v>
      </c>
      <c r="C27" s="30" t="s">
        <v>74</v>
      </c>
      <c r="D27" s="31" t="s">
        <v>75</v>
      </c>
      <c r="E27" s="33">
        <v>137960</v>
      </c>
      <c r="F27" s="33">
        <v>137960</v>
      </c>
      <c r="G27" s="32">
        <f t="shared" si="0"/>
        <v>0</v>
      </c>
      <c r="H27" s="41"/>
      <c r="I27" s="33">
        <f>SUM(I28:I33)</f>
        <v>137960</v>
      </c>
      <c r="J27" s="32">
        <f t="shared" si="1"/>
        <v>0</v>
      </c>
      <c r="K27" s="41"/>
      <c r="L27" s="33">
        <f>SUM(L28:L33)</f>
        <v>137960</v>
      </c>
      <c r="M27" s="32">
        <f t="shared" si="2"/>
        <v>0</v>
      </c>
      <c r="N27" s="41"/>
      <c r="O27" s="33">
        <f>SUM(O28:O33)</f>
        <v>137960</v>
      </c>
      <c r="P27" s="32">
        <f t="shared" si="3"/>
        <v>0</v>
      </c>
      <c r="Q27" s="41"/>
    </row>
    <row r="28" spans="1:17" ht="26.25" x14ac:dyDescent="0.25">
      <c r="B28" s="29" t="s">
        <v>76</v>
      </c>
      <c r="C28" s="45" t="s">
        <v>77</v>
      </c>
      <c r="D28" s="46" t="s">
        <v>78</v>
      </c>
      <c r="E28" s="33">
        <v>100</v>
      </c>
      <c r="F28" s="33">
        <v>100</v>
      </c>
      <c r="G28" s="32">
        <f t="shared" si="0"/>
        <v>0</v>
      </c>
      <c r="H28" s="41"/>
      <c r="I28" s="33">
        <f t="shared" ref="I28:I33" si="4">ROUND(F28,0)</f>
        <v>100</v>
      </c>
      <c r="J28" s="32">
        <f t="shared" si="1"/>
        <v>0</v>
      </c>
      <c r="K28" s="41"/>
      <c r="L28" s="33">
        <f t="shared" ref="L28:L33" si="5">ROUND(I28,0)</f>
        <v>100</v>
      </c>
      <c r="M28" s="32">
        <f t="shared" si="2"/>
        <v>0</v>
      </c>
      <c r="N28" s="41"/>
      <c r="O28" s="33">
        <f t="shared" ref="O28:O33" si="6">ROUND(L28,0)</f>
        <v>100</v>
      </c>
      <c r="P28" s="32">
        <f t="shared" si="3"/>
        <v>0</v>
      </c>
      <c r="Q28" s="41"/>
    </row>
    <row r="29" spans="1:17" ht="26.25" x14ac:dyDescent="0.25">
      <c r="B29" s="47" t="s">
        <v>79</v>
      </c>
      <c r="C29" s="45" t="s">
        <v>80</v>
      </c>
      <c r="D29" s="46" t="s">
        <v>81</v>
      </c>
      <c r="E29" s="33">
        <v>1860</v>
      </c>
      <c r="F29" s="33">
        <v>1860</v>
      </c>
      <c r="G29" s="32">
        <f t="shared" si="0"/>
        <v>0</v>
      </c>
      <c r="H29" s="41"/>
      <c r="I29" s="33">
        <f t="shared" si="4"/>
        <v>1860</v>
      </c>
      <c r="J29" s="32">
        <f t="shared" si="1"/>
        <v>0</v>
      </c>
      <c r="K29" s="41"/>
      <c r="L29" s="33">
        <f t="shared" si="5"/>
        <v>1860</v>
      </c>
      <c r="M29" s="32">
        <f t="shared" si="2"/>
        <v>0</v>
      </c>
      <c r="N29" s="41"/>
      <c r="O29" s="33">
        <f t="shared" si="6"/>
        <v>1860</v>
      </c>
      <c r="P29" s="32">
        <f t="shared" si="3"/>
        <v>0</v>
      </c>
      <c r="Q29" s="41"/>
    </row>
    <row r="30" spans="1:17" ht="25.9" customHeight="1" x14ac:dyDescent="0.25">
      <c r="B30" s="29" t="s">
        <v>82</v>
      </c>
      <c r="C30" s="45" t="s">
        <v>83</v>
      </c>
      <c r="D30" s="46" t="s">
        <v>84</v>
      </c>
      <c r="E30" s="33">
        <v>33000</v>
      </c>
      <c r="F30" s="33">
        <v>33000</v>
      </c>
      <c r="G30" s="32">
        <f t="shared" si="0"/>
        <v>0</v>
      </c>
      <c r="H30" s="41"/>
      <c r="I30" s="33">
        <f t="shared" si="4"/>
        <v>33000</v>
      </c>
      <c r="J30" s="32">
        <f t="shared" si="1"/>
        <v>0</v>
      </c>
      <c r="K30" s="41"/>
      <c r="L30" s="33">
        <f t="shared" si="5"/>
        <v>33000</v>
      </c>
      <c r="M30" s="32">
        <f t="shared" si="2"/>
        <v>0</v>
      </c>
      <c r="N30" s="41"/>
      <c r="O30" s="33">
        <f t="shared" si="6"/>
        <v>33000</v>
      </c>
      <c r="P30" s="32">
        <f t="shared" si="3"/>
        <v>0</v>
      </c>
      <c r="Q30" s="41"/>
    </row>
    <row r="31" spans="1:17" ht="26.25" x14ac:dyDescent="0.25">
      <c r="B31" s="29" t="s">
        <v>85</v>
      </c>
      <c r="C31" s="45" t="s">
        <v>86</v>
      </c>
      <c r="D31" s="46" t="s">
        <v>87</v>
      </c>
      <c r="E31" s="33">
        <v>13000</v>
      </c>
      <c r="F31" s="33">
        <v>13000</v>
      </c>
      <c r="G31" s="32">
        <f t="shared" si="0"/>
        <v>0</v>
      </c>
      <c r="H31" s="41"/>
      <c r="I31" s="33">
        <f t="shared" si="4"/>
        <v>13000</v>
      </c>
      <c r="J31" s="32">
        <f t="shared" si="1"/>
        <v>0</v>
      </c>
      <c r="K31" s="41"/>
      <c r="L31" s="33">
        <f t="shared" si="5"/>
        <v>13000</v>
      </c>
      <c r="M31" s="32">
        <f t="shared" si="2"/>
        <v>0</v>
      </c>
      <c r="N31" s="41"/>
      <c r="O31" s="33">
        <f t="shared" si="6"/>
        <v>13000</v>
      </c>
      <c r="P31" s="32">
        <f t="shared" si="3"/>
        <v>0</v>
      </c>
      <c r="Q31" s="41"/>
    </row>
    <row r="32" spans="1:17" x14ac:dyDescent="0.25">
      <c r="B32" s="29" t="s">
        <v>88</v>
      </c>
      <c r="C32" s="45" t="s">
        <v>89</v>
      </c>
      <c r="D32" s="46" t="s">
        <v>90</v>
      </c>
      <c r="E32" s="33">
        <v>85000</v>
      </c>
      <c r="F32" s="33">
        <v>85000</v>
      </c>
      <c r="G32" s="32">
        <f t="shared" si="0"/>
        <v>0</v>
      </c>
      <c r="H32" s="41"/>
      <c r="I32" s="33">
        <f t="shared" si="4"/>
        <v>85000</v>
      </c>
      <c r="J32" s="32">
        <f t="shared" si="1"/>
        <v>0</v>
      </c>
      <c r="K32" s="41"/>
      <c r="L32" s="33">
        <f t="shared" si="5"/>
        <v>85000</v>
      </c>
      <c r="M32" s="32">
        <f t="shared" si="2"/>
        <v>0</v>
      </c>
      <c r="N32" s="41"/>
      <c r="O32" s="33">
        <f t="shared" si="6"/>
        <v>85000</v>
      </c>
      <c r="P32" s="32">
        <f t="shared" si="3"/>
        <v>0</v>
      </c>
      <c r="Q32" s="41"/>
    </row>
    <row r="33" spans="1:17" x14ac:dyDescent="0.25">
      <c r="B33" s="29" t="s">
        <v>91</v>
      </c>
      <c r="C33" s="45" t="s">
        <v>92</v>
      </c>
      <c r="D33" s="46" t="s">
        <v>93</v>
      </c>
      <c r="E33" s="33">
        <v>5000</v>
      </c>
      <c r="F33" s="33">
        <v>5000</v>
      </c>
      <c r="G33" s="32">
        <f t="shared" si="0"/>
        <v>0</v>
      </c>
      <c r="H33" s="41"/>
      <c r="I33" s="33">
        <f t="shared" si="4"/>
        <v>5000</v>
      </c>
      <c r="J33" s="32">
        <f t="shared" si="1"/>
        <v>0</v>
      </c>
      <c r="K33" s="41"/>
      <c r="L33" s="33">
        <f t="shared" si="5"/>
        <v>5000</v>
      </c>
      <c r="M33" s="32">
        <f t="shared" si="2"/>
        <v>0</v>
      </c>
      <c r="N33" s="41"/>
      <c r="O33" s="33">
        <f t="shared" si="6"/>
        <v>5000</v>
      </c>
      <c r="P33" s="32">
        <f t="shared" si="3"/>
        <v>0</v>
      </c>
      <c r="Q33" s="41"/>
    </row>
    <row r="34" spans="1:17" ht="18" customHeight="1" x14ac:dyDescent="0.25">
      <c r="B34" s="1" t="s">
        <v>94</v>
      </c>
      <c r="C34" s="36" t="s">
        <v>95</v>
      </c>
      <c r="D34" s="37" t="s">
        <v>96</v>
      </c>
      <c r="E34" s="39">
        <v>130000</v>
      </c>
      <c r="F34" s="39">
        <v>130000</v>
      </c>
      <c r="G34" s="38">
        <f t="shared" si="0"/>
        <v>0</v>
      </c>
      <c r="H34" s="48"/>
      <c r="I34" s="39">
        <f>I35+I36</f>
        <v>130000</v>
      </c>
      <c r="J34" s="38">
        <f t="shared" si="1"/>
        <v>0</v>
      </c>
      <c r="K34" s="48"/>
      <c r="L34" s="39">
        <f>L35+L36</f>
        <v>130000</v>
      </c>
      <c r="M34" s="38">
        <f t="shared" si="2"/>
        <v>0</v>
      </c>
      <c r="N34" s="48"/>
      <c r="O34" s="39">
        <f>O35+O36</f>
        <v>130000</v>
      </c>
      <c r="P34" s="38">
        <f t="shared" si="3"/>
        <v>0</v>
      </c>
      <c r="Q34" s="48"/>
    </row>
    <row r="35" spans="1:17" ht="16.5" customHeight="1" x14ac:dyDescent="0.25">
      <c r="B35" s="43" t="s">
        <v>97</v>
      </c>
      <c r="C35" s="30" t="s">
        <v>98</v>
      </c>
      <c r="D35" s="31" t="s">
        <v>96</v>
      </c>
      <c r="E35" s="33">
        <v>90000</v>
      </c>
      <c r="F35" s="33">
        <v>90000</v>
      </c>
      <c r="G35" s="32">
        <f t="shared" si="0"/>
        <v>0</v>
      </c>
      <c r="H35" s="34"/>
      <c r="I35" s="33">
        <f>ROUND(F35,0)</f>
        <v>90000</v>
      </c>
      <c r="J35" s="32">
        <f t="shared" si="1"/>
        <v>0</v>
      </c>
      <c r="K35" s="34"/>
      <c r="L35" s="33">
        <f>ROUND(I35,0)</f>
        <v>90000</v>
      </c>
      <c r="M35" s="32">
        <f t="shared" si="2"/>
        <v>0</v>
      </c>
      <c r="N35" s="34"/>
      <c r="O35" s="33">
        <f>ROUND(L35,0)</f>
        <v>90000</v>
      </c>
      <c r="P35" s="32">
        <f t="shared" si="3"/>
        <v>0</v>
      </c>
      <c r="Q35" s="34"/>
    </row>
    <row r="36" spans="1:17" ht="30" x14ac:dyDescent="0.25">
      <c r="B36" s="43" t="s">
        <v>99</v>
      </c>
      <c r="C36" s="30" t="s">
        <v>100</v>
      </c>
      <c r="D36" s="31" t="s">
        <v>101</v>
      </c>
      <c r="E36" s="33">
        <v>40000</v>
      </c>
      <c r="F36" s="33">
        <v>40000</v>
      </c>
      <c r="G36" s="32">
        <f t="shared" si="0"/>
        <v>0</v>
      </c>
      <c r="H36" s="34"/>
      <c r="I36" s="33">
        <f>ROUND(F36,0)</f>
        <v>40000</v>
      </c>
      <c r="J36" s="32">
        <f t="shared" si="1"/>
        <v>0</v>
      </c>
      <c r="K36" s="34"/>
      <c r="L36" s="33">
        <f>ROUND(I36,0)</f>
        <v>40000</v>
      </c>
      <c r="M36" s="32">
        <f t="shared" si="2"/>
        <v>0</v>
      </c>
      <c r="N36" s="34"/>
      <c r="O36" s="33">
        <f>ROUND(L36,0)</f>
        <v>40000</v>
      </c>
      <c r="P36" s="32">
        <f t="shared" si="3"/>
        <v>0</v>
      </c>
      <c r="Q36" s="34"/>
    </row>
    <row r="37" spans="1:17" ht="15" customHeight="1" x14ac:dyDescent="0.25">
      <c r="B37" s="1" t="s">
        <v>102</v>
      </c>
      <c r="C37" s="36" t="s">
        <v>103</v>
      </c>
      <c r="D37" s="37" t="s">
        <v>104</v>
      </c>
      <c r="E37" s="39">
        <v>35728</v>
      </c>
      <c r="F37" s="39">
        <v>35728</v>
      </c>
      <c r="G37" s="38">
        <f t="shared" si="0"/>
        <v>0</v>
      </c>
      <c r="H37" s="40"/>
      <c r="I37" s="39">
        <f>I38+I39+I40</f>
        <v>35728</v>
      </c>
      <c r="J37" s="38">
        <f t="shared" si="1"/>
        <v>0</v>
      </c>
      <c r="K37" s="40"/>
      <c r="L37" s="39">
        <f>L38+L39+L40</f>
        <v>35728</v>
      </c>
      <c r="M37" s="38">
        <f t="shared" si="2"/>
        <v>0</v>
      </c>
      <c r="N37" s="40"/>
      <c r="O37" s="39">
        <f>O38+O39+O40</f>
        <v>35728</v>
      </c>
      <c r="P37" s="38">
        <f t="shared" si="3"/>
        <v>0</v>
      </c>
      <c r="Q37" s="40"/>
    </row>
    <row r="38" spans="1:17" ht="45.6" customHeight="1" x14ac:dyDescent="0.25">
      <c r="A38" s="1" t="s">
        <v>21</v>
      </c>
      <c r="B38" s="4" t="s">
        <v>105</v>
      </c>
      <c r="C38" s="30" t="s">
        <v>106</v>
      </c>
      <c r="D38" s="49" t="s">
        <v>107</v>
      </c>
      <c r="E38" s="33">
        <v>25728</v>
      </c>
      <c r="F38" s="33">
        <v>25728</v>
      </c>
      <c r="G38" s="32">
        <f t="shared" si="0"/>
        <v>0</v>
      </c>
      <c r="H38" s="35"/>
      <c r="I38" s="33">
        <f>ROUND(F38,0)</f>
        <v>25728</v>
      </c>
      <c r="J38" s="32">
        <f t="shared" si="1"/>
        <v>0</v>
      </c>
      <c r="K38" s="35"/>
      <c r="L38" s="33">
        <f>ROUND(I38,0)</f>
        <v>25728</v>
      </c>
      <c r="M38" s="32">
        <f t="shared" si="2"/>
        <v>0</v>
      </c>
      <c r="N38" s="35"/>
      <c r="O38" s="33">
        <f>ROUND(L38,0)</f>
        <v>25728</v>
      </c>
      <c r="P38" s="32">
        <f t="shared" si="3"/>
        <v>0</v>
      </c>
      <c r="Q38" s="35"/>
    </row>
    <row r="39" spans="1:17" ht="27.75" customHeight="1" x14ac:dyDescent="0.25">
      <c r="B39" s="1" t="s">
        <v>108</v>
      </c>
      <c r="C39" s="30" t="s">
        <v>109</v>
      </c>
      <c r="D39" s="31" t="s">
        <v>110</v>
      </c>
      <c r="E39" s="33">
        <v>0</v>
      </c>
      <c r="F39" s="33">
        <v>0</v>
      </c>
      <c r="G39" s="32">
        <f t="shared" si="0"/>
        <v>0</v>
      </c>
      <c r="H39" s="35"/>
      <c r="I39" s="33">
        <f>ROUND(F39,0)</f>
        <v>0</v>
      </c>
      <c r="J39" s="32">
        <f t="shared" si="1"/>
        <v>0</v>
      </c>
      <c r="K39" s="35"/>
      <c r="L39" s="33">
        <f>ROUND(I39,0)</f>
        <v>0</v>
      </c>
      <c r="M39" s="32">
        <f t="shared" si="2"/>
        <v>0</v>
      </c>
      <c r="N39" s="35"/>
      <c r="O39" s="33">
        <f>ROUND(L39,0)</f>
        <v>0</v>
      </c>
      <c r="P39" s="32">
        <f t="shared" si="3"/>
        <v>0</v>
      </c>
      <c r="Q39" s="35"/>
    </row>
    <row r="40" spans="1:17" x14ac:dyDescent="0.25">
      <c r="B40" s="1" t="s">
        <v>111</v>
      </c>
      <c r="C40" s="30" t="s">
        <v>112</v>
      </c>
      <c r="D40" s="31" t="s">
        <v>113</v>
      </c>
      <c r="E40" s="33">
        <v>10000</v>
      </c>
      <c r="F40" s="33">
        <v>10000</v>
      </c>
      <c r="G40" s="32">
        <f t="shared" si="0"/>
        <v>0</v>
      </c>
      <c r="H40" s="34"/>
      <c r="I40" s="33">
        <f>ROUND(F40,0)</f>
        <v>10000</v>
      </c>
      <c r="J40" s="32">
        <f t="shared" si="1"/>
        <v>0</v>
      </c>
      <c r="K40" s="34"/>
      <c r="L40" s="33">
        <f>ROUND(I40,0)</f>
        <v>10000</v>
      </c>
      <c r="M40" s="32">
        <f t="shared" si="2"/>
        <v>0</v>
      </c>
      <c r="N40" s="34"/>
      <c r="O40" s="33">
        <f>ROUND(L40,0)</f>
        <v>10000</v>
      </c>
      <c r="P40" s="32">
        <f t="shared" si="3"/>
        <v>0</v>
      </c>
      <c r="Q40" s="34"/>
    </row>
    <row r="41" spans="1:17" ht="30" customHeight="1" x14ac:dyDescent="0.25">
      <c r="B41" s="1" t="s">
        <v>114</v>
      </c>
      <c r="C41" s="50" t="s">
        <v>115</v>
      </c>
      <c r="D41" s="37" t="s">
        <v>116</v>
      </c>
      <c r="E41" s="39">
        <v>0</v>
      </c>
      <c r="F41" s="39">
        <v>0</v>
      </c>
      <c r="G41" s="38">
        <f t="shared" si="0"/>
        <v>0</v>
      </c>
      <c r="H41" s="48"/>
      <c r="I41" s="39">
        <f>ROUND(F41,0)</f>
        <v>0</v>
      </c>
      <c r="J41" s="38">
        <f t="shared" si="1"/>
        <v>0</v>
      </c>
      <c r="K41" s="48"/>
      <c r="L41" s="39">
        <f>ROUND(I41,0)</f>
        <v>0</v>
      </c>
      <c r="M41" s="38">
        <f t="shared" si="2"/>
        <v>0</v>
      </c>
      <c r="N41" s="48"/>
      <c r="O41" s="39">
        <f>ROUND(L41,0)+159278</f>
        <v>159278</v>
      </c>
      <c r="P41" s="38">
        <f t="shared" si="3"/>
        <v>159278</v>
      </c>
      <c r="Q41" s="48" t="s">
        <v>117</v>
      </c>
    </row>
    <row r="42" spans="1:17" ht="31.5" customHeight="1" x14ac:dyDescent="0.25">
      <c r="C42" s="50" t="s">
        <v>118</v>
      </c>
      <c r="D42" s="37" t="s">
        <v>119</v>
      </c>
      <c r="E42" s="39">
        <v>17618701</v>
      </c>
      <c r="F42" s="39">
        <v>17672389</v>
      </c>
      <c r="G42" s="38">
        <f t="shared" si="0"/>
        <v>53688</v>
      </c>
      <c r="H42" s="38"/>
      <c r="I42" s="39">
        <f>I43+I67+I87</f>
        <v>18762241</v>
      </c>
      <c r="J42" s="38">
        <f t="shared" si="1"/>
        <v>1089852</v>
      </c>
      <c r="K42" s="38"/>
      <c r="L42" s="39">
        <f>L43+L67+L87</f>
        <v>18904660</v>
      </c>
      <c r="M42" s="38">
        <f t="shared" si="2"/>
        <v>142419</v>
      </c>
      <c r="N42" s="38"/>
      <c r="O42" s="39">
        <f>O43+O67+O87</f>
        <v>18933391</v>
      </c>
      <c r="P42" s="38">
        <f t="shared" si="3"/>
        <v>28731</v>
      </c>
      <c r="Q42" s="38"/>
    </row>
    <row r="43" spans="1:17" ht="17.45" customHeight="1" x14ac:dyDescent="0.25">
      <c r="B43" s="29"/>
      <c r="C43" s="51" t="s">
        <v>120</v>
      </c>
      <c r="D43" s="52" t="s">
        <v>121</v>
      </c>
      <c r="E43" s="55">
        <v>9758404</v>
      </c>
      <c r="F43" s="55">
        <v>9781664</v>
      </c>
      <c r="G43" s="56">
        <f t="shared" si="0"/>
        <v>23260</v>
      </c>
      <c r="H43" s="56"/>
      <c r="I43" s="55">
        <f>SUM(I44:I47)+I50+SUM(I54:I66)</f>
        <v>9919247</v>
      </c>
      <c r="J43" s="56">
        <f t="shared" si="1"/>
        <v>137583</v>
      </c>
      <c r="K43" s="56"/>
      <c r="L43" s="55">
        <f>SUM(L44:L47)+L50+SUM(L54:L66)</f>
        <v>10023614</v>
      </c>
      <c r="M43" s="56">
        <f t="shared" si="2"/>
        <v>104367</v>
      </c>
      <c r="N43" s="56"/>
      <c r="O43" s="55">
        <f>SUM(O44:O47)+O50+SUM(O54:O66)</f>
        <v>10078697</v>
      </c>
      <c r="P43" s="56">
        <f t="shared" si="3"/>
        <v>55083</v>
      </c>
      <c r="Q43" s="56"/>
    </row>
    <row r="44" spans="1:17" ht="16.899999999999999" customHeight="1" x14ac:dyDescent="0.25">
      <c r="A44" s="1" t="s">
        <v>122</v>
      </c>
      <c r="B44" s="1" t="s">
        <v>123</v>
      </c>
      <c r="C44" s="45" t="s">
        <v>124</v>
      </c>
      <c r="D44" s="31" t="s">
        <v>125</v>
      </c>
      <c r="E44" s="33">
        <v>718764</v>
      </c>
      <c r="F44" s="33">
        <v>718764</v>
      </c>
      <c r="G44" s="32">
        <f t="shared" si="0"/>
        <v>0</v>
      </c>
      <c r="H44" s="35"/>
      <c r="I44" s="33">
        <f>ROUND(F44,0)</f>
        <v>718764</v>
      </c>
      <c r="J44" s="32">
        <f t="shared" si="1"/>
        <v>0</v>
      </c>
      <c r="K44" s="35"/>
      <c r="L44" s="33">
        <f>ROUND(I44,0)</f>
        <v>718764</v>
      </c>
      <c r="M44" s="32">
        <f t="shared" si="2"/>
        <v>0</v>
      </c>
      <c r="N44" s="35"/>
      <c r="O44" s="33">
        <f>ROUND(L44,0)</f>
        <v>718764</v>
      </c>
      <c r="P44" s="32">
        <f t="shared" si="3"/>
        <v>0</v>
      </c>
      <c r="Q44" s="35"/>
    </row>
    <row r="45" spans="1:17" ht="13.9" customHeight="1" x14ac:dyDescent="0.25">
      <c r="A45" s="1" t="s">
        <v>122</v>
      </c>
      <c r="B45" s="43" t="s">
        <v>126</v>
      </c>
      <c r="C45" s="45" t="s">
        <v>127</v>
      </c>
      <c r="D45" s="31" t="s">
        <v>128</v>
      </c>
      <c r="E45" s="33">
        <v>313180</v>
      </c>
      <c r="F45" s="33">
        <v>313180</v>
      </c>
      <c r="G45" s="32">
        <f t="shared" si="0"/>
        <v>0</v>
      </c>
      <c r="H45" s="34"/>
      <c r="I45" s="33">
        <f>ROUND(F45,0)</f>
        <v>313180</v>
      </c>
      <c r="J45" s="32">
        <f t="shared" si="1"/>
        <v>0</v>
      </c>
      <c r="K45" s="34"/>
      <c r="L45" s="33">
        <f>ROUND(I45,0)</f>
        <v>313180</v>
      </c>
      <c r="M45" s="32">
        <f t="shared" si="2"/>
        <v>0</v>
      </c>
      <c r="N45" s="34"/>
      <c r="O45" s="33">
        <f>ROUND(L45,0)</f>
        <v>313180</v>
      </c>
      <c r="P45" s="32">
        <f t="shared" si="3"/>
        <v>0</v>
      </c>
      <c r="Q45" s="34"/>
    </row>
    <row r="46" spans="1:17" x14ac:dyDescent="0.25">
      <c r="B46" s="43" t="s">
        <v>129</v>
      </c>
      <c r="C46" s="45" t="s">
        <v>130</v>
      </c>
      <c r="D46" s="31" t="s">
        <v>131</v>
      </c>
      <c r="E46" s="33">
        <v>341692</v>
      </c>
      <c r="F46" s="33">
        <v>341692</v>
      </c>
      <c r="G46" s="32">
        <f t="shared" si="0"/>
        <v>0</v>
      </c>
      <c r="H46" s="35"/>
      <c r="I46" s="33">
        <f>ROUND(F46,0)</f>
        <v>341692</v>
      </c>
      <c r="J46" s="32">
        <f t="shared" si="1"/>
        <v>0</v>
      </c>
      <c r="K46" s="35"/>
      <c r="L46" s="33">
        <f>ROUND(I46,0)</f>
        <v>341692</v>
      </c>
      <c r="M46" s="32">
        <f t="shared" si="2"/>
        <v>0</v>
      </c>
      <c r="N46" s="35"/>
      <c r="O46" s="33">
        <f>ROUND(L46,0)</f>
        <v>341692</v>
      </c>
      <c r="P46" s="32">
        <f t="shared" si="3"/>
        <v>0</v>
      </c>
      <c r="Q46" s="35"/>
    </row>
    <row r="47" spans="1:17" ht="14.25" customHeight="1" x14ac:dyDescent="0.25">
      <c r="A47" s="1" t="s">
        <v>122</v>
      </c>
      <c r="B47" s="43" t="s">
        <v>132</v>
      </c>
      <c r="C47" s="45" t="s">
        <v>133</v>
      </c>
      <c r="D47" s="31" t="s">
        <v>134</v>
      </c>
      <c r="E47" s="32">
        <v>0</v>
      </c>
      <c r="F47" s="33">
        <v>0</v>
      </c>
      <c r="G47" s="32">
        <f t="shared" si="0"/>
        <v>0</v>
      </c>
      <c r="H47" s="32"/>
      <c r="I47" s="33">
        <f>I48+I49</f>
        <v>117542</v>
      </c>
      <c r="J47" s="32">
        <f t="shared" si="1"/>
        <v>117542</v>
      </c>
      <c r="K47" s="32"/>
      <c r="L47" s="33">
        <f>L48+L49</f>
        <v>117542</v>
      </c>
      <c r="M47" s="32">
        <f t="shared" si="2"/>
        <v>0</v>
      </c>
      <c r="N47" s="32"/>
      <c r="O47" s="33">
        <f>O48+O49</f>
        <v>117542</v>
      </c>
      <c r="P47" s="32">
        <f t="shared" si="3"/>
        <v>0</v>
      </c>
      <c r="Q47" s="32"/>
    </row>
    <row r="48" spans="1:17" ht="14.25" customHeight="1" x14ac:dyDescent="0.25">
      <c r="B48" s="43"/>
      <c r="C48" s="45" t="s">
        <v>135</v>
      </c>
      <c r="D48" s="46" t="s">
        <v>136</v>
      </c>
      <c r="E48" s="33">
        <v>0</v>
      </c>
      <c r="F48" s="33">
        <v>0</v>
      </c>
      <c r="G48" s="32">
        <f t="shared" si="0"/>
        <v>0</v>
      </c>
      <c r="H48" s="35"/>
      <c r="I48" s="33">
        <f>ROUND(F48,0)+117542</f>
        <v>117542</v>
      </c>
      <c r="J48" s="32">
        <f t="shared" si="1"/>
        <v>117542</v>
      </c>
      <c r="K48" s="35" t="s">
        <v>137</v>
      </c>
      <c r="L48" s="33">
        <f>ROUND(I48,0)</f>
        <v>117542</v>
      </c>
      <c r="M48" s="32">
        <f t="shared" si="2"/>
        <v>0</v>
      </c>
      <c r="N48" s="35"/>
      <c r="O48" s="33">
        <f>ROUND(L48,0)</f>
        <v>117542</v>
      </c>
      <c r="P48" s="32">
        <f t="shared" si="3"/>
        <v>0</v>
      </c>
      <c r="Q48" s="35"/>
    </row>
    <row r="49" spans="1:17" ht="29.45" customHeight="1" x14ac:dyDescent="0.25">
      <c r="B49" s="43"/>
      <c r="C49" s="45" t="s">
        <v>138</v>
      </c>
      <c r="D49" s="46" t="s">
        <v>139</v>
      </c>
      <c r="E49" s="33">
        <v>0</v>
      </c>
      <c r="F49" s="33">
        <v>0</v>
      </c>
      <c r="G49" s="32">
        <f t="shared" si="0"/>
        <v>0</v>
      </c>
      <c r="H49" s="35"/>
      <c r="I49" s="33">
        <f>ROUND(F49,0)</f>
        <v>0</v>
      </c>
      <c r="J49" s="32">
        <f t="shared" si="1"/>
        <v>0</v>
      </c>
      <c r="K49" s="35"/>
      <c r="L49" s="33">
        <f>ROUND(I49,0)</f>
        <v>0</v>
      </c>
      <c r="M49" s="32">
        <f t="shared" si="2"/>
        <v>0</v>
      </c>
      <c r="N49" s="35"/>
      <c r="O49" s="33">
        <f>ROUND(L49,0)</f>
        <v>0</v>
      </c>
      <c r="P49" s="32">
        <f t="shared" si="3"/>
        <v>0</v>
      </c>
      <c r="Q49" s="35"/>
    </row>
    <row r="50" spans="1:17" ht="13.9" customHeight="1" x14ac:dyDescent="0.25">
      <c r="B50" s="1" t="s">
        <v>140</v>
      </c>
      <c r="C50" s="45" t="s">
        <v>141</v>
      </c>
      <c r="D50" s="31" t="s">
        <v>142</v>
      </c>
      <c r="E50" s="58">
        <v>7121916</v>
      </c>
      <c r="F50" s="58">
        <v>7137676</v>
      </c>
      <c r="G50" s="57">
        <f t="shared" si="0"/>
        <v>15760</v>
      </c>
      <c r="H50" s="59"/>
      <c r="I50" s="58">
        <f>I51+I52+I53</f>
        <v>7137676</v>
      </c>
      <c r="J50" s="57">
        <f t="shared" si="1"/>
        <v>0</v>
      </c>
      <c r="K50" s="59"/>
      <c r="L50" s="58">
        <f>L51+L52+L53</f>
        <v>7137676</v>
      </c>
      <c r="M50" s="57">
        <f t="shared" si="2"/>
        <v>0</v>
      </c>
      <c r="N50" s="59"/>
      <c r="O50" s="58">
        <f>O51+O52+O53</f>
        <v>7137676</v>
      </c>
      <c r="P50" s="57">
        <f t="shared" si="3"/>
        <v>0</v>
      </c>
      <c r="Q50" s="59"/>
    </row>
    <row r="51" spans="1:17" s="63" customFormat="1" x14ac:dyDescent="0.25">
      <c r="A51" s="1" t="s">
        <v>122</v>
      </c>
      <c r="B51" s="43" t="s">
        <v>143</v>
      </c>
      <c r="C51" s="45" t="s">
        <v>144</v>
      </c>
      <c r="D51" s="46" t="s">
        <v>145</v>
      </c>
      <c r="E51" s="61">
        <v>1065868</v>
      </c>
      <c r="F51" s="61">
        <v>1065868</v>
      </c>
      <c r="G51" s="60">
        <f t="shared" si="0"/>
        <v>0</v>
      </c>
      <c r="H51" s="62"/>
      <c r="I51" s="61">
        <f t="shared" ref="I51:I64" si="7">ROUND(F51,0)</f>
        <v>1065868</v>
      </c>
      <c r="J51" s="60">
        <f t="shared" si="1"/>
        <v>0</v>
      </c>
      <c r="K51" s="62"/>
      <c r="L51" s="61">
        <f t="shared" ref="L51:L64" si="8">ROUND(I51,0)</f>
        <v>1065868</v>
      </c>
      <c r="M51" s="60">
        <f t="shared" si="2"/>
        <v>0</v>
      </c>
      <c r="N51" s="62"/>
      <c r="O51" s="61">
        <f t="shared" ref="O51:O64" si="9">ROUND(L51,0)</f>
        <v>1065868</v>
      </c>
      <c r="P51" s="60">
        <f t="shared" si="3"/>
        <v>0</v>
      </c>
      <c r="Q51" s="62"/>
    </row>
    <row r="52" spans="1:17" s="63" customFormat="1" x14ac:dyDescent="0.25">
      <c r="A52" s="1" t="s">
        <v>122</v>
      </c>
      <c r="B52" s="43" t="s">
        <v>146</v>
      </c>
      <c r="C52" s="45" t="s">
        <v>147</v>
      </c>
      <c r="D52" s="46" t="s">
        <v>148</v>
      </c>
      <c r="E52" s="61">
        <v>5542646</v>
      </c>
      <c r="F52" s="61">
        <v>5542646</v>
      </c>
      <c r="G52" s="60">
        <f t="shared" si="0"/>
        <v>0</v>
      </c>
      <c r="H52" s="62"/>
      <c r="I52" s="61">
        <f t="shared" si="7"/>
        <v>5542646</v>
      </c>
      <c r="J52" s="60">
        <f t="shared" si="1"/>
        <v>0</v>
      </c>
      <c r="K52" s="62"/>
      <c r="L52" s="61">
        <f t="shared" si="8"/>
        <v>5542646</v>
      </c>
      <c r="M52" s="60">
        <f t="shared" si="2"/>
        <v>0</v>
      </c>
      <c r="N52" s="62"/>
      <c r="O52" s="61">
        <f t="shared" si="9"/>
        <v>5542646</v>
      </c>
      <c r="P52" s="60">
        <f t="shared" si="3"/>
        <v>0</v>
      </c>
      <c r="Q52" s="62"/>
    </row>
    <row r="53" spans="1:17" s="63" customFormat="1" ht="18" customHeight="1" x14ac:dyDescent="0.25">
      <c r="A53" s="1" t="s">
        <v>122</v>
      </c>
      <c r="B53" s="1"/>
      <c r="C53" s="45" t="s">
        <v>149</v>
      </c>
      <c r="D53" s="46" t="s">
        <v>150</v>
      </c>
      <c r="E53" s="61">
        <v>513402</v>
      </c>
      <c r="F53" s="61">
        <v>529162</v>
      </c>
      <c r="G53" s="60">
        <f t="shared" si="0"/>
        <v>15760</v>
      </c>
      <c r="H53" s="62" t="s">
        <v>151</v>
      </c>
      <c r="I53" s="61">
        <f t="shared" si="7"/>
        <v>529162</v>
      </c>
      <c r="J53" s="60">
        <f t="shared" si="1"/>
        <v>0</v>
      </c>
      <c r="K53" s="62"/>
      <c r="L53" s="61">
        <f t="shared" si="8"/>
        <v>529162</v>
      </c>
      <c r="M53" s="60">
        <f t="shared" si="2"/>
        <v>0</v>
      </c>
      <c r="N53" s="62"/>
      <c r="O53" s="61">
        <f t="shared" si="9"/>
        <v>529162</v>
      </c>
      <c r="P53" s="60">
        <f t="shared" si="3"/>
        <v>0</v>
      </c>
      <c r="Q53" s="62"/>
    </row>
    <row r="54" spans="1:17" ht="31.5" customHeight="1" x14ac:dyDescent="0.25">
      <c r="A54" s="1" t="s">
        <v>122</v>
      </c>
      <c r="B54" s="1" t="s">
        <v>152</v>
      </c>
      <c r="C54" s="45" t="s">
        <v>153</v>
      </c>
      <c r="D54" s="31" t="s">
        <v>154</v>
      </c>
      <c r="E54" s="33">
        <v>26360</v>
      </c>
      <c r="F54" s="33">
        <v>26360</v>
      </c>
      <c r="G54" s="32">
        <f t="shared" si="0"/>
        <v>0</v>
      </c>
      <c r="H54" s="41"/>
      <c r="I54" s="33">
        <f t="shared" si="7"/>
        <v>26360</v>
      </c>
      <c r="J54" s="32">
        <f t="shared" si="1"/>
        <v>0</v>
      </c>
      <c r="K54" s="41"/>
      <c r="L54" s="33">
        <f t="shared" si="8"/>
        <v>26360</v>
      </c>
      <c r="M54" s="32">
        <f t="shared" si="2"/>
        <v>0</v>
      </c>
      <c r="N54" s="41"/>
      <c r="O54" s="33">
        <f t="shared" si="9"/>
        <v>26360</v>
      </c>
      <c r="P54" s="32">
        <f t="shared" si="3"/>
        <v>0</v>
      </c>
      <c r="Q54" s="41"/>
    </row>
    <row r="55" spans="1:17" ht="19.149999999999999" customHeight="1" x14ac:dyDescent="0.25">
      <c r="A55" s="1" t="s">
        <v>122</v>
      </c>
      <c r="B55" s="43" t="s">
        <v>155</v>
      </c>
      <c r="C55" s="45" t="s">
        <v>156</v>
      </c>
      <c r="D55" s="31" t="s">
        <v>157</v>
      </c>
      <c r="E55" s="33">
        <v>37535</v>
      </c>
      <c r="F55" s="33">
        <v>37535</v>
      </c>
      <c r="G55" s="32">
        <f t="shared" si="0"/>
        <v>0</v>
      </c>
      <c r="H55" s="34"/>
      <c r="I55" s="33">
        <f t="shared" si="7"/>
        <v>37535</v>
      </c>
      <c r="J55" s="32">
        <f t="shared" si="1"/>
        <v>0</v>
      </c>
      <c r="K55" s="34"/>
      <c r="L55" s="33">
        <f t="shared" si="8"/>
        <v>37535</v>
      </c>
      <c r="M55" s="32">
        <f t="shared" si="2"/>
        <v>0</v>
      </c>
      <c r="N55" s="34"/>
      <c r="O55" s="33">
        <f t="shared" si="9"/>
        <v>37535</v>
      </c>
      <c r="P55" s="32">
        <f t="shared" si="3"/>
        <v>0</v>
      </c>
      <c r="Q55" s="34"/>
    </row>
    <row r="56" spans="1:17" ht="19.149999999999999" customHeight="1" x14ac:dyDescent="0.25">
      <c r="B56" s="43" t="s">
        <v>155</v>
      </c>
      <c r="C56" s="45" t="s">
        <v>158</v>
      </c>
      <c r="D56" s="31" t="s">
        <v>159</v>
      </c>
      <c r="E56" s="33">
        <v>11142</v>
      </c>
      <c r="F56" s="33">
        <v>11142</v>
      </c>
      <c r="G56" s="32">
        <f t="shared" si="0"/>
        <v>0</v>
      </c>
      <c r="H56" s="34"/>
      <c r="I56" s="33">
        <f t="shared" si="7"/>
        <v>11142</v>
      </c>
      <c r="J56" s="32">
        <f t="shared" si="1"/>
        <v>0</v>
      </c>
      <c r="K56" s="34"/>
      <c r="L56" s="33">
        <f t="shared" si="8"/>
        <v>11142</v>
      </c>
      <c r="M56" s="32">
        <f t="shared" si="2"/>
        <v>0</v>
      </c>
      <c r="N56" s="34"/>
      <c r="O56" s="33">
        <f t="shared" si="9"/>
        <v>11142</v>
      </c>
      <c r="P56" s="32">
        <f t="shared" si="3"/>
        <v>0</v>
      </c>
      <c r="Q56" s="34"/>
    </row>
    <row r="57" spans="1:17" ht="30.6" customHeight="1" x14ac:dyDescent="0.25">
      <c r="B57" s="1" t="s">
        <v>160</v>
      </c>
      <c r="C57" s="45" t="s">
        <v>161</v>
      </c>
      <c r="D57" s="31" t="s">
        <v>162</v>
      </c>
      <c r="E57" s="33">
        <v>580000</v>
      </c>
      <c r="F57" s="33">
        <v>580000</v>
      </c>
      <c r="G57" s="32">
        <f t="shared" si="0"/>
        <v>0</v>
      </c>
      <c r="H57" s="35"/>
      <c r="I57" s="33">
        <f t="shared" si="7"/>
        <v>580000</v>
      </c>
      <c r="J57" s="32">
        <f t="shared" si="1"/>
        <v>0</v>
      </c>
      <c r="K57" s="35"/>
      <c r="L57" s="33">
        <f t="shared" si="8"/>
        <v>580000</v>
      </c>
      <c r="M57" s="32">
        <f t="shared" si="2"/>
        <v>0</v>
      </c>
      <c r="N57" s="35"/>
      <c r="O57" s="33">
        <f t="shared" si="9"/>
        <v>580000</v>
      </c>
      <c r="P57" s="32">
        <f t="shared" si="3"/>
        <v>0</v>
      </c>
      <c r="Q57" s="35"/>
    </row>
    <row r="58" spans="1:17" ht="31.5" customHeight="1" x14ac:dyDescent="0.25">
      <c r="C58" s="45" t="s">
        <v>163</v>
      </c>
      <c r="D58" s="31" t="s">
        <v>164</v>
      </c>
      <c r="E58" s="33">
        <v>0</v>
      </c>
      <c r="F58" s="33">
        <v>0</v>
      </c>
      <c r="G58" s="32">
        <f t="shared" si="0"/>
        <v>0</v>
      </c>
      <c r="H58" s="34"/>
      <c r="I58" s="33">
        <f t="shared" si="7"/>
        <v>0</v>
      </c>
      <c r="J58" s="32">
        <f t="shared" si="1"/>
        <v>0</v>
      </c>
      <c r="K58" s="34"/>
      <c r="L58" s="33">
        <f t="shared" si="8"/>
        <v>0</v>
      </c>
      <c r="M58" s="32">
        <f t="shared" si="2"/>
        <v>0</v>
      </c>
      <c r="N58" s="34"/>
      <c r="O58" s="33">
        <f t="shared" si="9"/>
        <v>0</v>
      </c>
      <c r="P58" s="32">
        <f t="shared" si="3"/>
        <v>0</v>
      </c>
      <c r="Q58" s="34"/>
    </row>
    <row r="59" spans="1:17" ht="31.5" customHeight="1" x14ac:dyDescent="0.25">
      <c r="C59" s="45"/>
      <c r="D59" s="31" t="s">
        <v>165</v>
      </c>
      <c r="E59" s="33">
        <v>0</v>
      </c>
      <c r="F59" s="33">
        <v>0</v>
      </c>
      <c r="G59" s="32">
        <f t="shared" si="0"/>
        <v>0</v>
      </c>
      <c r="H59" s="34"/>
      <c r="I59" s="33">
        <f t="shared" si="7"/>
        <v>0</v>
      </c>
      <c r="J59" s="32">
        <f t="shared" si="1"/>
        <v>0</v>
      </c>
      <c r="K59" s="34"/>
      <c r="L59" s="33">
        <f t="shared" si="8"/>
        <v>0</v>
      </c>
      <c r="M59" s="32">
        <f t="shared" si="2"/>
        <v>0</v>
      </c>
      <c r="N59" s="34"/>
      <c r="O59" s="33">
        <f t="shared" si="9"/>
        <v>0</v>
      </c>
      <c r="P59" s="32">
        <f t="shared" si="3"/>
        <v>0</v>
      </c>
      <c r="Q59" s="34"/>
    </row>
    <row r="60" spans="1:17" ht="28.15" customHeight="1" x14ac:dyDescent="0.25">
      <c r="B60" s="64" t="s">
        <v>166</v>
      </c>
      <c r="C60" s="45" t="s">
        <v>167</v>
      </c>
      <c r="D60" s="65" t="s">
        <v>168</v>
      </c>
      <c r="E60" s="33">
        <v>406576</v>
      </c>
      <c r="F60" s="33">
        <v>406576</v>
      </c>
      <c r="G60" s="32">
        <f t="shared" si="0"/>
        <v>0</v>
      </c>
      <c r="H60" s="35"/>
      <c r="I60" s="33">
        <f t="shared" si="7"/>
        <v>406576</v>
      </c>
      <c r="J60" s="32">
        <f t="shared" si="1"/>
        <v>0</v>
      </c>
      <c r="K60" s="35"/>
      <c r="L60" s="33">
        <f t="shared" si="8"/>
        <v>406576</v>
      </c>
      <c r="M60" s="32">
        <f t="shared" si="2"/>
        <v>0</v>
      </c>
      <c r="N60" s="35"/>
      <c r="O60" s="33">
        <f t="shared" si="9"/>
        <v>406576</v>
      </c>
      <c r="P60" s="32">
        <f t="shared" si="3"/>
        <v>0</v>
      </c>
      <c r="Q60" s="35"/>
    </row>
    <row r="61" spans="1:17" ht="58.9" customHeight="1" x14ac:dyDescent="0.25">
      <c r="C61" s="45"/>
      <c r="D61" s="31" t="s">
        <v>169</v>
      </c>
      <c r="E61" s="33">
        <v>0</v>
      </c>
      <c r="F61" s="33">
        <v>0</v>
      </c>
      <c r="G61" s="32">
        <f t="shared" si="0"/>
        <v>0</v>
      </c>
      <c r="H61" s="35"/>
      <c r="I61" s="33">
        <f t="shared" si="7"/>
        <v>0</v>
      </c>
      <c r="J61" s="32">
        <f t="shared" si="1"/>
        <v>0</v>
      </c>
      <c r="K61" s="35"/>
      <c r="L61" s="33">
        <f t="shared" si="8"/>
        <v>0</v>
      </c>
      <c r="M61" s="32">
        <f t="shared" si="2"/>
        <v>0</v>
      </c>
      <c r="N61" s="35"/>
      <c r="O61" s="33">
        <f t="shared" si="9"/>
        <v>0</v>
      </c>
      <c r="P61" s="32">
        <f t="shared" si="3"/>
        <v>0</v>
      </c>
      <c r="Q61" s="35"/>
    </row>
    <row r="62" spans="1:17" ht="33.75" customHeight="1" x14ac:dyDescent="0.25">
      <c r="B62" s="1" t="s">
        <v>170</v>
      </c>
      <c r="C62" s="45" t="s">
        <v>171</v>
      </c>
      <c r="D62" s="31" t="s">
        <v>172</v>
      </c>
      <c r="E62" s="33">
        <v>70000</v>
      </c>
      <c r="F62" s="33">
        <v>70000</v>
      </c>
      <c r="G62" s="32">
        <f t="shared" si="0"/>
        <v>0</v>
      </c>
      <c r="H62" s="35"/>
      <c r="I62" s="33">
        <f t="shared" si="7"/>
        <v>70000</v>
      </c>
      <c r="J62" s="32">
        <f t="shared" si="1"/>
        <v>0</v>
      </c>
      <c r="K62" s="35"/>
      <c r="L62" s="33">
        <f t="shared" si="8"/>
        <v>70000</v>
      </c>
      <c r="M62" s="32">
        <f t="shared" si="2"/>
        <v>0</v>
      </c>
      <c r="N62" s="35"/>
      <c r="O62" s="33">
        <f t="shared" si="9"/>
        <v>70000</v>
      </c>
      <c r="P62" s="32">
        <f t="shared" si="3"/>
        <v>0</v>
      </c>
      <c r="Q62" s="35"/>
    </row>
    <row r="63" spans="1:17" ht="17.45" customHeight="1" x14ac:dyDescent="0.25">
      <c r="B63" s="1" t="s">
        <v>140</v>
      </c>
      <c r="C63" s="45" t="s">
        <v>173</v>
      </c>
      <c r="D63" s="31" t="s">
        <v>174</v>
      </c>
      <c r="E63" s="33">
        <v>0</v>
      </c>
      <c r="F63" s="33">
        <v>0</v>
      </c>
      <c r="G63" s="32">
        <f t="shared" si="0"/>
        <v>0</v>
      </c>
      <c r="H63" s="35"/>
      <c r="I63" s="33">
        <f t="shared" si="7"/>
        <v>0</v>
      </c>
      <c r="J63" s="32">
        <f t="shared" si="1"/>
        <v>0</v>
      </c>
      <c r="K63" s="35"/>
      <c r="L63" s="33">
        <f t="shared" si="8"/>
        <v>0</v>
      </c>
      <c r="M63" s="32">
        <f t="shared" si="2"/>
        <v>0</v>
      </c>
      <c r="N63" s="35"/>
      <c r="O63" s="33">
        <f t="shared" si="9"/>
        <v>0</v>
      </c>
      <c r="P63" s="32">
        <f t="shared" si="3"/>
        <v>0</v>
      </c>
      <c r="Q63" s="35"/>
    </row>
    <row r="64" spans="1:17" x14ac:dyDescent="0.25">
      <c r="A64" s="1" t="s">
        <v>122</v>
      </c>
      <c r="B64" s="43" t="s">
        <v>175</v>
      </c>
      <c r="C64" s="45" t="s">
        <v>176</v>
      </c>
      <c r="D64" s="67" t="s">
        <v>177</v>
      </c>
      <c r="E64" s="33">
        <v>12607</v>
      </c>
      <c r="F64" s="33">
        <v>12607</v>
      </c>
      <c r="G64" s="32">
        <f t="shared" si="0"/>
        <v>0</v>
      </c>
      <c r="H64" s="68"/>
      <c r="I64" s="33">
        <f t="shared" si="7"/>
        <v>12607</v>
      </c>
      <c r="J64" s="32">
        <f t="shared" si="1"/>
        <v>0</v>
      </c>
      <c r="K64" s="68"/>
      <c r="L64" s="33">
        <f t="shared" si="8"/>
        <v>12607</v>
      </c>
      <c r="M64" s="32">
        <f t="shared" si="2"/>
        <v>0</v>
      </c>
      <c r="N64" s="68"/>
      <c r="O64" s="33">
        <f t="shared" si="9"/>
        <v>12607</v>
      </c>
      <c r="P64" s="32">
        <f t="shared" si="3"/>
        <v>0</v>
      </c>
      <c r="Q64" s="68"/>
    </row>
    <row r="65" spans="1:17" x14ac:dyDescent="0.25">
      <c r="B65" s="43"/>
      <c r="C65" s="45" t="s">
        <v>180</v>
      </c>
      <c r="D65" s="67" t="s">
        <v>221</v>
      </c>
      <c r="E65" s="33"/>
      <c r="F65" s="33"/>
      <c r="G65" s="32"/>
      <c r="H65" s="68"/>
      <c r="I65" s="33"/>
      <c r="J65" s="32"/>
      <c r="K65" s="68"/>
      <c r="L65" s="33"/>
      <c r="M65" s="32"/>
      <c r="N65" s="68"/>
      <c r="O65" s="33">
        <f>ROUND(L65,0)+38052</f>
        <v>38052</v>
      </c>
      <c r="P65" s="32">
        <f t="shared" si="3"/>
        <v>38052</v>
      </c>
      <c r="Q65" s="68" t="s">
        <v>1099</v>
      </c>
    </row>
    <row r="66" spans="1:17" ht="75" customHeight="1" x14ac:dyDescent="0.25">
      <c r="A66" s="64" t="s">
        <v>178</v>
      </c>
      <c r="B66" s="1" t="s">
        <v>179</v>
      </c>
      <c r="C66" s="45" t="s">
        <v>1098</v>
      </c>
      <c r="D66" s="31" t="s">
        <v>181</v>
      </c>
      <c r="E66" s="33">
        <v>118632</v>
      </c>
      <c r="F66" s="33">
        <v>126132</v>
      </c>
      <c r="G66" s="32">
        <f t="shared" si="0"/>
        <v>7500</v>
      </c>
      <c r="H66" s="68" t="s">
        <v>182</v>
      </c>
      <c r="I66" s="33">
        <f>ROUND(F66,0)+15586+4455</f>
        <v>146173</v>
      </c>
      <c r="J66" s="32">
        <f t="shared" si="1"/>
        <v>20041</v>
      </c>
      <c r="K66" s="68" t="s">
        <v>183</v>
      </c>
      <c r="L66" s="33">
        <f>ROUND(I66,0)+35581+8781+38003+5643+16359</f>
        <v>250540</v>
      </c>
      <c r="M66" s="32">
        <f t="shared" si="2"/>
        <v>104367</v>
      </c>
      <c r="N66" s="68" t="s">
        <v>184</v>
      </c>
      <c r="O66" s="33">
        <f>ROUND(L66,0)+14838+2193</f>
        <v>267571</v>
      </c>
      <c r="P66" s="32">
        <f t="shared" si="3"/>
        <v>17031</v>
      </c>
      <c r="Q66" s="68" t="s">
        <v>185</v>
      </c>
    </row>
    <row r="67" spans="1:17" ht="33" customHeight="1" x14ac:dyDescent="0.25">
      <c r="C67" s="51" t="s">
        <v>186</v>
      </c>
      <c r="D67" s="52" t="s">
        <v>187</v>
      </c>
      <c r="E67" s="54">
        <v>7860297</v>
      </c>
      <c r="F67" s="54">
        <v>7890725</v>
      </c>
      <c r="G67" s="54">
        <f t="shared" ref="G67:N67" si="10">SUM(G68:G86)</f>
        <v>30428</v>
      </c>
      <c r="H67" s="54">
        <f t="shared" si="10"/>
        <v>0</v>
      </c>
      <c r="I67" s="54">
        <f t="shared" si="10"/>
        <v>7890725</v>
      </c>
      <c r="J67" s="54">
        <f t="shared" si="10"/>
        <v>0</v>
      </c>
      <c r="K67" s="54">
        <f t="shared" si="10"/>
        <v>0</v>
      </c>
      <c r="L67" s="54">
        <f t="shared" si="10"/>
        <v>7928777</v>
      </c>
      <c r="M67" s="54">
        <f t="shared" si="10"/>
        <v>38052</v>
      </c>
      <c r="N67" s="54">
        <f t="shared" si="10"/>
        <v>0</v>
      </c>
      <c r="O67" s="54">
        <f>SUM(O68:O86)</f>
        <v>7902425</v>
      </c>
      <c r="P67" s="53">
        <f t="shared" si="3"/>
        <v>-26352</v>
      </c>
      <c r="Q67" s="69"/>
    </row>
    <row r="68" spans="1:17" x14ac:dyDescent="0.25">
      <c r="A68" s="1" t="s">
        <v>188</v>
      </c>
      <c r="B68" s="1" t="s">
        <v>189</v>
      </c>
      <c r="C68" s="45" t="s">
        <v>190</v>
      </c>
      <c r="D68" s="67" t="s">
        <v>191</v>
      </c>
      <c r="E68" s="33">
        <v>0</v>
      </c>
      <c r="F68" s="33">
        <v>0</v>
      </c>
      <c r="G68" s="32">
        <f t="shared" si="0"/>
        <v>0</v>
      </c>
      <c r="H68" s="42"/>
      <c r="I68" s="33">
        <f t="shared" ref="I68:I84" si="11">ROUND(F68,0)</f>
        <v>0</v>
      </c>
      <c r="J68" s="32">
        <f t="shared" si="1"/>
        <v>0</v>
      </c>
      <c r="K68" s="42"/>
      <c r="L68" s="33">
        <f t="shared" ref="L68:L84" si="12">ROUND(I68,0)</f>
        <v>0</v>
      </c>
      <c r="M68" s="32">
        <f t="shared" si="2"/>
        <v>0</v>
      </c>
      <c r="N68" s="42"/>
      <c r="O68" s="33">
        <f t="shared" ref="O68:O87" si="13">ROUND(L68,0)</f>
        <v>0</v>
      </c>
      <c r="P68" s="32">
        <f t="shared" si="3"/>
        <v>0</v>
      </c>
      <c r="Q68" s="42"/>
    </row>
    <row r="69" spans="1:17" ht="28.5" customHeight="1" x14ac:dyDescent="0.25">
      <c r="B69" s="64" t="s">
        <v>192</v>
      </c>
      <c r="C69" s="45" t="s">
        <v>193</v>
      </c>
      <c r="D69" s="70" t="s">
        <v>194</v>
      </c>
      <c r="E69" s="33">
        <v>0</v>
      </c>
      <c r="F69" s="33">
        <v>0</v>
      </c>
      <c r="G69" s="32">
        <f t="shared" si="0"/>
        <v>0</v>
      </c>
      <c r="H69" s="35"/>
      <c r="I69" s="33">
        <f t="shared" si="11"/>
        <v>0</v>
      </c>
      <c r="J69" s="32">
        <f t="shared" si="1"/>
        <v>0</v>
      </c>
      <c r="K69" s="35"/>
      <c r="L69" s="33">
        <f t="shared" si="12"/>
        <v>0</v>
      </c>
      <c r="M69" s="32">
        <f t="shared" si="2"/>
        <v>0</v>
      </c>
      <c r="N69" s="35"/>
      <c r="O69" s="33">
        <f t="shared" si="13"/>
        <v>0</v>
      </c>
      <c r="P69" s="32">
        <f t="shared" si="3"/>
        <v>0</v>
      </c>
      <c r="Q69" s="35"/>
    </row>
    <row r="70" spans="1:17" ht="30" customHeight="1" x14ac:dyDescent="0.25">
      <c r="B70" s="1" t="s">
        <v>195</v>
      </c>
      <c r="C70" s="45" t="s">
        <v>196</v>
      </c>
      <c r="D70" s="70" t="s">
        <v>197</v>
      </c>
      <c r="E70" s="33">
        <v>638646</v>
      </c>
      <c r="F70" s="33">
        <v>638646</v>
      </c>
      <c r="G70" s="32">
        <f t="shared" si="0"/>
        <v>0</v>
      </c>
      <c r="H70" s="42"/>
      <c r="I70" s="33">
        <f t="shared" si="11"/>
        <v>638646</v>
      </c>
      <c r="J70" s="32">
        <f t="shared" si="1"/>
        <v>0</v>
      </c>
      <c r="K70" s="42"/>
      <c r="L70" s="33">
        <f t="shared" si="12"/>
        <v>638646</v>
      </c>
      <c r="M70" s="32">
        <f t="shared" si="2"/>
        <v>0</v>
      </c>
      <c r="N70" s="42"/>
      <c r="O70" s="33">
        <f t="shared" si="13"/>
        <v>638646</v>
      </c>
      <c r="P70" s="32">
        <f t="shared" si="3"/>
        <v>0</v>
      </c>
      <c r="Q70" s="42"/>
    </row>
    <row r="71" spans="1:17" ht="30" x14ac:dyDescent="0.25">
      <c r="B71" s="1" t="s">
        <v>198</v>
      </c>
      <c r="C71" s="45" t="s">
        <v>190</v>
      </c>
      <c r="D71" s="70" t="s">
        <v>199</v>
      </c>
      <c r="E71" s="33">
        <v>103070</v>
      </c>
      <c r="F71" s="33">
        <v>103070</v>
      </c>
      <c r="G71" s="32">
        <f t="shared" si="0"/>
        <v>0</v>
      </c>
      <c r="H71" s="42"/>
      <c r="I71" s="33">
        <f t="shared" si="11"/>
        <v>103070</v>
      </c>
      <c r="J71" s="32">
        <f t="shared" si="1"/>
        <v>0</v>
      </c>
      <c r="K71" s="42"/>
      <c r="L71" s="33">
        <f t="shared" si="12"/>
        <v>103070</v>
      </c>
      <c r="M71" s="32">
        <f t="shared" si="2"/>
        <v>0</v>
      </c>
      <c r="N71" s="42"/>
      <c r="O71" s="33">
        <f t="shared" si="13"/>
        <v>103070</v>
      </c>
      <c r="P71" s="32">
        <f t="shared" si="3"/>
        <v>0</v>
      </c>
      <c r="Q71" s="42"/>
    </row>
    <row r="72" spans="1:17" hidden="1" outlineLevel="1" x14ac:dyDescent="0.25">
      <c r="B72" s="71"/>
      <c r="C72" s="45" t="s">
        <v>200</v>
      </c>
      <c r="D72" s="67" t="s">
        <v>201</v>
      </c>
      <c r="E72" s="33">
        <v>0</v>
      </c>
      <c r="F72" s="33">
        <v>0</v>
      </c>
      <c r="G72" s="32">
        <f t="shared" ref="G72:G121" si="14">F72-E72</f>
        <v>0</v>
      </c>
      <c r="H72" s="42"/>
      <c r="I72" s="33">
        <f t="shared" si="11"/>
        <v>0</v>
      </c>
      <c r="J72" s="32">
        <f t="shared" ref="J72:J121" si="15">I72-F72</f>
        <v>0</v>
      </c>
      <c r="K72" s="42"/>
      <c r="L72" s="33">
        <f t="shared" si="12"/>
        <v>0</v>
      </c>
      <c r="M72" s="32">
        <f t="shared" ref="M72:M121" si="16">L72-I72</f>
        <v>0</v>
      </c>
      <c r="N72" s="42"/>
      <c r="O72" s="33">
        <f t="shared" si="13"/>
        <v>0</v>
      </c>
      <c r="P72" s="32">
        <f t="shared" ref="P72:P121" si="17">O72-L72</f>
        <v>0</v>
      </c>
      <c r="Q72" s="42"/>
    </row>
    <row r="73" spans="1:17" ht="60" hidden="1" outlineLevel="1" x14ac:dyDescent="0.25">
      <c r="B73" s="1" t="s">
        <v>178</v>
      </c>
      <c r="C73" s="45" t="s">
        <v>202</v>
      </c>
      <c r="D73" s="67" t="s">
        <v>203</v>
      </c>
      <c r="E73" s="33">
        <v>0</v>
      </c>
      <c r="F73" s="33">
        <v>0</v>
      </c>
      <c r="G73" s="32">
        <f t="shared" si="14"/>
        <v>0</v>
      </c>
      <c r="H73" s="42"/>
      <c r="I73" s="33">
        <f t="shared" si="11"/>
        <v>0</v>
      </c>
      <c r="J73" s="32">
        <f t="shared" si="15"/>
        <v>0</v>
      </c>
      <c r="K73" s="42"/>
      <c r="L73" s="33">
        <f t="shared" si="12"/>
        <v>0</v>
      </c>
      <c r="M73" s="32">
        <f t="shared" si="16"/>
        <v>0</v>
      </c>
      <c r="N73" s="42"/>
      <c r="O73" s="33">
        <f t="shared" si="13"/>
        <v>0</v>
      </c>
      <c r="P73" s="32">
        <f t="shared" si="17"/>
        <v>0</v>
      </c>
      <c r="Q73" s="42"/>
    </row>
    <row r="74" spans="1:17" ht="45" hidden="1" outlineLevel="1" x14ac:dyDescent="0.25">
      <c r="B74" s="71"/>
      <c r="C74" s="45" t="s">
        <v>204</v>
      </c>
      <c r="D74" s="67" t="s">
        <v>205</v>
      </c>
      <c r="E74" s="33">
        <v>0</v>
      </c>
      <c r="F74" s="33">
        <v>0</v>
      </c>
      <c r="G74" s="32">
        <f t="shared" si="14"/>
        <v>0</v>
      </c>
      <c r="H74" s="42"/>
      <c r="I74" s="33">
        <f t="shared" si="11"/>
        <v>0</v>
      </c>
      <c r="J74" s="32">
        <f t="shared" si="15"/>
        <v>0</v>
      </c>
      <c r="K74" s="42"/>
      <c r="L74" s="33">
        <f t="shared" si="12"/>
        <v>0</v>
      </c>
      <c r="M74" s="32">
        <f t="shared" si="16"/>
        <v>0</v>
      </c>
      <c r="N74" s="42"/>
      <c r="O74" s="33">
        <f t="shared" si="13"/>
        <v>0</v>
      </c>
      <c r="P74" s="32">
        <f t="shared" si="17"/>
        <v>0</v>
      </c>
      <c r="Q74" s="42"/>
    </row>
    <row r="75" spans="1:17" collapsed="1" x14ac:dyDescent="0.25">
      <c r="A75" s="64" t="s">
        <v>206</v>
      </c>
      <c r="B75" s="71"/>
      <c r="C75" s="45" t="s">
        <v>207</v>
      </c>
      <c r="D75" s="70" t="s">
        <v>208</v>
      </c>
      <c r="E75" s="33">
        <v>267455</v>
      </c>
      <c r="F75" s="33">
        <v>267455</v>
      </c>
      <c r="G75" s="32">
        <f t="shared" si="14"/>
        <v>0</v>
      </c>
      <c r="H75" s="42"/>
      <c r="I75" s="33">
        <f t="shared" si="11"/>
        <v>267455</v>
      </c>
      <c r="J75" s="32">
        <f t="shared" si="15"/>
        <v>0</v>
      </c>
      <c r="K75" s="42"/>
      <c r="L75" s="33">
        <f t="shared" si="12"/>
        <v>267455</v>
      </c>
      <c r="M75" s="32">
        <f t="shared" si="16"/>
        <v>0</v>
      </c>
      <c r="N75" s="42"/>
      <c r="O75" s="33">
        <f t="shared" si="13"/>
        <v>267455</v>
      </c>
      <c r="P75" s="32">
        <f t="shared" si="17"/>
        <v>0</v>
      </c>
      <c r="Q75" s="42"/>
    </row>
    <row r="76" spans="1:17" ht="58.15" hidden="1" customHeight="1" outlineLevel="1" x14ac:dyDescent="0.25">
      <c r="A76" s="64" t="s">
        <v>178</v>
      </c>
      <c r="B76" s="71"/>
      <c r="C76" s="45" t="s">
        <v>209</v>
      </c>
      <c r="D76" s="67" t="s">
        <v>210</v>
      </c>
      <c r="E76" s="33">
        <v>0</v>
      </c>
      <c r="F76" s="33">
        <v>0</v>
      </c>
      <c r="G76" s="32">
        <f t="shared" si="14"/>
        <v>0</v>
      </c>
      <c r="H76" s="42"/>
      <c r="I76" s="33">
        <f t="shared" si="11"/>
        <v>0</v>
      </c>
      <c r="J76" s="32">
        <f t="shared" si="15"/>
        <v>0</v>
      </c>
      <c r="K76" s="42"/>
      <c r="L76" s="33">
        <f t="shared" si="12"/>
        <v>0</v>
      </c>
      <c r="M76" s="32">
        <f t="shared" si="16"/>
        <v>0</v>
      </c>
      <c r="N76" s="42"/>
      <c r="O76" s="33">
        <f t="shared" si="13"/>
        <v>0</v>
      </c>
      <c r="P76" s="32">
        <f t="shared" si="17"/>
        <v>0</v>
      </c>
      <c r="Q76" s="42"/>
    </row>
    <row r="77" spans="1:17" ht="45" hidden="1" outlineLevel="1" x14ac:dyDescent="0.25">
      <c r="B77" s="1" t="s">
        <v>211</v>
      </c>
      <c r="C77" s="45" t="s">
        <v>212</v>
      </c>
      <c r="D77" s="67" t="s">
        <v>213</v>
      </c>
      <c r="E77" s="33">
        <v>0</v>
      </c>
      <c r="F77" s="33">
        <v>0</v>
      </c>
      <c r="G77" s="32">
        <f t="shared" si="14"/>
        <v>0</v>
      </c>
      <c r="H77" s="44"/>
      <c r="I77" s="33">
        <f t="shared" si="11"/>
        <v>0</v>
      </c>
      <c r="J77" s="32">
        <f t="shared" si="15"/>
        <v>0</v>
      </c>
      <c r="K77" s="44"/>
      <c r="L77" s="33">
        <f t="shared" si="12"/>
        <v>0</v>
      </c>
      <c r="M77" s="32">
        <f t="shared" si="16"/>
        <v>0</v>
      </c>
      <c r="N77" s="44"/>
      <c r="O77" s="33">
        <f t="shared" si="13"/>
        <v>0</v>
      </c>
      <c r="P77" s="32">
        <f t="shared" si="17"/>
        <v>0</v>
      </c>
      <c r="Q77" s="44"/>
    </row>
    <row r="78" spans="1:17" ht="45" collapsed="1" x14ac:dyDescent="0.25">
      <c r="B78" s="43" t="s">
        <v>214</v>
      </c>
      <c r="C78" s="45" t="s">
        <v>215</v>
      </c>
      <c r="D78" s="67" t="s">
        <v>216</v>
      </c>
      <c r="E78" s="33">
        <v>217332</v>
      </c>
      <c r="F78" s="33">
        <v>217332</v>
      </c>
      <c r="G78" s="32">
        <f t="shared" si="14"/>
        <v>0</v>
      </c>
      <c r="H78" s="72"/>
      <c r="I78" s="33">
        <f t="shared" si="11"/>
        <v>217332</v>
      </c>
      <c r="J78" s="32">
        <f t="shared" si="15"/>
        <v>0</v>
      </c>
      <c r="K78" s="72"/>
      <c r="L78" s="33">
        <f t="shared" si="12"/>
        <v>217332</v>
      </c>
      <c r="M78" s="32">
        <f t="shared" si="16"/>
        <v>0</v>
      </c>
      <c r="N78" s="72"/>
      <c r="O78" s="33">
        <f t="shared" si="13"/>
        <v>217332</v>
      </c>
      <c r="P78" s="32">
        <f t="shared" si="17"/>
        <v>0</v>
      </c>
      <c r="Q78" s="72"/>
    </row>
    <row r="79" spans="1:17" x14ac:dyDescent="0.25">
      <c r="B79" s="43" t="s">
        <v>217</v>
      </c>
      <c r="C79" s="45" t="s">
        <v>218</v>
      </c>
      <c r="D79" s="67" t="s">
        <v>219</v>
      </c>
      <c r="E79" s="33">
        <v>308659</v>
      </c>
      <c r="F79" s="33">
        <v>308659</v>
      </c>
      <c r="G79" s="32">
        <f t="shared" si="14"/>
        <v>0</v>
      </c>
      <c r="H79" s="72"/>
      <c r="I79" s="33">
        <f t="shared" si="11"/>
        <v>308659</v>
      </c>
      <c r="J79" s="32">
        <f t="shared" si="15"/>
        <v>0</v>
      </c>
      <c r="K79" s="72"/>
      <c r="L79" s="33">
        <f t="shared" si="12"/>
        <v>308659</v>
      </c>
      <c r="M79" s="32">
        <f t="shared" si="16"/>
        <v>0</v>
      </c>
      <c r="N79" s="72"/>
      <c r="O79" s="33">
        <f t="shared" si="13"/>
        <v>308659</v>
      </c>
      <c r="P79" s="32">
        <f t="shared" si="17"/>
        <v>0</v>
      </c>
      <c r="Q79" s="72"/>
    </row>
    <row r="80" spans="1:17" outlineLevel="1" x14ac:dyDescent="0.25">
      <c r="B80" s="43"/>
      <c r="C80" s="45" t="s">
        <v>220</v>
      </c>
      <c r="D80" s="67" t="s">
        <v>221</v>
      </c>
      <c r="E80" s="33">
        <v>0</v>
      </c>
      <c r="F80" s="33">
        <v>0</v>
      </c>
      <c r="G80" s="32">
        <f t="shared" si="14"/>
        <v>0</v>
      </c>
      <c r="H80" s="72"/>
      <c r="I80" s="33">
        <f t="shared" si="11"/>
        <v>0</v>
      </c>
      <c r="J80" s="32">
        <f t="shared" si="15"/>
        <v>0</v>
      </c>
      <c r="K80" s="72"/>
      <c r="L80" s="33">
        <f>ROUND(I80,0)+38052</f>
        <v>38052</v>
      </c>
      <c r="M80" s="32">
        <f t="shared" si="16"/>
        <v>38052</v>
      </c>
      <c r="N80" s="72" t="s">
        <v>222</v>
      </c>
      <c r="O80" s="33">
        <f>ROUND(L80,0)-38052</f>
        <v>0</v>
      </c>
      <c r="P80" s="32">
        <f t="shared" si="17"/>
        <v>-38052</v>
      </c>
      <c r="Q80" s="68" t="s">
        <v>1099</v>
      </c>
    </row>
    <row r="81" spans="1:17" ht="30" x14ac:dyDescent="0.25">
      <c r="B81" s="43" t="s">
        <v>223</v>
      </c>
      <c r="C81" s="45" t="s">
        <v>224</v>
      </c>
      <c r="D81" s="70" t="s">
        <v>225</v>
      </c>
      <c r="E81" s="33">
        <v>2500000</v>
      </c>
      <c r="F81" s="33">
        <v>2500000</v>
      </c>
      <c r="G81" s="32">
        <f t="shared" si="14"/>
        <v>0</v>
      </c>
      <c r="H81" s="72"/>
      <c r="I81" s="33">
        <f t="shared" si="11"/>
        <v>2500000</v>
      </c>
      <c r="J81" s="32">
        <f t="shared" si="15"/>
        <v>0</v>
      </c>
      <c r="K81" s="72"/>
      <c r="L81" s="33">
        <f t="shared" si="12"/>
        <v>2500000</v>
      </c>
      <c r="M81" s="32">
        <f t="shared" si="16"/>
        <v>0</v>
      </c>
      <c r="N81" s="72"/>
      <c r="O81" s="33">
        <f t="shared" si="13"/>
        <v>2500000</v>
      </c>
      <c r="P81" s="32">
        <f t="shared" si="17"/>
        <v>0</v>
      </c>
      <c r="Q81" s="72"/>
    </row>
    <row r="82" spans="1:17" ht="30.75" customHeight="1" x14ac:dyDescent="0.25">
      <c r="B82" s="73" t="s">
        <v>226</v>
      </c>
      <c r="C82" s="45" t="s">
        <v>227</v>
      </c>
      <c r="D82" s="67" t="s">
        <v>228</v>
      </c>
      <c r="E82" s="33">
        <v>0</v>
      </c>
      <c r="F82" s="33">
        <v>30428</v>
      </c>
      <c r="G82" s="32">
        <f t="shared" si="14"/>
        <v>30428</v>
      </c>
      <c r="H82" s="74" t="s">
        <v>229</v>
      </c>
      <c r="I82" s="33">
        <f t="shared" si="11"/>
        <v>30428</v>
      </c>
      <c r="J82" s="32">
        <f t="shared" si="15"/>
        <v>0</v>
      </c>
      <c r="K82" s="74"/>
      <c r="L82" s="33">
        <f t="shared" si="12"/>
        <v>30428</v>
      </c>
      <c r="M82" s="32">
        <f t="shared" si="16"/>
        <v>0</v>
      </c>
      <c r="N82" s="74"/>
      <c r="O82" s="33">
        <f t="shared" si="13"/>
        <v>30428</v>
      </c>
      <c r="P82" s="32">
        <f t="shared" si="17"/>
        <v>0</v>
      </c>
      <c r="Q82" s="74"/>
    </row>
    <row r="83" spans="1:17" ht="48.6" customHeight="1" x14ac:dyDescent="0.25">
      <c r="B83" s="43" t="s">
        <v>230</v>
      </c>
      <c r="C83" s="45" t="s">
        <v>231</v>
      </c>
      <c r="D83" s="70" t="s">
        <v>232</v>
      </c>
      <c r="E83" s="33">
        <v>830550</v>
      </c>
      <c r="F83" s="33">
        <v>830550</v>
      </c>
      <c r="G83" s="32">
        <f t="shared" si="14"/>
        <v>0</v>
      </c>
      <c r="H83" s="72"/>
      <c r="I83" s="33">
        <f t="shared" si="11"/>
        <v>830550</v>
      </c>
      <c r="J83" s="32">
        <f t="shared" si="15"/>
        <v>0</v>
      </c>
      <c r="K83" s="75"/>
      <c r="L83" s="33">
        <f t="shared" si="12"/>
        <v>830550</v>
      </c>
      <c r="M83" s="32">
        <f t="shared" si="16"/>
        <v>0</v>
      </c>
      <c r="N83" s="75"/>
      <c r="O83" s="33">
        <f t="shared" si="13"/>
        <v>830550</v>
      </c>
      <c r="P83" s="32">
        <f t="shared" si="17"/>
        <v>0</v>
      </c>
      <c r="Q83" s="75"/>
    </row>
    <row r="84" spans="1:17" x14ac:dyDescent="0.25">
      <c r="B84" s="73" t="s">
        <v>233</v>
      </c>
      <c r="C84" s="45" t="s">
        <v>234</v>
      </c>
      <c r="D84" s="70" t="s">
        <v>235</v>
      </c>
      <c r="E84" s="33">
        <v>2661252</v>
      </c>
      <c r="F84" s="33">
        <v>2661252</v>
      </c>
      <c r="G84" s="32">
        <f t="shared" si="14"/>
        <v>0</v>
      </c>
      <c r="H84" s="72"/>
      <c r="I84" s="33">
        <f t="shared" si="11"/>
        <v>2661252</v>
      </c>
      <c r="J84" s="32">
        <f t="shared" si="15"/>
        <v>0</v>
      </c>
      <c r="K84" s="72"/>
      <c r="L84" s="33">
        <f t="shared" si="12"/>
        <v>2661252</v>
      </c>
      <c r="M84" s="32">
        <f t="shared" si="16"/>
        <v>0</v>
      </c>
      <c r="N84" s="72"/>
      <c r="O84" s="33">
        <f t="shared" si="13"/>
        <v>2661252</v>
      </c>
      <c r="P84" s="32">
        <f t="shared" si="17"/>
        <v>0</v>
      </c>
      <c r="Q84" s="72"/>
    </row>
    <row r="85" spans="1:17" ht="30" x14ac:dyDescent="0.25">
      <c r="B85" s="64" t="s">
        <v>178</v>
      </c>
      <c r="C85" s="45" t="s">
        <v>236</v>
      </c>
      <c r="D85" s="67" t="s">
        <v>237</v>
      </c>
      <c r="E85" s="33">
        <v>333333</v>
      </c>
      <c r="F85" s="33">
        <v>333333</v>
      </c>
      <c r="G85" s="32">
        <f t="shared" si="14"/>
        <v>0</v>
      </c>
      <c r="H85" s="72"/>
      <c r="I85" s="33">
        <f>ROUND(F85,0)</f>
        <v>333333</v>
      </c>
      <c r="J85" s="32">
        <f t="shared" si="15"/>
        <v>0</v>
      </c>
      <c r="K85" s="72"/>
      <c r="L85" s="33">
        <f>ROUND(I85,0)</f>
        <v>333333</v>
      </c>
      <c r="M85" s="32">
        <f t="shared" si="16"/>
        <v>0</v>
      </c>
      <c r="N85" s="72"/>
      <c r="O85" s="33">
        <f t="shared" si="13"/>
        <v>333333</v>
      </c>
      <c r="P85" s="32">
        <f t="shared" si="17"/>
        <v>0</v>
      </c>
      <c r="Q85" s="72"/>
    </row>
    <row r="86" spans="1:17" ht="168.75" customHeight="1" x14ac:dyDescent="0.25">
      <c r="B86" s="64"/>
      <c r="C86" s="45" t="s">
        <v>1088</v>
      </c>
      <c r="D86" s="67" t="s">
        <v>1089</v>
      </c>
      <c r="E86" s="33"/>
      <c r="F86" s="33"/>
      <c r="G86" s="32"/>
      <c r="H86" s="72"/>
      <c r="I86" s="33"/>
      <c r="J86" s="32"/>
      <c r="K86" s="72"/>
      <c r="L86" s="33"/>
      <c r="M86" s="32"/>
      <c r="N86" s="72"/>
      <c r="O86" s="33">
        <f>ROUND(L86,0)+3600+5400+900+1800</f>
        <v>11700</v>
      </c>
      <c r="P86" s="32">
        <f t="shared" si="17"/>
        <v>11700</v>
      </c>
      <c r="Q86" s="74" t="s">
        <v>1090</v>
      </c>
    </row>
    <row r="87" spans="1:17" ht="30" x14ac:dyDescent="0.25">
      <c r="B87" s="29" t="s">
        <v>238</v>
      </c>
      <c r="C87" s="51" t="s">
        <v>239</v>
      </c>
      <c r="D87" s="52" t="s">
        <v>240</v>
      </c>
      <c r="E87" s="54">
        <v>0</v>
      </c>
      <c r="F87" s="54">
        <v>0</v>
      </c>
      <c r="G87" s="53">
        <f t="shared" si="14"/>
        <v>0</v>
      </c>
      <c r="H87" s="69"/>
      <c r="I87" s="54">
        <f>ROUND(F87,0)+952269</f>
        <v>952269</v>
      </c>
      <c r="J87" s="53">
        <f t="shared" si="15"/>
        <v>952269</v>
      </c>
      <c r="K87" s="69" t="s">
        <v>25</v>
      </c>
      <c r="L87" s="54">
        <f>ROUND(I87,0)</f>
        <v>952269</v>
      </c>
      <c r="M87" s="53">
        <f t="shared" si="16"/>
        <v>0</v>
      </c>
      <c r="N87" s="69"/>
      <c r="O87" s="54">
        <f t="shared" si="13"/>
        <v>952269</v>
      </c>
      <c r="P87" s="53">
        <f t="shared" si="17"/>
        <v>0</v>
      </c>
      <c r="Q87" s="69"/>
    </row>
    <row r="88" spans="1:17" x14ac:dyDescent="0.25">
      <c r="C88" s="50" t="s">
        <v>241</v>
      </c>
      <c r="D88" s="37" t="s">
        <v>242</v>
      </c>
      <c r="E88" s="39">
        <v>350000</v>
      </c>
      <c r="F88" s="39">
        <v>350000</v>
      </c>
      <c r="G88" s="38">
        <f t="shared" si="14"/>
        <v>0</v>
      </c>
      <c r="H88" s="40"/>
      <c r="I88" s="39">
        <f>I89+I90</f>
        <v>350000</v>
      </c>
      <c r="J88" s="38">
        <f t="shared" si="15"/>
        <v>0</v>
      </c>
      <c r="K88" s="40"/>
      <c r="L88" s="39">
        <f>L89+L90</f>
        <v>350000</v>
      </c>
      <c r="M88" s="38">
        <f t="shared" si="16"/>
        <v>0</v>
      </c>
      <c r="N88" s="40"/>
      <c r="O88" s="39">
        <f>O89+O90</f>
        <v>350000</v>
      </c>
      <c r="P88" s="38">
        <f t="shared" si="17"/>
        <v>0</v>
      </c>
      <c r="Q88" s="40"/>
    </row>
    <row r="89" spans="1:17" ht="32.25" customHeight="1" x14ac:dyDescent="0.25">
      <c r="B89" s="1" t="s">
        <v>243</v>
      </c>
      <c r="C89" s="30" t="s">
        <v>244</v>
      </c>
      <c r="D89" s="31" t="s">
        <v>245</v>
      </c>
      <c r="E89" s="33">
        <v>350000</v>
      </c>
      <c r="F89" s="33">
        <v>350000</v>
      </c>
      <c r="G89" s="32">
        <f t="shared" si="14"/>
        <v>0</v>
      </c>
      <c r="H89" s="35"/>
      <c r="I89" s="33">
        <f>ROUND(F89,0)</f>
        <v>350000</v>
      </c>
      <c r="J89" s="32">
        <f t="shared" si="15"/>
        <v>0</v>
      </c>
      <c r="K89" s="35"/>
      <c r="L89" s="33">
        <f>ROUND(I89,0)</f>
        <v>350000</v>
      </c>
      <c r="M89" s="32">
        <f t="shared" si="16"/>
        <v>0</v>
      </c>
      <c r="N89" s="35"/>
      <c r="O89" s="33">
        <f>ROUND(L89,0)</f>
        <v>350000</v>
      </c>
      <c r="P89" s="32">
        <f t="shared" si="17"/>
        <v>0</v>
      </c>
      <c r="Q89" s="35"/>
    </row>
    <row r="90" spans="1:17" ht="16.149999999999999" customHeight="1" x14ac:dyDescent="0.25">
      <c r="B90" s="1" t="s">
        <v>246</v>
      </c>
      <c r="C90" s="30" t="s">
        <v>247</v>
      </c>
      <c r="D90" s="31" t="s">
        <v>248</v>
      </c>
      <c r="E90" s="33">
        <v>0</v>
      </c>
      <c r="F90" s="33">
        <v>0</v>
      </c>
      <c r="G90" s="32">
        <f t="shared" si="14"/>
        <v>0</v>
      </c>
      <c r="H90" s="34"/>
      <c r="I90" s="33">
        <f>ROUND(F90,0)</f>
        <v>0</v>
      </c>
      <c r="J90" s="32">
        <f t="shared" si="15"/>
        <v>0</v>
      </c>
      <c r="K90" s="34"/>
      <c r="L90" s="33">
        <f>ROUND(I90,0)</f>
        <v>0</v>
      </c>
      <c r="M90" s="32">
        <f t="shared" si="16"/>
        <v>0</v>
      </c>
      <c r="N90" s="34"/>
      <c r="O90" s="33">
        <f>ROUND(L90,0)</f>
        <v>0</v>
      </c>
      <c r="P90" s="32">
        <f t="shared" si="17"/>
        <v>0</v>
      </c>
      <c r="Q90" s="34"/>
    </row>
    <row r="91" spans="1:17" ht="35.450000000000003" customHeight="1" x14ac:dyDescent="0.25">
      <c r="C91" s="50" t="s">
        <v>249</v>
      </c>
      <c r="D91" s="37" t="s">
        <v>250</v>
      </c>
      <c r="E91" s="39">
        <v>800455</v>
      </c>
      <c r="F91" s="39">
        <v>801955</v>
      </c>
      <c r="G91" s="38">
        <f t="shared" si="14"/>
        <v>1500</v>
      </c>
      <c r="H91" s="76"/>
      <c r="I91" s="39">
        <f>I92+I95+I98+I102+I105</f>
        <v>801955</v>
      </c>
      <c r="J91" s="38">
        <f t="shared" si="15"/>
        <v>0</v>
      </c>
      <c r="K91" s="76"/>
      <c r="L91" s="39">
        <f>L92+L95+L98+L102+L105</f>
        <v>811955</v>
      </c>
      <c r="M91" s="38">
        <f t="shared" si="16"/>
        <v>10000</v>
      </c>
      <c r="N91" s="76"/>
      <c r="O91" s="39">
        <f>O92+O95+O98+O102+O105</f>
        <v>811955</v>
      </c>
      <c r="P91" s="38">
        <f t="shared" si="17"/>
        <v>0</v>
      </c>
      <c r="Q91" s="76"/>
    </row>
    <row r="92" spans="1:17" x14ac:dyDescent="0.25">
      <c r="A92" s="1" t="s">
        <v>21</v>
      </c>
      <c r="B92" s="1" t="s">
        <v>251</v>
      </c>
      <c r="C92" s="30" t="s">
        <v>252</v>
      </c>
      <c r="D92" s="31" t="s">
        <v>253</v>
      </c>
      <c r="E92" s="33">
        <v>219800</v>
      </c>
      <c r="F92" s="33">
        <v>219800</v>
      </c>
      <c r="G92" s="32">
        <f t="shared" si="14"/>
        <v>0</v>
      </c>
      <c r="H92" s="34"/>
      <c r="I92" s="33">
        <f>SUM(I93:I94)</f>
        <v>219800</v>
      </c>
      <c r="J92" s="32">
        <f t="shared" si="15"/>
        <v>0</v>
      </c>
      <c r="K92" s="34"/>
      <c r="L92" s="33">
        <f>SUM(L93:L94)</f>
        <v>219800</v>
      </c>
      <c r="M92" s="32">
        <f t="shared" si="16"/>
        <v>0</v>
      </c>
      <c r="N92" s="34"/>
      <c r="O92" s="33">
        <f>SUM(O93:O94)</f>
        <v>219800</v>
      </c>
      <c r="P92" s="32">
        <f t="shared" si="17"/>
        <v>0</v>
      </c>
      <c r="Q92" s="34"/>
    </row>
    <row r="93" spans="1:17" ht="14.25" customHeight="1" x14ac:dyDescent="0.25">
      <c r="B93" s="1" t="s">
        <v>254</v>
      </c>
      <c r="C93" s="77" t="s">
        <v>255</v>
      </c>
      <c r="D93" s="78" t="s">
        <v>256</v>
      </c>
      <c r="E93" s="33">
        <v>61000</v>
      </c>
      <c r="F93" s="33">
        <v>61000</v>
      </c>
      <c r="G93" s="32">
        <f t="shared" si="14"/>
        <v>0</v>
      </c>
      <c r="H93" s="41"/>
      <c r="I93" s="33">
        <f>ROUND(F93,0)</f>
        <v>61000</v>
      </c>
      <c r="J93" s="32">
        <f t="shared" si="15"/>
        <v>0</v>
      </c>
      <c r="K93" s="41"/>
      <c r="L93" s="33">
        <f>ROUND(I93,0)</f>
        <v>61000</v>
      </c>
      <c r="M93" s="32">
        <f t="shared" si="16"/>
        <v>0</v>
      </c>
      <c r="N93" s="41"/>
      <c r="O93" s="33">
        <f>ROUND(L93,0)</f>
        <v>61000</v>
      </c>
      <c r="P93" s="32">
        <f t="shared" si="17"/>
        <v>0</v>
      </c>
      <c r="Q93" s="41"/>
    </row>
    <row r="94" spans="1:17" ht="30" customHeight="1" x14ac:dyDescent="0.25">
      <c r="B94" s="1" t="s">
        <v>257</v>
      </c>
      <c r="C94" s="77" t="s">
        <v>258</v>
      </c>
      <c r="D94" s="78" t="s">
        <v>259</v>
      </c>
      <c r="E94" s="33">
        <v>158800</v>
      </c>
      <c r="F94" s="33">
        <v>158800</v>
      </c>
      <c r="G94" s="32">
        <f t="shared" si="14"/>
        <v>0</v>
      </c>
      <c r="H94" s="41"/>
      <c r="I94" s="33">
        <f>ROUND(F94,0)</f>
        <v>158800</v>
      </c>
      <c r="J94" s="32">
        <f t="shared" si="15"/>
        <v>0</v>
      </c>
      <c r="K94" s="41"/>
      <c r="L94" s="33">
        <f>ROUND(I94,0)</f>
        <v>158800</v>
      </c>
      <c r="M94" s="32">
        <f t="shared" si="16"/>
        <v>0</v>
      </c>
      <c r="N94" s="41"/>
      <c r="O94" s="33">
        <f>ROUND(L94,0)</f>
        <v>158800</v>
      </c>
      <c r="P94" s="32">
        <f t="shared" si="17"/>
        <v>0</v>
      </c>
      <c r="Q94" s="41"/>
    </row>
    <row r="95" spans="1:17" ht="13.9" customHeight="1" x14ac:dyDescent="0.25">
      <c r="C95" s="30" t="s">
        <v>260</v>
      </c>
      <c r="D95" s="31" t="s">
        <v>261</v>
      </c>
      <c r="E95" s="33">
        <v>59312</v>
      </c>
      <c r="F95" s="33">
        <v>60812</v>
      </c>
      <c r="G95" s="32">
        <f t="shared" si="14"/>
        <v>1500</v>
      </c>
      <c r="H95" s="79"/>
      <c r="I95" s="33">
        <f>I96+I97</f>
        <v>60812</v>
      </c>
      <c r="J95" s="32">
        <f t="shared" si="15"/>
        <v>0</v>
      </c>
      <c r="K95" s="79"/>
      <c r="L95" s="33">
        <f>L96+L97</f>
        <v>60812</v>
      </c>
      <c r="M95" s="32">
        <f t="shared" si="16"/>
        <v>0</v>
      </c>
      <c r="N95" s="79"/>
      <c r="O95" s="33">
        <f>O96+O97</f>
        <v>60812</v>
      </c>
      <c r="P95" s="32">
        <f t="shared" si="17"/>
        <v>0</v>
      </c>
      <c r="Q95" s="79"/>
    </row>
    <row r="96" spans="1:17" ht="30" x14ac:dyDescent="0.25">
      <c r="B96" s="1" t="s">
        <v>262</v>
      </c>
      <c r="C96" s="77" t="s">
        <v>263</v>
      </c>
      <c r="D96" s="78" t="s">
        <v>264</v>
      </c>
      <c r="E96" s="33">
        <v>59312</v>
      </c>
      <c r="F96" s="33">
        <v>60812</v>
      </c>
      <c r="G96" s="32">
        <f>F96-E96</f>
        <v>1500</v>
      </c>
      <c r="H96" s="68" t="s">
        <v>265</v>
      </c>
      <c r="I96" s="33">
        <f>ROUND(F96,0)</f>
        <v>60812</v>
      </c>
      <c r="J96" s="32">
        <f t="shared" si="15"/>
        <v>0</v>
      </c>
      <c r="K96" s="68"/>
      <c r="L96" s="33">
        <f>ROUND(I96,0)</f>
        <v>60812</v>
      </c>
      <c r="M96" s="32">
        <f t="shared" si="16"/>
        <v>0</v>
      </c>
      <c r="N96" s="68"/>
      <c r="O96" s="33">
        <f>ROUND(L96,0)</f>
        <v>60812</v>
      </c>
      <c r="P96" s="32">
        <f t="shared" si="17"/>
        <v>0</v>
      </c>
      <c r="Q96" s="68"/>
    </row>
    <row r="97" spans="1:17" ht="15.75" customHeight="1" x14ac:dyDescent="0.25">
      <c r="B97" s="80" t="s">
        <v>266</v>
      </c>
      <c r="C97" s="77" t="s">
        <v>267</v>
      </c>
      <c r="D97" s="67" t="s">
        <v>268</v>
      </c>
      <c r="E97" s="33">
        <v>0</v>
      </c>
      <c r="F97" s="33">
        <v>0</v>
      </c>
      <c r="G97" s="32">
        <f t="shared" si="14"/>
        <v>0</v>
      </c>
      <c r="H97" s="41"/>
      <c r="I97" s="33">
        <f>ROUND(F97,0)</f>
        <v>0</v>
      </c>
      <c r="J97" s="32">
        <f t="shared" si="15"/>
        <v>0</v>
      </c>
      <c r="K97" s="41"/>
      <c r="L97" s="33">
        <f>ROUND(I97,0)</f>
        <v>0</v>
      </c>
      <c r="M97" s="32">
        <f t="shared" si="16"/>
        <v>0</v>
      </c>
      <c r="N97" s="41"/>
      <c r="O97" s="33">
        <f>ROUND(L97,0)</f>
        <v>0</v>
      </c>
      <c r="P97" s="32">
        <f t="shared" si="17"/>
        <v>0</v>
      </c>
      <c r="Q97" s="41"/>
    </row>
    <row r="98" spans="1:17" x14ac:dyDescent="0.25">
      <c r="A98" s="1" t="s">
        <v>21</v>
      </c>
      <c r="B98" s="1" t="s">
        <v>269</v>
      </c>
      <c r="C98" s="30" t="s">
        <v>270</v>
      </c>
      <c r="D98" s="31" t="s">
        <v>271</v>
      </c>
      <c r="E98" s="33">
        <v>322370</v>
      </c>
      <c r="F98" s="33">
        <v>322370</v>
      </c>
      <c r="G98" s="32">
        <f t="shared" si="14"/>
        <v>0</v>
      </c>
      <c r="H98" s="34"/>
      <c r="I98" s="33">
        <f>SUM(I99:I101)</f>
        <v>322370</v>
      </c>
      <c r="J98" s="32">
        <f t="shared" si="15"/>
        <v>0</v>
      </c>
      <c r="K98" s="34"/>
      <c r="L98" s="33">
        <f>SUM(L99:L101)</f>
        <v>332370</v>
      </c>
      <c r="M98" s="32">
        <f t="shared" si="16"/>
        <v>10000</v>
      </c>
      <c r="N98" s="34"/>
      <c r="O98" s="33">
        <f>SUM(O99:O101)</f>
        <v>332370</v>
      </c>
      <c r="P98" s="32">
        <f t="shared" si="17"/>
        <v>0</v>
      </c>
      <c r="Q98" s="34"/>
    </row>
    <row r="99" spans="1:17" ht="16.5" customHeight="1" x14ac:dyDescent="0.25">
      <c r="B99" s="1" t="s">
        <v>272</v>
      </c>
      <c r="C99" s="77" t="s">
        <v>273</v>
      </c>
      <c r="D99" s="78" t="s">
        <v>274</v>
      </c>
      <c r="E99" s="33">
        <v>236370</v>
      </c>
      <c r="F99" s="33">
        <v>236370</v>
      </c>
      <c r="G99" s="32">
        <f t="shared" si="14"/>
        <v>0</v>
      </c>
      <c r="H99" s="35"/>
      <c r="I99" s="33">
        <f>ROUND(F99,0)</f>
        <v>236370</v>
      </c>
      <c r="J99" s="32">
        <f t="shared" si="15"/>
        <v>0</v>
      </c>
      <c r="K99" s="35"/>
      <c r="L99" s="33">
        <f>ROUND(I99,0)</f>
        <v>236370</v>
      </c>
      <c r="M99" s="32">
        <f t="shared" si="16"/>
        <v>0</v>
      </c>
      <c r="N99" s="35"/>
      <c r="O99" s="33">
        <f>ROUND(L99,0)</f>
        <v>236370</v>
      </c>
      <c r="P99" s="32">
        <f t="shared" si="17"/>
        <v>0</v>
      </c>
      <c r="Q99" s="35"/>
    </row>
    <row r="100" spans="1:17" x14ac:dyDescent="0.25">
      <c r="B100" s="1" t="s">
        <v>275</v>
      </c>
      <c r="C100" s="77" t="s">
        <v>276</v>
      </c>
      <c r="D100" s="78" t="s">
        <v>277</v>
      </c>
      <c r="E100" s="33">
        <v>86000</v>
      </c>
      <c r="F100" s="33">
        <v>86000</v>
      </c>
      <c r="G100" s="32">
        <f t="shared" si="14"/>
        <v>0</v>
      </c>
      <c r="H100" s="34"/>
      <c r="I100" s="33">
        <f>ROUND(F100,0)</f>
        <v>86000</v>
      </c>
      <c r="J100" s="32">
        <f t="shared" si="15"/>
        <v>0</v>
      </c>
      <c r="K100" s="34"/>
      <c r="L100" s="33">
        <f>ROUND(I100,0)+10000</f>
        <v>96000</v>
      </c>
      <c r="M100" s="32">
        <f t="shared" si="16"/>
        <v>10000</v>
      </c>
      <c r="N100" s="34" t="s">
        <v>278</v>
      </c>
      <c r="O100" s="33">
        <f>ROUND(L100,0)</f>
        <v>96000</v>
      </c>
      <c r="P100" s="32">
        <f t="shared" si="17"/>
        <v>0</v>
      </c>
      <c r="Q100" s="34"/>
    </row>
    <row r="101" spans="1:17" x14ac:dyDescent="0.25">
      <c r="B101" s="1" t="s">
        <v>279</v>
      </c>
      <c r="C101" s="77" t="s">
        <v>280</v>
      </c>
      <c r="D101" s="67" t="s">
        <v>281</v>
      </c>
      <c r="E101" s="33">
        <v>0</v>
      </c>
      <c r="F101" s="33">
        <v>0</v>
      </c>
      <c r="G101" s="32">
        <f t="shared" si="14"/>
        <v>0</v>
      </c>
      <c r="H101" s="34"/>
      <c r="I101" s="33">
        <f>ROUND(F101,0)</f>
        <v>0</v>
      </c>
      <c r="J101" s="32">
        <f t="shared" si="15"/>
        <v>0</v>
      </c>
      <c r="K101" s="34"/>
      <c r="L101" s="33">
        <f>ROUND(I101,0)</f>
        <v>0</v>
      </c>
      <c r="M101" s="32">
        <f t="shared" si="16"/>
        <v>0</v>
      </c>
      <c r="N101" s="34"/>
      <c r="O101" s="33">
        <f>ROUND(L101,0)</f>
        <v>0</v>
      </c>
      <c r="P101" s="32">
        <f t="shared" si="17"/>
        <v>0</v>
      </c>
      <c r="Q101" s="34"/>
    </row>
    <row r="102" spans="1:17" ht="25.15" customHeight="1" x14ac:dyDescent="0.25">
      <c r="A102" s="1" t="s">
        <v>21</v>
      </c>
      <c r="B102" s="1" t="s">
        <v>282</v>
      </c>
      <c r="C102" s="30" t="s">
        <v>283</v>
      </c>
      <c r="D102" s="31" t="s">
        <v>284</v>
      </c>
      <c r="E102" s="33">
        <v>98350</v>
      </c>
      <c r="F102" s="33">
        <v>98350</v>
      </c>
      <c r="G102" s="32">
        <f t="shared" si="14"/>
        <v>0</v>
      </c>
      <c r="H102" s="35"/>
      <c r="I102" s="33">
        <f>SUM(I103:I104)</f>
        <v>98350</v>
      </c>
      <c r="J102" s="32">
        <f t="shared" si="15"/>
        <v>0</v>
      </c>
      <c r="K102" s="35"/>
      <c r="L102" s="33">
        <f>SUM(L103:L104)</f>
        <v>98350</v>
      </c>
      <c r="M102" s="32">
        <f t="shared" si="16"/>
        <v>0</v>
      </c>
      <c r="N102" s="35"/>
      <c r="O102" s="33">
        <f>SUM(O103:O104)</f>
        <v>98350</v>
      </c>
      <c r="P102" s="32">
        <f t="shared" si="17"/>
        <v>0</v>
      </c>
      <c r="Q102" s="35"/>
    </row>
    <row r="103" spans="1:17" ht="28.15" customHeight="1" x14ac:dyDescent="0.25">
      <c r="A103" s="64" t="s">
        <v>285</v>
      </c>
      <c r="C103" s="77" t="s">
        <v>286</v>
      </c>
      <c r="D103" s="78" t="s">
        <v>284</v>
      </c>
      <c r="E103" s="33">
        <v>98350</v>
      </c>
      <c r="F103" s="33">
        <v>98350</v>
      </c>
      <c r="G103" s="32">
        <f t="shared" si="14"/>
        <v>0</v>
      </c>
      <c r="H103" s="34"/>
      <c r="I103" s="33">
        <f>ROUND(F103,0)</f>
        <v>98350</v>
      </c>
      <c r="J103" s="32">
        <f t="shared" si="15"/>
        <v>0</v>
      </c>
      <c r="K103" s="34"/>
      <c r="L103" s="33">
        <f>ROUND(I103,0)</f>
        <v>98350</v>
      </c>
      <c r="M103" s="32">
        <f t="shared" si="16"/>
        <v>0</v>
      </c>
      <c r="N103" s="34"/>
      <c r="O103" s="33">
        <f>ROUND(L103,0)</f>
        <v>98350</v>
      </c>
      <c r="P103" s="32">
        <f t="shared" si="17"/>
        <v>0</v>
      </c>
      <c r="Q103" s="34"/>
    </row>
    <row r="104" spans="1:17" ht="16.5" customHeight="1" x14ac:dyDescent="0.25">
      <c r="B104" s="1" t="s">
        <v>287</v>
      </c>
      <c r="C104" s="77" t="s">
        <v>288</v>
      </c>
      <c r="D104" s="78" t="s">
        <v>289</v>
      </c>
      <c r="E104" s="33">
        <v>0</v>
      </c>
      <c r="F104" s="33">
        <v>0</v>
      </c>
      <c r="G104" s="32">
        <f t="shared" si="14"/>
        <v>0</v>
      </c>
      <c r="H104" s="34"/>
      <c r="I104" s="33">
        <f>ROUND(F104,0)</f>
        <v>0</v>
      </c>
      <c r="J104" s="32">
        <f t="shared" si="15"/>
        <v>0</v>
      </c>
      <c r="K104" s="34"/>
      <c r="L104" s="33">
        <f>ROUND(I104,0)</f>
        <v>0</v>
      </c>
      <c r="M104" s="32">
        <f t="shared" si="16"/>
        <v>0</v>
      </c>
      <c r="N104" s="34"/>
      <c r="O104" s="33">
        <f>ROUND(L104,0)</f>
        <v>0</v>
      </c>
      <c r="P104" s="32">
        <f t="shared" si="17"/>
        <v>0</v>
      </c>
      <c r="Q104" s="34"/>
    </row>
    <row r="105" spans="1:17" ht="17.25" customHeight="1" thickBot="1" x14ac:dyDescent="0.3">
      <c r="A105" s="1" t="s">
        <v>21</v>
      </c>
      <c r="B105" s="43" t="s">
        <v>290</v>
      </c>
      <c r="C105" s="30" t="s">
        <v>291</v>
      </c>
      <c r="D105" s="31" t="s">
        <v>292</v>
      </c>
      <c r="E105" s="33">
        <v>100623</v>
      </c>
      <c r="F105" s="33">
        <v>100623</v>
      </c>
      <c r="G105" s="32">
        <f t="shared" si="14"/>
        <v>0</v>
      </c>
      <c r="H105" s="35"/>
      <c r="I105" s="33">
        <f>ROUND(F105,0)</f>
        <v>100623</v>
      </c>
      <c r="J105" s="32">
        <f t="shared" si="15"/>
        <v>0</v>
      </c>
      <c r="K105" s="35"/>
      <c r="L105" s="33">
        <f>ROUND(I105,0)</f>
        <v>100623</v>
      </c>
      <c r="M105" s="32">
        <f t="shared" si="16"/>
        <v>0</v>
      </c>
      <c r="N105" s="35"/>
      <c r="O105" s="33">
        <f>ROUND(L105,0)</f>
        <v>100623</v>
      </c>
      <c r="P105" s="32">
        <f t="shared" si="17"/>
        <v>0</v>
      </c>
      <c r="Q105" s="35"/>
    </row>
    <row r="106" spans="1:17" ht="15" customHeight="1" thickBot="1" x14ac:dyDescent="0.3">
      <c r="C106" s="81"/>
      <c r="D106" s="82" t="s">
        <v>293</v>
      </c>
      <c r="E106" s="84">
        <v>61794402</v>
      </c>
      <c r="F106" s="84">
        <v>61849590</v>
      </c>
      <c r="G106" s="83">
        <f t="shared" si="14"/>
        <v>55188</v>
      </c>
      <c r="H106" s="85"/>
      <c r="I106" s="84">
        <f>I7+I10+I13+I16+I19+I22+I34+I37+I41+I42+I88+I91</f>
        <v>61987173</v>
      </c>
      <c r="J106" s="83">
        <f t="shared" si="15"/>
        <v>137583</v>
      </c>
      <c r="K106" s="85"/>
      <c r="L106" s="84">
        <f>L7+L10+L13+L16+L19+L22+L34+L37+L41+L42+L88+L91</f>
        <v>62139592</v>
      </c>
      <c r="M106" s="83">
        <f t="shared" si="16"/>
        <v>152419</v>
      </c>
      <c r="N106" s="85"/>
      <c r="O106" s="84">
        <f>O7+O10+O13+O16+O19+O22+O34+O37+O41+O42+O88+O91</f>
        <v>62327601</v>
      </c>
      <c r="P106" s="83">
        <f t="shared" si="17"/>
        <v>188009</v>
      </c>
      <c r="Q106" s="85"/>
    </row>
    <row r="107" spans="1:17" ht="15.75" thickBot="1" x14ac:dyDescent="0.3">
      <c r="C107" s="86" t="s">
        <v>294</v>
      </c>
      <c r="D107" s="87" t="s">
        <v>295</v>
      </c>
      <c r="E107" s="89">
        <v>6694243.2000000002</v>
      </c>
      <c r="F107" s="89">
        <v>6694243</v>
      </c>
      <c r="G107" s="88">
        <f t="shared" si="14"/>
        <v>-0.20000000018626451</v>
      </c>
      <c r="H107" s="90"/>
      <c r="I107" s="89">
        <f>SUM(I108:I109)</f>
        <v>6694243</v>
      </c>
      <c r="J107" s="88">
        <f t="shared" si="15"/>
        <v>0</v>
      </c>
      <c r="K107" s="90"/>
      <c r="L107" s="89">
        <f>SUM(L108:L109)</f>
        <v>6694243</v>
      </c>
      <c r="M107" s="88">
        <f t="shared" si="16"/>
        <v>0</v>
      </c>
      <c r="N107" s="90"/>
      <c r="O107" s="89">
        <f>SUM(O108:O109)</f>
        <v>6694243</v>
      </c>
      <c r="P107" s="88">
        <f t="shared" si="17"/>
        <v>0</v>
      </c>
      <c r="Q107" s="90"/>
    </row>
    <row r="108" spans="1:17" ht="14.45" customHeight="1" x14ac:dyDescent="0.25">
      <c r="C108" s="30" t="s">
        <v>296</v>
      </c>
      <c r="D108" s="31" t="s">
        <v>297</v>
      </c>
      <c r="E108" s="33">
        <v>1040957</v>
      </c>
      <c r="F108" s="33">
        <v>1040957</v>
      </c>
      <c r="G108" s="32">
        <f t="shared" si="14"/>
        <v>0</v>
      </c>
      <c r="H108" s="35"/>
      <c r="I108" s="33">
        <f>ROUND(F108,0)</f>
        <v>1040957</v>
      </c>
      <c r="J108" s="32">
        <f t="shared" si="15"/>
        <v>0</v>
      </c>
      <c r="K108" s="35"/>
      <c r="L108" s="33">
        <f>ROUND(I108,0)</f>
        <v>1040957</v>
      </c>
      <c r="M108" s="32">
        <f t="shared" si="16"/>
        <v>0</v>
      </c>
      <c r="N108" s="35"/>
      <c r="O108" s="33">
        <f>ROUND(L108,0)</f>
        <v>1040957</v>
      </c>
      <c r="P108" s="32">
        <f t="shared" si="17"/>
        <v>0</v>
      </c>
      <c r="Q108" s="35"/>
    </row>
    <row r="109" spans="1:17" x14ac:dyDescent="0.25">
      <c r="C109" s="30" t="s">
        <v>298</v>
      </c>
      <c r="D109" s="31" t="s">
        <v>299</v>
      </c>
      <c r="E109" s="33">
        <v>5653286</v>
      </c>
      <c r="F109" s="33">
        <v>5653286</v>
      </c>
      <c r="G109" s="32">
        <f t="shared" si="14"/>
        <v>0</v>
      </c>
      <c r="H109" s="34"/>
      <c r="I109" s="33">
        <f>ROUND(F109,0)</f>
        <v>5653286</v>
      </c>
      <c r="J109" s="32">
        <f t="shared" si="15"/>
        <v>0</v>
      </c>
      <c r="K109" s="34"/>
      <c r="L109" s="33">
        <f>ROUND(I109,0)</f>
        <v>5653286</v>
      </c>
      <c r="M109" s="32">
        <f t="shared" si="16"/>
        <v>0</v>
      </c>
      <c r="N109" s="34"/>
      <c r="O109" s="33">
        <f>ROUND(L109,0)</f>
        <v>5653286</v>
      </c>
      <c r="P109" s="32">
        <f t="shared" si="17"/>
        <v>0</v>
      </c>
      <c r="Q109" s="34"/>
    </row>
    <row r="110" spans="1:17" x14ac:dyDescent="0.25">
      <c r="C110" s="50" t="s">
        <v>300</v>
      </c>
      <c r="D110" s="91" t="s">
        <v>301</v>
      </c>
      <c r="E110" s="92">
        <v>6608118</v>
      </c>
      <c r="F110" s="92">
        <v>6608118</v>
      </c>
      <c r="G110" s="38">
        <f t="shared" si="14"/>
        <v>0</v>
      </c>
      <c r="H110" s="40"/>
      <c r="I110" s="92">
        <f>SUM(I111:I120)</f>
        <v>6668106</v>
      </c>
      <c r="J110" s="38">
        <f t="shared" si="15"/>
        <v>59988</v>
      </c>
      <c r="K110" s="40"/>
      <c r="L110" s="92">
        <f>SUM(L111:L120)</f>
        <v>6668106</v>
      </c>
      <c r="M110" s="38">
        <f t="shared" si="16"/>
        <v>0</v>
      </c>
      <c r="N110" s="40"/>
      <c r="O110" s="92">
        <f>SUM(O111:O120)</f>
        <v>6668106</v>
      </c>
      <c r="P110" s="38">
        <f t="shared" si="17"/>
        <v>0</v>
      </c>
      <c r="Q110" s="40"/>
    </row>
    <row r="111" spans="1:17" outlineLevel="1" x14ac:dyDescent="0.25">
      <c r="A111" s="64"/>
      <c r="B111" s="64"/>
      <c r="C111" s="77" t="s">
        <v>302</v>
      </c>
      <c r="D111" s="93" t="s">
        <v>303</v>
      </c>
      <c r="E111" s="94">
        <v>85000</v>
      </c>
      <c r="F111" s="95">
        <v>85000</v>
      </c>
      <c r="G111" s="96">
        <f t="shared" si="14"/>
        <v>0</v>
      </c>
      <c r="H111" s="44"/>
      <c r="I111" s="95">
        <f t="shared" ref="I111:I120" si="18">ROUND(F111,0)</f>
        <v>85000</v>
      </c>
      <c r="J111" s="96">
        <f t="shared" si="15"/>
        <v>0</v>
      </c>
      <c r="K111" s="44"/>
      <c r="L111" s="95">
        <f t="shared" ref="L111:L118" si="19">ROUND(I111,0)</f>
        <v>85000</v>
      </c>
      <c r="M111" s="96">
        <f t="shared" si="16"/>
        <v>0</v>
      </c>
      <c r="N111" s="44"/>
      <c r="O111" s="95">
        <f t="shared" ref="O111:O118" si="20">ROUND(L111,0)</f>
        <v>85000</v>
      </c>
      <c r="P111" s="96">
        <f t="shared" si="17"/>
        <v>0</v>
      </c>
      <c r="Q111" s="44"/>
    </row>
    <row r="112" spans="1:17" ht="30" customHeight="1" x14ac:dyDescent="0.25">
      <c r="A112" s="64" t="s">
        <v>223</v>
      </c>
      <c r="B112" s="64"/>
      <c r="C112" s="77" t="s">
        <v>304</v>
      </c>
      <c r="D112" s="93" t="s">
        <v>225</v>
      </c>
      <c r="E112" s="94">
        <v>3100179</v>
      </c>
      <c r="F112" s="95">
        <v>3100179</v>
      </c>
      <c r="G112" s="96">
        <f t="shared" si="14"/>
        <v>0</v>
      </c>
      <c r="H112" s="44"/>
      <c r="I112" s="95">
        <f t="shared" si="18"/>
        <v>3100179</v>
      </c>
      <c r="J112" s="96">
        <f t="shared" si="15"/>
        <v>0</v>
      </c>
      <c r="K112" s="44"/>
      <c r="L112" s="95">
        <f t="shared" si="19"/>
        <v>3100179</v>
      </c>
      <c r="M112" s="96">
        <f t="shared" si="16"/>
        <v>0</v>
      </c>
      <c r="N112" s="44"/>
      <c r="O112" s="95">
        <f t="shared" si="20"/>
        <v>3100179</v>
      </c>
      <c r="P112" s="96">
        <f t="shared" si="17"/>
        <v>0</v>
      </c>
      <c r="Q112" s="44"/>
    </row>
    <row r="113" spans="1:17" x14ac:dyDescent="0.25">
      <c r="A113" s="64" t="s">
        <v>188</v>
      </c>
      <c r="B113" s="64" t="s">
        <v>305</v>
      </c>
      <c r="C113" s="77" t="s">
        <v>306</v>
      </c>
      <c r="D113" s="93" t="s">
        <v>307</v>
      </c>
      <c r="E113" s="94">
        <v>85000</v>
      </c>
      <c r="F113" s="95">
        <v>85000</v>
      </c>
      <c r="G113" s="96">
        <f t="shared" si="14"/>
        <v>0</v>
      </c>
      <c r="H113" s="44"/>
      <c r="I113" s="95">
        <f t="shared" si="18"/>
        <v>85000</v>
      </c>
      <c r="J113" s="96">
        <f t="shared" si="15"/>
        <v>0</v>
      </c>
      <c r="K113" s="44"/>
      <c r="L113" s="95">
        <f t="shared" si="19"/>
        <v>85000</v>
      </c>
      <c r="M113" s="96">
        <f t="shared" si="16"/>
        <v>0</v>
      </c>
      <c r="N113" s="44"/>
      <c r="O113" s="95">
        <f t="shared" si="20"/>
        <v>85000</v>
      </c>
      <c r="P113" s="96">
        <f t="shared" si="17"/>
        <v>0</v>
      </c>
      <c r="Q113" s="44"/>
    </row>
    <row r="114" spans="1:17" ht="32.450000000000003" customHeight="1" x14ac:dyDescent="0.25">
      <c r="A114" s="64"/>
      <c r="B114" s="64"/>
      <c r="C114" s="77" t="s">
        <v>308</v>
      </c>
      <c r="D114" s="93" t="s">
        <v>309</v>
      </c>
      <c r="E114" s="94">
        <v>255000</v>
      </c>
      <c r="F114" s="95">
        <v>255000</v>
      </c>
      <c r="G114" s="96">
        <f t="shared" si="14"/>
        <v>0</v>
      </c>
      <c r="H114" s="42"/>
      <c r="I114" s="95">
        <f t="shared" si="18"/>
        <v>255000</v>
      </c>
      <c r="J114" s="96">
        <f t="shared" si="15"/>
        <v>0</v>
      </c>
      <c r="K114" s="42"/>
      <c r="L114" s="95">
        <f t="shared" si="19"/>
        <v>255000</v>
      </c>
      <c r="M114" s="96">
        <f t="shared" si="16"/>
        <v>0</v>
      </c>
      <c r="N114" s="42"/>
      <c r="O114" s="95">
        <f t="shared" si="20"/>
        <v>255000</v>
      </c>
      <c r="P114" s="96">
        <f t="shared" si="17"/>
        <v>0</v>
      </c>
      <c r="Q114" s="42"/>
    </row>
    <row r="115" spans="1:17" ht="67.900000000000006" customHeight="1" x14ac:dyDescent="0.25">
      <c r="A115" s="64"/>
      <c r="B115" s="64"/>
      <c r="C115" s="77" t="s">
        <v>310</v>
      </c>
      <c r="D115" s="98" t="s">
        <v>311</v>
      </c>
      <c r="E115" s="99">
        <v>474147</v>
      </c>
      <c r="F115" s="100">
        <v>474147</v>
      </c>
      <c r="G115" s="101">
        <f t="shared" si="14"/>
        <v>0</v>
      </c>
      <c r="H115" s="42"/>
      <c r="I115" s="100">
        <f t="shared" si="18"/>
        <v>474147</v>
      </c>
      <c r="J115" s="101">
        <f t="shared" si="15"/>
        <v>0</v>
      </c>
      <c r="K115" s="42"/>
      <c r="L115" s="100">
        <f t="shared" si="19"/>
        <v>474147</v>
      </c>
      <c r="M115" s="101">
        <f t="shared" si="16"/>
        <v>0</v>
      </c>
      <c r="N115" s="102"/>
      <c r="O115" s="100">
        <f t="shared" si="20"/>
        <v>474147</v>
      </c>
      <c r="P115" s="101">
        <f t="shared" si="17"/>
        <v>0</v>
      </c>
      <c r="Q115" s="102"/>
    </row>
    <row r="116" spans="1:17" ht="16.899999999999999" customHeight="1" x14ac:dyDescent="0.25">
      <c r="B116" s="64"/>
      <c r="C116" s="77" t="s">
        <v>312</v>
      </c>
      <c r="D116" s="93" t="s">
        <v>313</v>
      </c>
      <c r="E116" s="94">
        <v>510000</v>
      </c>
      <c r="F116" s="103">
        <v>510000</v>
      </c>
      <c r="G116" s="101">
        <f t="shared" si="14"/>
        <v>0</v>
      </c>
      <c r="H116" s="42"/>
      <c r="I116" s="103">
        <f t="shared" si="18"/>
        <v>510000</v>
      </c>
      <c r="J116" s="101">
        <f t="shared" si="15"/>
        <v>0</v>
      </c>
      <c r="K116" s="42"/>
      <c r="L116" s="103">
        <f t="shared" si="19"/>
        <v>510000</v>
      </c>
      <c r="M116" s="101">
        <f t="shared" si="16"/>
        <v>0</v>
      </c>
      <c r="N116" s="42"/>
      <c r="O116" s="103">
        <f t="shared" si="20"/>
        <v>510000</v>
      </c>
      <c r="P116" s="101">
        <f t="shared" si="17"/>
        <v>0</v>
      </c>
      <c r="Q116" s="42"/>
    </row>
    <row r="117" spans="1:17" ht="29.25" customHeight="1" x14ac:dyDescent="0.25">
      <c r="B117" s="64" t="s">
        <v>195</v>
      </c>
      <c r="C117" s="77" t="s">
        <v>314</v>
      </c>
      <c r="D117" s="98" t="s">
        <v>197</v>
      </c>
      <c r="E117" s="99">
        <v>295238</v>
      </c>
      <c r="F117" s="100">
        <v>295238</v>
      </c>
      <c r="G117" s="32">
        <f t="shared" si="14"/>
        <v>0</v>
      </c>
      <c r="H117" s="104"/>
      <c r="I117" s="100">
        <f t="shared" si="18"/>
        <v>295238</v>
      </c>
      <c r="J117" s="32">
        <f t="shared" si="15"/>
        <v>0</v>
      </c>
      <c r="K117" s="104"/>
      <c r="L117" s="100">
        <f t="shared" si="19"/>
        <v>295238</v>
      </c>
      <c r="M117" s="32">
        <f t="shared" si="16"/>
        <v>0</v>
      </c>
      <c r="N117" s="104"/>
      <c r="O117" s="100">
        <f t="shared" si="20"/>
        <v>295238</v>
      </c>
      <c r="P117" s="32">
        <f t="shared" si="17"/>
        <v>0</v>
      </c>
      <c r="Q117" s="104"/>
    </row>
    <row r="118" spans="1:17" ht="18.600000000000001" customHeight="1" outlineLevel="1" x14ac:dyDescent="0.25">
      <c r="B118" s="64" t="s">
        <v>217</v>
      </c>
      <c r="C118" s="105" t="s">
        <v>315</v>
      </c>
      <c r="D118" s="98" t="s">
        <v>219</v>
      </c>
      <c r="E118" s="99">
        <v>70622</v>
      </c>
      <c r="F118" s="97">
        <v>70622</v>
      </c>
      <c r="G118" s="106">
        <f t="shared" si="14"/>
        <v>0</v>
      </c>
      <c r="H118" s="42"/>
      <c r="I118" s="97">
        <f t="shared" si="18"/>
        <v>70622</v>
      </c>
      <c r="J118" s="106">
        <f t="shared" si="15"/>
        <v>0</v>
      </c>
      <c r="K118" s="42"/>
      <c r="L118" s="97">
        <f t="shared" si="19"/>
        <v>70622</v>
      </c>
      <c r="M118" s="106">
        <f t="shared" si="16"/>
        <v>0</v>
      </c>
      <c r="N118" s="42"/>
      <c r="O118" s="97">
        <f t="shared" si="20"/>
        <v>70622</v>
      </c>
      <c r="P118" s="106">
        <f t="shared" si="17"/>
        <v>0</v>
      </c>
      <c r="Q118" s="42"/>
    </row>
    <row r="119" spans="1:17" ht="27.6" customHeight="1" outlineLevel="1" x14ac:dyDescent="0.25">
      <c r="B119" s="64" t="s">
        <v>230</v>
      </c>
      <c r="C119" s="77" t="s">
        <v>316</v>
      </c>
      <c r="D119" s="98" t="s">
        <v>232</v>
      </c>
      <c r="E119" s="99">
        <v>123536</v>
      </c>
      <c r="F119" s="100">
        <v>123536</v>
      </c>
      <c r="G119" s="101">
        <f t="shared" si="14"/>
        <v>0</v>
      </c>
      <c r="H119" s="42"/>
      <c r="I119" s="100">
        <f>ROUND(F119,0)+59988</f>
        <v>183524</v>
      </c>
      <c r="J119" s="101">
        <f t="shared" si="15"/>
        <v>59988</v>
      </c>
      <c r="K119" s="102" t="s">
        <v>317</v>
      </c>
      <c r="L119" s="100">
        <f>ROUND(I119,0)</f>
        <v>183524</v>
      </c>
      <c r="M119" s="101">
        <f t="shared" si="16"/>
        <v>0</v>
      </c>
      <c r="N119" s="102"/>
      <c r="O119" s="100">
        <f>ROUND(L119,0)</f>
        <v>183524</v>
      </c>
      <c r="P119" s="101">
        <f t="shared" si="17"/>
        <v>0</v>
      </c>
      <c r="Q119" s="102"/>
    </row>
    <row r="120" spans="1:17" ht="26.45" customHeight="1" outlineLevel="1" x14ac:dyDescent="0.25">
      <c r="B120" s="64" t="s">
        <v>233</v>
      </c>
      <c r="C120" s="77" t="s">
        <v>318</v>
      </c>
      <c r="D120" s="107" t="s">
        <v>235</v>
      </c>
      <c r="E120" s="99">
        <v>1609396</v>
      </c>
      <c r="F120" s="100">
        <v>1609396</v>
      </c>
      <c r="G120" s="32">
        <f t="shared" si="14"/>
        <v>0</v>
      </c>
      <c r="H120" s="104"/>
      <c r="I120" s="100">
        <f t="shared" si="18"/>
        <v>1609396</v>
      </c>
      <c r="J120" s="32">
        <f t="shared" si="15"/>
        <v>0</v>
      </c>
      <c r="K120" s="104"/>
      <c r="L120" s="100">
        <f>ROUND(I120,0)</f>
        <v>1609396</v>
      </c>
      <c r="M120" s="32">
        <f t="shared" si="16"/>
        <v>0</v>
      </c>
      <c r="N120" s="104"/>
      <c r="O120" s="100">
        <f>ROUND(L120,0)</f>
        <v>1609396</v>
      </c>
      <c r="P120" s="32">
        <f t="shared" si="17"/>
        <v>0</v>
      </c>
      <c r="Q120" s="104"/>
    </row>
    <row r="121" spans="1:17" ht="15.75" thickBot="1" x14ac:dyDescent="0.3">
      <c r="C121" s="108"/>
      <c r="D121" s="109" t="s">
        <v>319</v>
      </c>
      <c r="E121" s="89">
        <v>75096763.200000003</v>
      </c>
      <c r="F121" s="89">
        <v>75151951</v>
      </c>
      <c r="G121" s="88">
        <f t="shared" si="14"/>
        <v>55187.79999999702</v>
      </c>
      <c r="H121" s="110"/>
      <c r="I121" s="89">
        <f>I106+I107+I110</f>
        <v>75349522</v>
      </c>
      <c r="J121" s="88">
        <f t="shared" si="15"/>
        <v>197571</v>
      </c>
      <c r="K121" s="110"/>
      <c r="L121" s="89">
        <f>L106+L107+L110</f>
        <v>75501941</v>
      </c>
      <c r="M121" s="88">
        <f t="shared" si="16"/>
        <v>152419</v>
      </c>
      <c r="N121" s="110"/>
      <c r="O121" s="89">
        <f>O106+O107+O110</f>
        <v>75689950</v>
      </c>
      <c r="P121" s="88">
        <f t="shared" si="17"/>
        <v>188009</v>
      </c>
      <c r="Q121" s="110"/>
    </row>
    <row r="123" spans="1:17" x14ac:dyDescent="0.25">
      <c r="G123" s="5"/>
      <c r="J123" s="5"/>
      <c r="M123" s="5"/>
      <c r="P123" s="5"/>
    </row>
    <row r="124" spans="1:17" ht="20.25" x14ac:dyDescent="0.3">
      <c r="C124" s="362" t="s">
        <v>320</v>
      </c>
      <c r="D124" s="362"/>
      <c r="G124" s="5"/>
      <c r="J124" s="5"/>
      <c r="M124" s="5"/>
      <c r="P124" s="5"/>
    </row>
    <row r="125" spans="1:17" ht="15.75" thickBot="1" x14ac:dyDescent="0.3">
      <c r="C125" s="363"/>
      <c r="D125" s="363"/>
      <c r="G125" s="113"/>
      <c r="J125" s="113"/>
      <c r="M125" s="113"/>
      <c r="P125" s="113"/>
    </row>
    <row r="126" spans="1:17" ht="57" customHeight="1" thickBot="1" x14ac:dyDescent="0.3">
      <c r="C126" s="14" t="s">
        <v>3</v>
      </c>
      <c r="D126" s="15" t="s">
        <v>4</v>
      </c>
      <c r="E126" s="17" t="s">
        <v>321</v>
      </c>
      <c r="F126" s="17" t="s">
        <v>7</v>
      </c>
      <c r="G126" s="16" t="s">
        <v>322</v>
      </c>
      <c r="H126" s="18" t="s">
        <v>323</v>
      </c>
      <c r="I126" s="17" t="str">
        <f>I5</f>
        <v>29.05.2025. grozījumi</v>
      </c>
      <c r="J126" s="16" t="str">
        <f>J5</f>
        <v>Izmaiņa 29.05.2025. - 27.03.2025.</v>
      </c>
      <c r="K126" s="18" t="s">
        <v>323</v>
      </c>
      <c r="L126" s="17" t="str">
        <f>L5</f>
        <v>26.06.2025. grozījumi</v>
      </c>
      <c r="M126" s="16" t="str">
        <f>M5</f>
        <v>Izmaiņa 26.06.2025. - 29.05.2025.</v>
      </c>
      <c r="N126" s="18" t="s">
        <v>323</v>
      </c>
      <c r="O126" s="17" t="str">
        <f>O5</f>
        <v>28.08.2025. grozījumi</v>
      </c>
      <c r="P126" s="16" t="str">
        <f>P5</f>
        <v>Izmaiņa 28.08.2025. - 26.06.2025.</v>
      </c>
      <c r="Q126" s="18" t="s">
        <v>323</v>
      </c>
    </row>
    <row r="127" spans="1:17" x14ac:dyDescent="0.25">
      <c r="C127" s="114" t="s">
        <v>19</v>
      </c>
      <c r="D127" s="115" t="s">
        <v>324</v>
      </c>
      <c r="E127" s="117">
        <v>12264534</v>
      </c>
      <c r="F127" s="117">
        <v>12264534</v>
      </c>
      <c r="G127" s="116">
        <f t="shared" ref="G127:G190" si="21">F127-E127</f>
        <v>0</v>
      </c>
      <c r="H127" s="118"/>
      <c r="I127" s="117">
        <f>SUM(I128:I136)</f>
        <v>12263884</v>
      </c>
      <c r="J127" s="116">
        <f t="shared" ref="J127:J190" si="22">I127-F127</f>
        <v>-650</v>
      </c>
      <c r="K127" s="118"/>
      <c r="L127" s="117">
        <f>SUM(L128:L136)</f>
        <v>12213884</v>
      </c>
      <c r="M127" s="116">
        <f t="shared" ref="M127:M190" si="23">L127-I127</f>
        <v>-50000</v>
      </c>
      <c r="N127" s="118"/>
      <c r="O127" s="117">
        <f>SUM(O128:O136)</f>
        <v>12225212</v>
      </c>
      <c r="P127" s="116">
        <f t="shared" ref="P127:P190" si="24">O127-L127</f>
        <v>11328</v>
      </c>
      <c r="Q127" s="118"/>
    </row>
    <row r="128" spans="1:17" ht="31.5" customHeight="1" x14ac:dyDescent="0.25">
      <c r="B128" s="64" t="s">
        <v>325</v>
      </c>
      <c r="C128" s="119" t="s">
        <v>23</v>
      </c>
      <c r="D128" s="120" t="s">
        <v>326</v>
      </c>
      <c r="E128" s="54">
        <v>2120144</v>
      </c>
      <c r="F128" s="54">
        <v>2120144</v>
      </c>
      <c r="G128" s="53">
        <f t="shared" si="21"/>
        <v>0</v>
      </c>
      <c r="H128" s="69"/>
      <c r="I128" s="54">
        <f>ROUND(F128,0)-650</f>
        <v>2119494</v>
      </c>
      <c r="J128" s="53">
        <f t="shared" si="22"/>
        <v>-650</v>
      </c>
      <c r="K128" s="69" t="s">
        <v>327</v>
      </c>
      <c r="L128" s="54">
        <f>ROUND(I128,0)</f>
        <v>2119494</v>
      </c>
      <c r="M128" s="53">
        <f t="shared" si="23"/>
        <v>0</v>
      </c>
      <c r="N128" s="69"/>
      <c r="O128" s="54">
        <f t="shared" ref="O128:O135" si="25">ROUND(L128,0)</f>
        <v>2119494</v>
      </c>
      <c r="P128" s="53">
        <f t="shared" si="24"/>
        <v>0</v>
      </c>
      <c r="Q128" s="69"/>
    </row>
    <row r="129" spans="2:17" x14ac:dyDescent="0.25">
      <c r="B129" s="64" t="s">
        <v>328</v>
      </c>
      <c r="C129" s="119" t="s">
        <v>329</v>
      </c>
      <c r="D129" s="120" t="s">
        <v>330</v>
      </c>
      <c r="E129" s="54">
        <v>377185</v>
      </c>
      <c r="F129" s="54">
        <v>377185</v>
      </c>
      <c r="G129" s="53">
        <f t="shared" si="21"/>
        <v>0</v>
      </c>
      <c r="H129" s="121"/>
      <c r="I129" s="54">
        <f t="shared" ref="I129:I136" si="26">ROUND(F129,0)</f>
        <v>377185</v>
      </c>
      <c r="J129" s="53">
        <f t="shared" si="22"/>
        <v>0</v>
      </c>
      <c r="K129" s="121"/>
      <c r="L129" s="54">
        <f t="shared" ref="L129:L136" si="27">ROUND(I129,0)</f>
        <v>377185</v>
      </c>
      <c r="M129" s="53">
        <f t="shared" si="23"/>
        <v>0</v>
      </c>
      <c r="N129" s="121"/>
      <c r="O129" s="54">
        <f t="shared" si="25"/>
        <v>377185</v>
      </c>
      <c r="P129" s="53">
        <f t="shared" si="24"/>
        <v>0</v>
      </c>
      <c r="Q129" s="121"/>
    </row>
    <row r="130" spans="2:17" ht="13.15" customHeight="1" x14ac:dyDescent="0.25">
      <c r="B130" s="64" t="s">
        <v>331</v>
      </c>
      <c r="C130" s="119" t="s">
        <v>332</v>
      </c>
      <c r="D130" s="120" t="s">
        <v>333</v>
      </c>
      <c r="E130" s="54">
        <v>62822</v>
      </c>
      <c r="F130" s="54">
        <v>62822</v>
      </c>
      <c r="G130" s="53">
        <f t="shared" si="21"/>
        <v>0</v>
      </c>
      <c r="H130" s="69"/>
      <c r="I130" s="54">
        <f t="shared" si="26"/>
        <v>62822</v>
      </c>
      <c r="J130" s="53">
        <f t="shared" si="22"/>
        <v>0</v>
      </c>
      <c r="K130" s="69"/>
      <c r="L130" s="54">
        <f t="shared" si="27"/>
        <v>62822</v>
      </c>
      <c r="M130" s="53">
        <f t="shared" si="23"/>
        <v>0</v>
      </c>
      <c r="N130" s="69"/>
      <c r="O130" s="54">
        <f t="shared" si="25"/>
        <v>62822</v>
      </c>
      <c r="P130" s="53">
        <f t="shared" si="24"/>
        <v>0</v>
      </c>
      <c r="Q130" s="69"/>
    </row>
    <row r="131" spans="2:17" ht="14.45" customHeight="1" x14ac:dyDescent="0.25">
      <c r="B131" s="64" t="s">
        <v>334</v>
      </c>
      <c r="C131" s="119" t="s">
        <v>335</v>
      </c>
      <c r="D131" s="120" t="s">
        <v>336</v>
      </c>
      <c r="E131" s="54">
        <v>45177</v>
      </c>
      <c r="F131" s="54">
        <v>45177</v>
      </c>
      <c r="G131" s="53">
        <f t="shared" si="21"/>
        <v>0</v>
      </c>
      <c r="H131" s="69"/>
      <c r="I131" s="54">
        <f t="shared" si="26"/>
        <v>45177</v>
      </c>
      <c r="J131" s="53">
        <f t="shared" si="22"/>
        <v>0</v>
      </c>
      <c r="K131" s="69"/>
      <c r="L131" s="54">
        <f t="shared" si="27"/>
        <v>45177</v>
      </c>
      <c r="M131" s="53">
        <f t="shared" si="23"/>
        <v>0</v>
      </c>
      <c r="N131" s="69"/>
      <c r="O131" s="54">
        <f t="shared" si="25"/>
        <v>45177</v>
      </c>
      <c r="P131" s="53">
        <f t="shared" si="24"/>
        <v>0</v>
      </c>
      <c r="Q131" s="69"/>
    </row>
    <row r="132" spans="2:17" ht="15.6" customHeight="1" x14ac:dyDescent="0.25">
      <c r="B132" s="64" t="s">
        <v>337</v>
      </c>
      <c r="C132" s="119" t="s">
        <v>338</v>
      </c>
      <c r="D132" s="120" t="s">
        <v>339</v>
      </c>
      <c r="E132" s="54">
        <v>88097</v>
      </c>
      <c r="F132" s="54">
        <v>88097</v>
      </c>
      <c r="G132" s="53">
        <f t="shared" si="21"/>
        <v>0</v>
      </c>
      <c r="H132" s="69"/>
      <c r="I132" s="54">
        <f t="shared" si="26"/>
        <v>88097</v>
      </c>
      <c r="J132" s="53">
        <f t="shared" si="22"/>
        <v>0</v>
      </c>
      <c r="K132" s="69"/>
      <c r="L132" s="54">
        <f t="shared" si="27"/>
        <v>88097</v>
      </c>
      <c r="M132" s="53">
        <f t="shared" si="23"/>
        <v>0</v>
      </c>
      <c r="N132" s="69"/>
      <c r="O132" s="54">
        <f t="shared" si="25"/>
        <v>88097</v>
      </c>
      <c r="P132" s="53">
        <f t="shared" si="24"/>
        <v>0</v>
      </c>
      <c r="Q132" s="69"/>
    </row>
    <row r="133" spans="2:17" ht="14.45" customHeight="1" x14ac:dyDescent="0.25">
      <c r="B133" s="64" t="s">
        <v>340</v>
      </c>
      <c r="C133" s="119" t="s">
        <v>341</v>
      </c>
      <c r="D133" s="120" t="s">
        <v>342</v>
      </c>
      <c r="E133" s="54">
        <v>33489</v>
      </c>
      <c r="F133" s="54">
        <v>33489</v>
      </c>
      <c r="G133" s="53">
        <f t="shared" si="21"/>
        <v>0</v>
      </c>
      <c r="H133" s="121"/>
      <c r="I133" s="54">
        <f t="shared" si="26"/>
        <v>33489</v>
      </c>
      <c r="J133" s="53">
        <f t="shared" si="22"/>
        <v>0</v>
      </c>
      <c r="K133" s="121"/>
      <c r="L133" s="54">
        <f t="shared" si="27"/>
        <v>33489</v>
      </c>
      <c r="M133" s="53">
        <f t="shared" si="23"/>
        <v>0</v>
      </c>
      <c r="N133" s="121"/>
      <c r="O133" s="54">
        <f t="shared" si="25"/>
        <v>33489</v>
      </c>
      <c r="P133" s="53">
        <f t="shared" si="24"/>
        <v>0</v>
      </c>
      <c r="Q133" s="121"/>
    </row>
    <row r="134" spans="2:17" ht="16.5" customHeight="1" x14ac:dyDescent="0.25">
      <c r="B134" s="64" t="s">
        <v>325</v>
      </c>
      <c r="C134" s="119" t="s">
        <v>343</v>
      </c>
      <c r="D134" s="120" t="s">
        <v>344</v>
      </c>
      <c r="E134" s="54">
        <v>2102431</v>
      </c>
      <c r="F134" s="54">
        <v>2102431</v>
      </c>
      <c r="G134" s="53">
        <f t="shared" si="21"/>
        <v>0</v>
      </c>
      <c r="H134" s="69"/>
      <c r="I134" s="54">
        <f t="shared" si="26"/>
        <v>2102431</v>
      </c>
      <c r="J134" s="53">
        <f t="shared" si="22"/>
        <v>0</v>
      </c>
      <c r="K134" s="69"/>
      <c r="L134" s="54">
        <f>ROUND(I134,0)-50000</f>
        <v>2052431</v>
      </c>
      <c r="M134" s="53">
        <f t="shared" si="23"/>
        <v>-50000</v>
      </c>
      <c r="N134" s="69" t="s">
        <v>345</v>
      </c>
      <c r="O134" s="54">
        <f t="shared" si="25"/>
        <v>2052431</v>
      </c>
      <c r="P134" s="53">
        <f t="shared" si="24"/>
        <v>0</v>
      </c>
      <c r="Q134" s="69"/>
    </row>
    <row r="135" spans="2:17" ht="13.9" customHeight="1" x14ac:dyDescent="0.25">
      <c r="B135" s="64" t="s">
        <v>325</v>
      </c>
      <c r="C135" s="119" t="s">
        <v>346</v>
      </c>
      <c r="D135" s="120" t="s">
        <v>347</v>
      </c>
      <c r="E135" s="54">
        <v>6917724</v>
      </c>
      <c r="F135" s="54">
        <v>6917724</v>
      </c>
      <c r="G135" s="53">
        <f t="shared" si="21"/>
        <v>0</v>
      </c>
      <c r="H135" s="121"/>
      <c r="I135" s="54">
        <f t="shared" si="26"/>
        <v>6917724</v>
      </c>
      <c r="J135" s="53">
        <f t="shared" si="22"/>
        <v>0</v>
      </c>
      <c r="K135" s="121"/>
      <c r="L135" s="54">
        <f t="shared" si="27"/>
        <v>6917724</v>
      </c>
      <c r="M135" s="53">
        <f t="shared" si="23"/>
        <v>0</v>
      </c>
      <c r="N135" s="121"/>
      <c r="O135" s="54">
        <f t="shared" si="25"/>
        <v>6917724</v>
      </c>
      <c r="P135" s="53">
        <f t="shared" si="24"/>
        <v>0</v>
      </c>
      <c r="Q135" s="121"/>
    </row>
    <row r="136" spans="2:17" ht="42" customHeight="1" x14ac:dyDescent="0.25">
      <c r="B136" s="64" t="s">
        <v>348</v>
      </c>
      <c r="C136" s="119" t="s">
        <v>349</v>
      </c>
      <c r="D136" s="120" t="s">
        <v>350</v>
      </c>
      <c r="E136" s="54">
        <v>517465</v>
      </c>
      <c r="F136" s="54">
        <v>517465</v>
      </c>
      <c r="G136" s="53">
        <f t="shared" si="21"/>
        <v>0</v>
      </c>
      <c r="H136" s="69"/>
      <c r="I136" s="54">
        <f t="shared" si="26"/>
        <v>517465</v>
      </c>
      <c r="J136" s="53">
        <f t="shared" si="22"/>
        <v>0</v>
      </c>
      <c r="K136" s="69"/>
      <c r="L136" s="54">
        <f t="shared" si="27"/>
        <v>517465</v>
      </c>
      <c r="M136" s="53">
        <f t="shared" si="23"/>
        <v>0</v>
      </c>
      <c r="N136" s="69"/>
      <c r="O136" s="54">
        <f>ROUND(L136,0)+11328</f>
        <v>528793</v>
      </c>
      <c r="P136" s="53">
        <f t="shared" si="24"/>
        <v>11328</v>
      </c>
      <c r="Q136" s="364" t="s">
        <v>351</v>
      </c>
    </row>
    <row r="137" spans="2:17" ht="49.5" customHeight="1" collapsed="1" x14ac:dyDescent="0.25">
      <c r="B137" s="64" t="s">
        <v>352</v>
      </c>
      <c r="C137" s="122" t="s">
        <v>29</v>
      </c>
      <c r="D137" s="123" t="s">
        <v>353</v>
      </c>
      <c r="E137" s="39">
        <v>1114238</v>
      </c>
      <c r="F137" s="39">
        <v>1114238</v>
      </c>
      <c r="G137" s="38">
        <f t="shared" si="21"/>
        <v>0</v>
      </c>
      <c r="H137" s="48"/>
      <c r="I137" s="39">
        <f>ROUND(F137,0)+15586</f>
        <v>1129824</v>
      </c>
      <c r="J137" s="38">
        <f t="shared" si="22"/>
        <v>15586</v>
      </c>
      <c r="K137" s="48" t="s">
        <v>354</v>
      </c>
      <c r="L137" s="39">
        <f>ROUND(I137,0)</f>
        <v>1129824</v>
      </c>
      <c r="M137" s="38">
        <f t="shared" si="23"/>
        <v>0</v>
      </c>
      <c r="N137" s="48"/>
      <c r="O137" s="39">
        <f>ROUND(L137,0)-11328+3580</f>
        <v>1122076</v>
      </c>
      <c r="P137" s="38">
        <f t="shared" si="24"/>
        <v>-7748</v>
      </c>
      <c r="Q137" s="365"/>
    </row>
    <row r="138" spans="2:17" s="124" customFormat="1" ht="16.899999999999999" customHeight="1" x14ac:dyDescent="0.25">
      <c r="C138" s="122" t="s">
        <v>37</v>
      </c>
      <c r="D138" s="123" t="s">
        <v>355</v>
      </c>
      <c r="E138" s="39">
        <v>646058</v>
      </c>
      <c r="F138" s="39">
        <v>646058</v>
      </c>
      <c r="G138" s="38">
        <f t="shared" si="21"/>
        <v>0</v>
      </c>
      <c r="H138" s="48"/>
      <c r="I138" s="39">
        <f>I139+I142</f>
        <v>646058</v>
      </c>
      <c r="J138" s="38">
        <f t="shared" si="22"/>
        <v>0</v>
      </c>
      <c r="K138" s="48"/>
      <c r="L138" s="39">
        <f>L139+L142</f>
        <v>646058</v>
      </c>
      <c r="M138" s="38">
        <f t="shared" si="23"/>
        <v>0</v>
      </c>
      <c r="N138" s="48"/>
      <c r="O138" s="39">
        <f>O139+O142</f>
        <v>646058</v>
      </c>
      <c r="P138" s="38">
        <f t="shared" si="24"/>
        <v>0</v>
      </c>
      <c r="Q138" s="48"/>
    </row>
    <row r="139" spans="2:17" x14ac:dyDescent="0.25">
      <c r="B139" s="64" t="s">
        <v>356</v>
      </c>
      <c r="C139" s="119" t="s">
        <v>40</v>
      </c>
      <c r="D139" s="120" t="s">
        <v>357</v>
      </c>
      <c r="E139" s="54">
        <v>200531</v>
      </c>
      <c r="F139" s="54">
        <v>200531</v>
      </c>
      <c r="G139" s="53">
        <f t="shared" si="21"/>
        <v>0</v>
      </c>
      <c r="H139" s="53"/>
      <c r="I139" s="54">
        <f>SUM(I140:I141)</f>
        <v>200531</v>
      </c>
      <c r="J139" s="53">
        <f t="shared" si="22"/>
        <v>0</v>
      </c>
      <c r="K139" s="53"/>
      <c r="L139" s="54">
        <f>SUM(L140:L141)</f>
        <v>200531</v>
      </c>
      <c r="M139" s="53">
        <f t="shared" si="23"/>
        <v>0</v>
      </c>
      <c r="N139" s="53"/>
      <c r="O139" s="54">
        <f>SUM(O140:O141)</f>
        <v>200531</v>
      </c>
      <c r="P139" s="53">
        <f t="shared" si="24"/>
        <v>0</v>
      </c>
      <c r="Q139" s="53"/>
    </row>
    <row r="140" spans="2:17" ht="15.75" customHeight="1" x14ac:dyDescent="0.25">
      <c r="B140" s="64" t="s">
        <v>356</v>
      </c>
      <c r="C140" s="125" t="s">
        <v>358</v>
      </c>
      <c r="D140" s="126" t="s">
        <v>359</v>
      </c>
      <c r="E140" s="33">
        <v>166223</v>
      </c>
      <c r="F140" s="33">
        <v>166223</v>
      </c>
      <c r="G140" s="32">
        <f t="shared" si="21"/>
        <v>0</v>
      </c>
      <c r="H140" s="34"/>
      <c r="I140" s="33">
        <f>ROUND(F140,0)-587</f>
        <v>165636</v>
      </c>
      <c r="J140" s="32">
        <f t="shared" si="22"/>
        <v>-587</v>
      </c>
      <c r="K140" s="366" t="s">
        <v>360</v>
      </c>
      <c r="L140" s="33">
        <f>ROUND(I140,0)</f>
        <v>165636</v>
      </c>
      <c r="M140" s="32">
        <f t="shared" si="23"/>
        <v>0</v>
      </c>
      <c r="N140" s="366"/>
      <c r="O140" s="33">
        <f>ROUND(L140,0)</f>
        <v>165636</v>
      </c>
      <c r="P140" s="32">
        <f t="shared" si="24"/>
        <v>0</v>
      </c>
      <c r="Q140" s="366"/>
    </row>
    <row r="141" spans="2:17" ht="15.6" customHeight="1" x14ac:dyDescent="0.25">
      <c r="B141" s="64"/>
      <c r="C141" s="125" t="s">
        <v>361</v>
      </c>
      <c r="D141" s="126" t="s">
        <v>362</v>
      </c>
      <c r="E141" s="33">
        <v>34308</v>
      </c>
      <c r="F141" s="33">
        <v>34308</v>
      </c>
      <c r="G141" s="32">
        <f t="shared" si="21"/>
        <v>0</v>
      </c>
      <c r="H141" s="34"/>
      <c r="I141" s="33">
        <f>ROUND(F141,0)+587</f>
        <v>34895</v>
      </c>
      <c r="J141" s="32">
        <f t="shared" si="22"/>
        <v>587</v>
      </c>
      <c r="K141" s="367"/>
      <c r="L141" s="33">
        <f>ROUND(I141,0)</f>
        <v>34895</v>
      </c>
      <c r="M141" s="32">
        <f t="shared" si="23"/>
        <v>0</v>
      </c>
      <c r="N141" s="367"/>
      <c r="O141" s="33">
        <f>ROUND(L141,0)</f>
        <v>34895</v>
      </c>
      <c r="P141" s="32">
        <f t="shared" si="24"/>
        <v>0</v>
      </c>
      <c r="Q141" s="367"/>
    </row>
    <row r="142" spans="2:17" x14ac:dyDescent="0.25">
      <c r="B142" s="64" t="s">
        <v>363</v>
      </c>
      <c r="C142" s="119" t="s">
        <v>43</v>
      </c>
      <c r="D142" s="120" t="s">
        <v>364</v>
      </c>
      <c r="E142" s="54">
        <v>445527</v>
      </c>
      <c r="F142" s="54">
        <v>445527</v>
      </c>
      <c r="G142" s="53">
        <f t="shared" si="21"/>
        <v>0</v>
      </c>
      <c r="H142" s="69"/>
      <c r="I142" s="54">
        <f>ROUND(F142,0)</f>
        <v>445527</v>
      </c>
      <c r="J142" s="53">
        <f t="shared" si="22"/>
        <v>0</v>
      </c>
      <c r="K142" s="69"/>
      <c r="L142" s="54">
        <f>ROUND(I142,0)</f>
        <v>445527</v>
      </c>
      <c r="M142" s="53">
        <f t="shared" si="23"/>
        <v>0</v>
      </c>
      <c r="N142" s="69"/>
      <c r="O142" s="54">
        <f>ROUND(L142,0)</f>
        <v>445527</v>
      </c>
      <c r="P142" s="53">
        <f t="shared" si="24"/>
        <v>0</v>
      </c>
      <c r="Q142" s="69"/>
    </row>
    <row r="143" spans="2:17" x14ac:dyDescent="0.25">
      <c r="C143" s="122" t="s">
        <v>45</v>
      </c>
      <c r="D143" s="123" t="s">
        <v>365</v>
      </c>
      <c r="E143" s="39">
        <v>225687</v>
      </c>
      <c r="F143" s="39">
        <v>225687</v>
      </c>
      <c r="G143" s="38">
        <f t="shared" si="21"/>
        <v>0</v>
      </c>
      <c r="H143" s="40"/>
      <c r="I143" s="39">
        <f>I144</f>
        <v>225687</v>
      </c>
      <c r="J143" s="38">
        <f t="shared" si="22"/>
        <v>0</v>
      </c>
      <c r="K143" s="40"/>
      <c r="L143" s="39">
        <f>L144</f>
        <v>225687</v>
      </c>
      <c r="M143" s="38">
        <f t="shared" si="23"/>
        <v>0</v>
      </c>
      <c r="N143" s="40"/>
      <c r="O143" s="39">
        <f>O144</f>
        <v>225687</v>
      </c>
      <c r="P143" s="38">
        <f t="shared" si="24"/>
        <v>0</v>
      </c>
      <c r="Q143" s="40"/>
    </row>
    <row r="144" spans="2:17" ht="16.149999999999999" customHeight="1" x14ac:dyDescent="0.25">
      <c r="B144" s="64" t="s">
        <v>366</v>
      </c>
      <c r="C144" s="119" t="s">
        <v>48</v>
      </c>
      <c r="D144" s="120" t="s">
        <v>367</v>
      </c>
      <c r="E144" s="54">
        <v>225687</v>
      </c>
      <c r="F144" s="54">
        <v>225687</v>
      </c>
      <c r="G144" s="53">
        <f t="shared" si="21"/>
        <v>0</v>
      </c>
      <c r="H144" s="69"/>
      <c r="I144" s="54">
        <f>ROUND(F144,0)</f>
        <v>225687</v>
      </c>
      <c r="J144" s="53">
        <f t="shared" si="22"/>
        <v>0</v>
      </c>
      <c r="K144" s="69"/>
      <c r="L144" s="54">
        <f>ROUND(I144,0)</f>
        <v>225687</v>
      </c>
      <c r="M144" s="53">
        <f t="shared" si="23"/>
        <v>0</v>
      </c>
      <c r="N144" s="69"/>
      <c r="O144" s="54">
        <f>ROUND(L144,0)</f>
        <v>225687</v>
      </c>
      <c r="P144" s="53">
        <f t="shared" si="24"/>
        <v>0</v>
      </c>
      <c r="Q144" s="69"/>
    </row>
    <row r="145" spans="2:17" ht="29.25" x14ac:dyDescent="0.25">
      <c r="C145" s="122" t="s">
        <v>51</v>
      </c>
      <c r="D145" s="123" t="s">
        <v>368</v>
      </c>
      <c r="E145" s="39">
        <v>18129422</v>
      </c>
      <c r="F145" s="39">
        <v>18123822</v>
      </c>
      <c r="G145" s="38">
        <f t="shared" si="21"/>
        <v>-5600</v>
      </c>
      <c r="H145" s="38"/>
      <c r="I145" s="39">
        <f>I146+I147+I148+I149+I150+I164</f>
        <v>17992555</v>
      </c>
      <c r="J145" s="38">
        <f t="shared" si="22"/>
        <v>-131267</v>
      </c>
      <c r="K145" s="38"/>
      <c r="L145" s="39">
        <f>L146+L147+L148+L149+L150+L164</f>
        <v>18000055</v>
      </c>
      <c r="M145" s="38">
        <f t="shared" si="23"/>
        <v>7500</v>
      </c>
      <c r="N145" s="38"/>
      <c r="O145" s="39">
        <f>O146+O147+O148+O149+O150+O164</f>
        <v>18057075</v>
      </c>
      <c r="P145" s="38">
        <f t="shared" si="24"/>
        <v>57020</v>
      </c>
      <c r="Q145" s="38"/>
    </row>
    <row r="146" spans="2:17" ht="15.6" customHeight="1" x14ac:dyDescent="0.25">
      <c r="B146" s="64" t="s">
        <v>369</v>
      </c>
      <c r="C146" s="119" t="s">
        <v>54</v>
      </c>
      <c r="D146" s="127" t="s">
        <v>370</v>
      </c>
      <c r="E146" s="129">
        <v>70000</v>
      </c>
      <c r="F146" s="54">
        <v>70000</v>
      </c>
      <c r="G146" s="53">
        <f t="shared" si="21"/>
        <v>0</v>
      </c>
      <c r="H146" s="121"/>
      <c r="I146" s="54">
        <f>ROUND(F146,0)</f>
        <v>70000</v>
      </c>
      <c r="J146" s="53">
        <f t="shared" si="22"/>
        <v>0</v>
      </c>
      <c r="K146" s="121"/>
      <c r="L146" s="54">
        <f>ROUND(I146,0)</f>
        <v>70000</v>
      </c>
      <c r="M146" s="53">
        <f t="shared" si="23"/>
        <v>0</v>
      </c>
      <c r="N146" s="121"/>
      <c r="O146" s="54">
        <f>ROUND(L146,0)</f>
        <v>70000</v>
      </c>
      <c r="P146" s="53">
        <f t="shared" si="24"/>
        <v>0</v>
      </c>
      <c r="Q146" s="121"/>
    </row>
    <row r="147" spans="2:17" ht="15.6" customHeight="1" x14ac:dyDescent="0.25">
      <c r="B147" s="64" t="s">
        <v>371</v>
      </c>
      <c r="C147" s="119" t="s">
        <v>372</v>
      </c>
      <c r="D147" s="127" t="s">
        <v>373</v>
      </c>
      <c r="E147" s="129">
        <v>52568</v>
      </c>
      <c r="F147" s="54">
        <v>52568</v>
      </c>
      <c r="G147" s="53">
        <f t="shared" si="21"/>
        <v>0</v>
      </c>
      <c r="H147" s="121"/>
      <c r="I147" s="54">
        <f>ROUND(F147,0)</f>
        <v>52568</v>
      </c>
      <c r="J147" s="53">
        <f t="shared" si="22"/>
        <v>0</v>
      </c>
      <c r="K147" s="121"/>
      <c r="L147" s="54">
        <f>ROUND(I147,0)</f>
        <v>52568</v>
      </c>
      <c r="M147" s="53">
        <f t="shared" si="23"/>
        <v>0</v>
      </c>
      <c r="N147" s="121"/>
      <c r="O147" s="54">
        <f>ROUND(L147,0)</f>
        <v>52568</v>
      </c>
      <c r="P147" s="53">
        <f t="shared" si="24"/>
        <v>0</v>
      </c>
      <c r="Q147" s="121"/>
    </row>
    <row r="148" spans="2:17" ht="15" customHeight="1" x14ac:dyDescent="0.25">
      <c r="B148" s="64" t="s">
        <v>374</v>
      </c>
      <c r="C148" s="119" t="s">
        <v>375</v>
      </c>
      <c r="D148" s="127" t="s">
        <v>376</v>
      </c>
      <c r="E148" s="129">
        <v>333393</v>
      </c>
      <c r="F148" s="129">
        <v>333393</v>
      </c>
      <c r="G148" s="128">
        <f t="shared" si="21"/>
        <v>0</v>
      </c>
      <c r="H148" s="69"/>
      <c r="I148" s="129">
        <f>ROUND(F148,0)</f>
        <v>333393</v>
      </c>
      <c r="J148" s="128">
        <f t="shared" si="22"/>
        <v>0</v>
      </c>
      <c r="K148" s="69"/>
      <c r="L148" s="129">
        <f>ROUND(I148,0)</f>
        <v>333393</v>
      </c>
      <c r="M148" s="128">
        <f t="shared" si="23"/>
        <v>0</v>
      </c>
      <c r="N148" s="69"/>
      <c r="O148" s="129">
        <f>ROUND(L148,0)</f>
        <v>333393</v>
      </c>
      <c r="P148" s="128">
        <f t="shared" si="24"/>
        <v>0</v>
      </c>
      <c r="Q148" s="69"/>
    </row>
    <row r="149" spans="2:17" ht="15" customHeight="1" x14ac:dyDescent="0.25">
      <c r="B149" s="64" t="s">
        <v>377</v>
      </c>
      <c r="C149" s="119" t="s">
        <v>378</v>
      </c>
      <c r="D149" s="127" t="s">
        <v>379</v>
      </c>
      <c r="E149" s="129">
        <v>334779</v>
      </c>
      <c r="F149" s="129">
        <v>334779</v>
      </c>
      <c r="G149" s="128">
        <f t="shared" si="21"/>
        <v>0</v>
      </c>
      <c r="H149" s="69"/>
      <c r="I149" s="129">
        <f>ROUND(F149,0)</f>
        <v>334779</v>
      </c>
      <c r="J149" s="128">
        <f t="shared" si="22"/>
        <v>0</v>
      </c>
      <c r="K149" s="69"/>
      <c r="L149" s="129">
        <f>ROUND(I149,0)</f>
        <v>334779</v>
      </c>
      <c r="M149" s="128">
        <f t="shared" si="23"/>
        <v>0</v>
      </c>
      <c r="N149" s="69"/>
      <c r="O149" s="129">
        <f>ROUND(L149,0)</f>
        <v>334779</v>
      </c>
      <c r="P149" s="128">
        <f t="shared" si="24"/>
        <v>0</v>
      </c>
      <c r="Q149" s="69"/>
    </row>
    <row r="150" spans="2:17" x14ac:dyDescent="0.25">
      <c r="C150" s="119" t="s">
        <v>380</v>
      </c>
      <c r="D150" s="127" t="s">
        <v>381</v>
      </c>
      <c r="E150" s="129">
        <v>8401067</v>
      </c>
      <c r="F150" s="129">
        <v>8401067</v>
      </c>
      <c r="G150" s="128">
        <f t="shared" si="21"/>
        <v>0</v>
      </c>
      <c r="H150" s="128"/>
      <c r="I150" s="129">
        <f>SUM(I151:I163)</f>
        <v>8461055</v>
      </c>
      <c r="J150" s="128">
        <f t="shared" si="22"/>
        <v>59988</v>
      </c>
      <c r="K150" s="128"/>
      <c r="L150" s="129">
        <f>SUM(L151:L163)</f>
        <v>8468555</v>
      </c>
      <c r="M150" s="128">
        <f t="shared" si="23"/>
        <v>7500</v>
      </c>
      <c r="N150" s="128"/>
      <c r="O150" s="129">
        <f>SUM(O151:O163)</f>
        <v>8499555</v>
      </c>
      <c r="P150" s="128">
        <f t="shared" si="24"/>
        <v>31000</v>
      </c>
      <c r="Q150" s="128"/>
    </row>
    <row r="151" spans="2:17" ht="113.25" customHeight="1" x14ac:dyDescent="0.25">
      <c r="B151" s="64" t="s">
        <v>178</v>
      </c>
      <c r="C151" s="125" t="s">
        <v>382</v>
      </c>
      <c r="D151" s="98" t="s">
        <v>383</v>
      </c>
      <c r="E151" s="33">
        <v>524909</v>
      </c>
      <c r="F151" s="33">
        <v>522909</v>
      </c>
      <c r="G151" s="32">
        <f t="shared" si="21"/>
        <v>-2000</v>
      </c>
      <c r="H151" s="130" t="s">
        <v>384</v>
      </c>
      <c r="I151" s="33">
        <f t="shared" ref="I151:I163" si="28">ROUND(F151,0)</f>
        <v>522909</v>
      </c>
      <c r="J151" s="32">
        <f t="shared" si="22"/>
        <v>0</v>
      </c>
      <c r="K151" s="130"/>
      <c r="L151" s="33">
        <f>ROUND(I151,0)+7500</f>
        <v>530409</v>
      </c>
      <c r="M151" s="32">
        <f t="shared" si="23"/>
        <v>7500</v>
      </c>
      <c r="N151" s="130" t="s">
        <v>385</v>
      </c>
      <c r="O151" s="33">
        <f>ROUND(L151,0)+(5400+9600)+(900+4100)+(1800+8200)</f>
        <v>560409</v>
      </c>
      <c r="P151" s="32">
        <f t="shared" si="24"/>
        <v>30000</v>
      </c>
      <c r="Q151" s="130" t="s">
        <v>1091</v>
      </c>
    </row>
    <row r="152" spans="2:17" ht="18.600000000000001" customHeight="1" x14ac:dyDescent="0.25">
      <c r="B152" s="64" t="s">
        <v>386</v>
      </c>
      <c r="C152" s="125" t="s">
        <v>387</v>
      </c>
      <c r="D152" s="98" t="s">
        <v>388</v>
      </c>
      <c r="E152" s="33">
        <v>40000</v>
      </c>
      <c r="F152" s="33">
        <v>40000</v>
      </c>
      <c r="G152" s="32">
        <f t="shared" si="21"/>
        <v>0</v>
      </c>
      <c r="H152" s="130"/>
      <c r="I152" s="33">
        <f t="shared" si="28"/>
        <v>40000</v>
      </c>
      <c r="J152" s="32">
        <f t="shared" si="22"/>
        <v>0</v>
      </c>
      <c r="K152" s="130"/>
      <c r="L152" s="33">
        <f>ROUND(I152,0)</f>
        <v>40000</v>
      </c>
      <c r="M152" s="32">
        <f t="shared" si="23"/>
        <v>0</v>
      </c>
      <c r="N152" s="130"/>
      <c r="O152" s="33">
        <f>ROUND(L152,0)</f>
        <v>40000</v>
      </c>
      <c r="P152" s="32">
        <f t="shared" si="24"/>
        <v>0</v>
      </c>
      <c r="Q152" s="130"/>
    </row>
    <row r="153" spans="2:17" ht="30" customHeight="1" x14ac:dyDescent="0.25">
      <c r="B153" s="64" t="s">
        <v>386</v>
      </c>
      <c r="C153" s="125" t="s">
        <v>389</v>
      </c>
      <c r="D153" s="98" t="s">
        <v>390</v>
      </c>
      <c r="E153" s="33">
        <v>11400</v>
      </c>
      <c r="F153" s="33">
        <v>13400</v>
      </c>
      <c r="G153" s="32">
        <f t="shared" si="21"/>
        <v>2000</v>
      </c>
      <c r="H153" s="130" t="s">
        <v>384</v>
      </c>
      <c r="I153" s="33">
        <f t="shared" si="28"/>
        <v>13400</v>
      </c>
      <c r="J153" s="32">
        <f t="shared" si="22"/>
        <v>0</v>
      </c>
      <c r="K153" s="130"/>
      <c r="L153" s="33">
        <f>ROUND(I153,0)</f>
        <v>13400</v>
      </c>
      <c r="M153" s="32">
        <f t="shared" si="23"/>
        <v>0</v>
      </c>
      <c r="N153" s="130"/>
      <c r="O153" s="33">
        <f>ROUND(L153,0)+1000</f>
        <v>14400</v>
      </c>
      <c r="P153" s="32">
        <f t="shared" si="24"/>
        <v>1000</v>
      </c>
      <c r="Q153" s="130" t="s">
        <v>1087</v>
      </c>
    </row>
    <row r="154" spans="2:17" ht="28.15" customHeight="1" x14ac:dyDescent="0.25">
      <c r="B154" s="64" t="s">
        <v>192</v>
      </c>
      <c r="C154" s="131" t="s">
        <v>391</v>
      </c>
      <c r="D154" s="70" t="s">
        <v>194</v>
      </c>
      <c r="E154" s="33">
        <v>49346</v>
      </c>
      <c r="F154" s="33">
        <v>49346</v>
      </c>
      <c r="G154" s="32">
        <f t="shared" si="21"/>
        <v>0</v>
      </c>
      <c r="H154" s="130"/>
      <c r="I154" s="132">
        <f t="shared" si="28"/>
        <v>49346</v>
      </c>
      <c r="J154" s="32">
        <f t="shared" si="22"/>
        <v>0</v>
      </c>
      <c r="K154" s="130"/>
      <c r="L154" s="132">
        <f>ROUND(I154,0)</f>
        <v>49346</v>
      </c>
      <c r="M154" s="32">
        <f t="shared" si="23"/>
        <v>0</v>
      </c>
      <c r="N154" s="130"/>
      <c r="O154" s="132">
        <f>ROUND(L154,0)</f>
        <v>49346</v>
      </c>
      <c r="P154" s="32">
        <f t="shared" si="24"/>
        <v>0</v>
      </c>
      <c r="Q154" s="130"/>
    </row>
    <row r="155" spans="2:17" ht="46.15" customHeight="1" x14ac:dyDescent="0.25">
      <c r="B155" s="64" t="s">
        <v>392</v>
      </c>
      <c r="C155" s="131" t="s">
        <v>393</v>
      </c>
      <c r="D155" s="70" t="s">
        <v>394</v>
      </c>
      <c r="E155" s="33">
        <v>985558</v>
      </c>
      <c r="F155" s="33">
        <v>985558</v>
      </c>
      <c r="G155" s="32">
        <f t="shared" si="21"/>
        <v>0</v>
      </c>
      <c r="H155" s="130"/>
      <c r="I155" s="132">
        <f>ROUND(F155,0)+59988</f>
        <v>1045546</v>
      </c>
      <c r="J155" s="32">
        <f t="shared" si="22"/>
        <v>59988</v>
      </c>
      <c r="K155" s="133" t="s">
        <v>317</v>
      </c>
      <c r="L155" s="132">
        <f>ROUND(I155,0)</f>
        <v>1045546</v>
      </c>
      <c r="M155" s="32">
        <f t="shared" si="23"/>
        <v>0</v>
      </c>
      <c r="N155" s="133"/>
      <c r="O155" s="132">
        <f>ROUND(L155,0)</f>
        <v>1045546</v>
      </c>
      <c r="P155" s="32">
        <f t="shared" si="24"/>
        <v>0</v>
      </c>
      <c r="Q155" s="133"/>
    </row>
    <row r="156" spans="2:17" ht="28.9" customHeight="1" x14ac:dyDescent="0.25">
      <c r="B156" s="64" t="s">
        <v>233</v>
      </c>
      <c r="C156" s="131" t="s">
        <v>395</v>
      </c>
      <c r="D156" s="70" t="s">
        <v>235</v>
      </c>
      <c r="E156" s="33">
        <v>4425220</v>
      </c>
      <c r="F156" s="33">
        <v>4425220</v>
      </c>
      <c r="G156" s="32">
        <f t="shared" si="21"/>
        <v>0</v>
      </c>
      <c r="H156" s="130"/>
      <c r="I156" s="33">
        <f t="shared" si="28"/>
        <v>4425220</v>
      </c>
      <c r="J156" s="32">
        <f t="shared" si="22"/>
        <v>0</v>
      </c>
      <c r="K156" s="130"/>
      <c r="L156" s="33">
        <f t="shared" ref="L156:L163" si="29">ROUND(I156,0)</f>
        <v>4425220</v>
      </c>
      <c r="M156" s="32">
        <f t="shared" si="23"/>
        <v>0</v>
      </c>
      <c r="N156" s="130"/>
      <c r="O156" s="33">
        <f t="shared" ref="O156:O163" si="30">ROUND(L156,0)</f>
        <v>4425220</v>
      </c>
      <c r="P156" s="32">
        <f t="shared" si="24"/>
        <v>0</v>
      </c>
      <c r="Q156" s="130"/>
    </row>
    <row r="157" spans="2:17" ht="42.75" customHeight="1" x14ac:dyDescent="0.25">
      <c r="B157" s="64" t="s">
        <v>396</v>
      </c>
      <c r="C157" s="131" t="s">
        <v>397</v>
      </c>
      <c r="D157" s="134" t="s">
        <v>398</v>
      </c>
      <c r="E157" s="33">
        <v>34550</v>
      </c>
      <c r="F157" s="33">
        <v>34550</v>
      </c>
      <c r="G157" s="32">
        <f t="shared" si="21"/>
        <v>0</v>
      </c>
      <c r="H157" s="35"/>
      <c r="I157" s="33">
        <f t="shared" si="28"/>
        <v>34550</v>
      </c>
      <c r="J157" s="32">
        <f t="shared" si="22"/>
        <v>0</v>
      </c>
      <c r="K157" s="35"/>
      <c r="L157" s="33">
        <f t="shared" si="29"/>
        <v>34550</v>
      </c>
      <c r="M157" s="32">
        <f t="shared" si="23"/>
        <v>0</v>
      </c>
      <c r="N157" s="35"/>
      <c r="O157" s="33">
        <f t="shared" si="30"/>
        <v>34550</v>
      </c>
      <c r="P157" s="32">
        <f t="shared" si="24"/>
        <v>0</v>
      </c>
      <c r="Q157" s="35"/>
    </row>
    <row r="158" spans="2:17" ht="33.75" customHeight="1" x14ac:dyDescent="0.25">
      <c r="B158" s="64" t="s">
        <v>195</v>
      </c>
      <c r="C158" s="131" t="s">
        <v>399</v>
      </c>
      <c r="D158" s="70" t="s">
        <v>197</v>
      </c>
      <c r="E158" s="33">
        <v>950824</v>
      </c>
      <c r="F158" s="33">
        <v>950824</v>
      </c>
      <c r="G158" s="32">
        <f t="shared" si="21"/>
        <v>0</v>
      </c>
      <c r="H158" s="35"/>
      <c r="I158" s="33">
        <f t="shared" si="28"/>
        <v>950824</v>
      </c>
      <c r="J158" s="32">
        <f t="shared" si="22"/>
        <v>0</v>
      </c>
      <c r="K158" s="35"/>
      <c r="L158" s="33">
        <f t="shared" si="29"/>
        <v>950824</v>
      </c>
      <c r="M158" s="32">
        <f t="shared" si="23"/>
        <v>0</v>
      </c>
      <c r="N158" s="35"/>
      <c r="O158" s="33">
        <f t="shared" si="30"/>
        <v>950824</v>
      </c>
      <c r="P158" s="32">
        <f t="shared" si="24"/>
        <v>0</v>
      </c>
      <c r="Q158" s="35"/>
    </row>
    <row r="159" spans="2:17" ht="27.75" customHeight="1" x14ac:dyDescent="0.25">
      <c r="B159" s="64" t="s">
        <v>198</v>
      </c>
      <c r="C159" s="131" t="s">
        <v>400</v>
      </c>
      <c r="D159" s="70" t="s">
        <v>199</v>
      </c>
      <c r="E159" s="33">
        <v>138477</v>
      </c>
      <c r="F159" s="33">
        <v>138477</v>
      </c>
      <c r="G159" s="32">
        <f t="shared" si="21"/>
        <v>0</v>
      </c>
      <c r="H159" s="35"/>
      <c r="I159" s="33">
        <f t="shared" si="28"/>
        <v>138477</v>
      </c>
      <c r="J159" s="32">
        <f t="shared" si="22"/>
        <v>0</v>
      </c>
      <c r="K159" s="35"/>
      <c r="L159" s="33">
        <f t="shared" si="29"/>
        <v>138477</v>
      </c>
      <c r="M159" s="32">
        <f t="shared" si="23"/>
        <v>0</v>
      </c>
      <c r="N159" s="35"/>
      <c r="O159" s="33">
        <f t="shared" si="30"/>
        <v>138477</v>
      </c>
      <c r="P159" s="32">
        <f t="shared" si="24"/>
        <v>0</v>
      </c>
      <c r="Q159" s="35"/>
    </row>
    <row r="160" spans="2:17" ht="62.25" customHeight="1" x14ac:dyDescent="0.25">
      <c r="B160" s="64" t="s">
        <v>178</v>
      </c>
      <c r="C160" s="131" t="s">
        <v>401</v>
      </c>
      <c r="D160" s="134" t="s">
        <v>203</v>
      </c>
      <c r="E160" s="33">
        <v>3200</v>
      </c>
      <c r="F160" s="33">
        <v>3200</v>
      </c>
      <c r="G160" s="32">
        <f t="shared" si="21"/>
        <v>0</v>
      </c>
      <c r="H160" s="35"/>
      <c r="I160" s="33">
        <f t="shared" si="28"/>
        <v>3200</v>
      </c>
      <c r="J160" s="32">
        <f t="shared" si="22"/>
        <v>0</v>
      </c>
      <c r="K160" s="35"/>
      <c r="L160" s="33">
        <f t="shared" si="29"/>
        <v>3200</v>
      </c>
      <c r="M160" s="32">
        <f t="shared" si="23"/>
        <v>0</v>
      </c>
      <c r="N160" s="35"/>
      <c r="O160" s="33">
        <f t="shared" si="30"/>
        <v>3200</v>
      </c>
      <c r="P160" s="32">
        <f t="shared" si="24"/>
        <v>0</v>
      </c>
      <c r="Q160" s="35"/>
    </row>
    <row r="161" spans="2:17" ht="16.899999999999999" customHeight="1" x14ac:dyDescent="0.25">
      <c r="B161" s="64" t="s">
        <v>206</v>
      </c>
      <c r="C161" s="131" t="s">
        <v>402</v>
      </c>
      <c r="D161" s="70" t="s">
        <v>208</v>
      </c>
      <c r="E161" s="33">
        <v>434122</v>
      </c>
      <c r="F161" s="33">
        <v>434122</v>
      </c>
      <c r="G161" s="32">
        <f t="shared" si="21"/>
        <v>0</v>
      </c>
      <c r="H161" s="35"/>
      <c r="I161" s="33">
        <f t="shared" si="28"/>
        <v>434122</v>
      </c>
      <c r="J161" s="32">
        <f t="shared" si="22"/>
        <v>0</v>
      </c>
      <c r="K161" s="35"/>
      <c r="L161" s="33">
        <f t="shared" si="29"/>
        <v>434122</v>
      </c>
      <c r="M161" s="32">
        <f t="shared" si="23"/>
        <v>0</v>
      </c>
      <c r="N161" s="35"/>
      <c r="O161" s="33">
        <f t="shared" si="30"/>
        <v>434122</v>
      </c>
      <c r="P161" s="32">
        <f t="shared" si="24"/>
        <v>0</v>
      </c>
      <c r="Q161" s="35"/>
    </row>
    <row r="162" spans="2:17" ht="30" customHeight="1" x14ac:dyDescent="0.25">
      <c r="B162" s="64" t="s">
        <v>403</v>
      </c>
      <c r="C162" s="131" t="s">
        <v>404</v>
      </c>
      <c r="D162" s="134" t="s">
        <v>405</v>
      </c>
      <c r="E162" s="33">
        <v>416333</v>
      </c>
      <c r="F162" s="33">
        <v>416333</v>
      </c>
      <c r="G162" s="32">
        <f t="shared" si="21"/>
        <v>0</v>
      </c>
      <c r="H162" s="35"/>
      <c r="I162" s="33">
        <f t="shared" si="28"/>
        <v>416333</v>
      </c>
      <c r="J162" s="32">
        <f t="shared" si="22"/>
        <v>0</v>
      </c>
      <c r="K162" s="35"/>
      <c r="L162" s="33">
        <f t="shared" si="29"/>
        <v>416333</v>
      </c>
      <c r="M162" s="32">
        <f t="shared" si="23"/>
        <v>0</v>
      </c>
      <c r="N162" s="35"/>
      <c r="O162" s="33">
        <f t="shared" si="30"/>
        <v>416333</v>
      </c>
      <c r="P162" s="32">
        <f t="shared" si="24"/>
        <v>0</v>
      </c>
      <c r="Q162" s="35"/>
    </row>
    <row r="163" spans="2:17" ht="16.5" customHeight="1" x14ac:dyDescent="0.25">
      <c r="B163" s="64" t="s">
        <v>217</v>
      </c>
      <c r="C163" s="131" t="s">
        <v>406</v>
      </c>
      <c r="D163" s="67" t="s">
        <v>219</v>
      </c>
      <c r="E163" s="33">
        <v>387128</v>
      </c>
      <c r="F163" s="33">
        <v>387128</v>
      </c>
      <c r="G163" s="32">
        <f t="shared" si="21"/>
        <v>0</v>
      </c>
      <c r="H163" s="130"/>
      <c r="I163" s="33">
        <f t="shared" si="28"/>
        <v>387128</v>
      </c>
      <c r="J163" s="32">
        <f t="shared" si="22"/>
        <v>0</v>
      </c>
      <c r="K163" s="130"/>
      <c r="L163" s="33">
        <f t="shared" si="29"/>
        <v>387128</v>
      </c>
      <c r="M163" s="32">
        <f t="shared" si="23"/>
        <v>0</v>
      </c>
      <c r="N163" s="130"/>
      <c r="O163" s="33">
        <f t="shared" si="30"/>
        <v>387128</v>
      </c>
      <c r="P163" s="32">
        <f t="shared" si="24"/>
        <v>0</v>
      </c>
      <c r="Q163" s="130"/>
    </row>
    <row r="164" spans="2:17" ht="29.25" customHeight="1" x14ac:dyDescent="0.25">
      <c r="C164" s="119" t="s">
        <v>407</v>
      </c>
      <c r="D164" s="127" t="s">
        <v>408</v>
      </c>
      <c r="E164" s="129">
        <v>8937615</v>
      </c>
      <c r="F164" s="129">
        <v>8932015</v>
      </c>
      <c r="G164" s="128">
        <f t="shared" si="21"/>
        <v>-5600</v>
      </c>
      <c r="H164" s="135"/>
      <c r="I164" s="129">
        <f>SUM(I165:I168,I172:I181)</f>
        <v>8740760</v>
      </c>
      <c r="J164" s="128">
        <f t="shared" si="22"/>
        <v>-191255</v>
      </c>
      <c r="K164" s="135"/>
      <c r="L164" s="129">
        <f>SUM(L165:L168,L172:L181)</f>
        <v>8740760</v>
      </c>
      <c r="M164" s="128">
        <f t="shared" si="23"/>
        <v>0</v>
      </c>
      <c r="N164" s="135"/>
      <c r="O164" s="129">
        <f>SUM(O165:O168,O172:O181)</f>
        <v>8766780</v>
      </c>
      <c r="P164" s="128">
        <f t="shared" si="24"/>
        <v>26020</v>
      </c>
      <c r="Q164" s="135"/>
    </row>
    <row r="165" spans="2:17" ht="27.6" customHeight="1" x14ac:dyDescent="0.25">
      <c r="B165" s="64" t="s">
        <v>409</v>
      </c>
      <c r="C165" s="125" t="s">
        <v>410</v>
      </c>
      <c r="D165" s="134" t="s">
        <v>411</v>
      </c>
      <c r="E165" s="33">
        <v>242016</v>
      </c>
      <c r="F165" s="33">
        <v>242016</v>
      </c>
      <c r="G165" s="32">
        <f t="shared" si="21"/>
        <v>0</v>
      </c>
      <c r="H165" s="136"/>
      <c r="I165" s="33">
        <f>ROUND(F165,0)-8000</f>
        <v>234016</v>
      </c>
      <c r="J165" s="32">
        <f t="shared" si="22"/>
        <v>-8000</v>
      </c>
      <c r="K165" s="136" t="s">
        <v>412</v>
      </c>
      <c r="L165" s="33">
        <f>ROUND(I165,0)</f>
        <v>234016</v>
      </c>
      <c r="M165" s="32">
        <f t="shared" si="23"/>
        <v>0</v>
      </c>
      <c r="N165" s="136"/>
      <c r="O165" s="33">
        <f>ROUND(L165,0)</f>
        <v>234016</v>
      </c>
      <c r="P165" s="32">
        <f t="shared" si="24"/>
        <v>0</v>
      </c>
      <c r="Q165" s="136"/>
    </row>
    <row r="166" spans="2:17" ht="45" customHeight="1" x14ac:dyDescent="0.25">
      <c r="B166" s="64" t="s">
        <v>188</v>
      </c>
      <c r="C166" s="125" t="s">
        <v>413</v>
      </c>
      <c r="D166" s="70" t="s">
        <v>414</v>
      </c>
      <c r="E166" s="33">
        <v>191255</v>
      </c>
      <c r="F166" s="33">
        <v>191255</v>
      </c>
      <c r="G166" s="32">
        <f t="shared" si="21"/>
        <v>0</v>
      </c>
      <c r="H166" s="130"/>
      <c r="I166" s="33">
        <f>ROUND(F166,0)-191255</f>
        <v>0</v>
      </c>
      <c r="J166" s="32">
        <f t="shared" si="22"/>
        <v>-191255</v>
      </c>
      <c r="K166" s="35" t="s">
        <v>415</v>
      </c>
      <c r="L166" s="33">
        <f>ROUND(I166,0)</f>
        <v>0</v>
      </c>
      <c r="M166" s="32">
        <f t="shared" si="23"/>
        <v>0</v>
      </c>
      <c r="N166" s="35"/>
      <c r="O166" s="33">
        <f>ROUND(L166,0)</f>
        <v>0</v>
      </c>
      <c r="P166" s="32">
        <f t="shared" si="24"/>
        <v>0</v>
      </c>
      <c r="Q166" s="35"/>
    </row>
    <row r="167" spans="2:17" ht="30" customHeight="1" x14ac:dyDescent="0.25">
      <c r="B167" s="64" t="s">
        <v>214</v>
      </c>
      <c r="C167" s="125" t="s">
        <v>416</v>
      </c>
      <c r="D167" s="134" t="s">
        <v>216</v>
      </c>
      <c r="E167" s="33">
        <v>255685</v>
      </c>
      <c r="F167" s="33">
        <v>255685</v>
      </c>
      <c r="G167" s="32">
        <f t="shared" si="21"/>
        <v>0</v>
      </c>
      <c r="H167" s="130"/>
      <c r="I167" s="33">
        <f>ROUND(F167,0)</f>
        <v>255685</v>
      </c>
      <c r="J167" s="32">
        <f t="shared" si="22"/>
        <v>0</v>
      </c>
      <c r="K167" s="130"/>
      <c r="L167" s="33">
        <f>ROUND(I167,0)</f>
        <v>255685</v>
      </c>
      <c r="M167" s="32">
        <f t="shared" si="23"/>
        <v>0</v>
      </c>
      <c r="N167" s="130"/>
      <c r="O167" s="33">
        <f>ROUND(L167,0)</f>
        <v>255685</v>
      </c>
      <c r="P167" s="32">
        <f t="shared" si="24"/>
        <v>0</v>
      </c>
      <c r="Q167" s="130"/>
    </row>
    <row r="168" spans="2:17" ht="32.25" customHeight="1" x14ac:dyDescent="0.25">
      <c r="B168" s="64" t="s">
        <v>5</v>
      </c>
      <c r="C168" s="125" t="s">
        <v>417</v>
      </c>
      <c r="D168" s="134" t="s">
        <v>418</v>
      </c>
      <c r="E168" s="137">
        <v>5767122</v>
      </c>
      <c r="F168" s="137">
        <v>5761522</v>
      </c>
      <c r="G168" s="138">
        <f t="shared" si="21"/>
        <v>-5600</v>
      </c>
      <c r="H168" s="130"/>
      <c r="I168" s="137">
        <f>SUM(I169:I171)</f>
        <v>5769522</v>
      </c>
      <c r="J168" s="32">
        <f t="shared" si="22"/>
        <v>8000</v>
      </c>
      <c r="K168" s="130"/>
      <c r="L168" s="137">
        <f>SUM(L169:L171)</f>
        <v>5774573</v>
      </c>
      <c r="M168" s="32">
        <f t="shared" si="23"/>
        <v>5051</v>
      </c>
      <c r="N168" s="130"/>
      <c r="O168" s="137">
        <f>SUM(O169:O171)</f>
        <v>5855957</v>
      </c>
      <c r="P168" s="32">
        <f t="shared" si="24"/>
        <v>81384</v>
      </c>
      <c r="Q168" s="130"/>
    </row>
    <row r="169" spans="2:17" s="147" customFormat="1" ht="63" customHeight="1" x14ac:dyDescent="0.25">
      <c r="B169" s="139"/>
      <c r="C169" s="140" t="s">
        <v>419</v>
      </c>
      <c r="D169" s="141" t="s">
        <v>420</v>
      </c>
      <c r="E169" s="142">
        <v>5037221</v>
      </c>
      <c r="F169" s="142">
        <v>5031621</v>
      </c>
      <c r="G169" s="143">
        <f t="shared" si="21"/>
        <v>-5600</v>
      </c>
      <c r="H169" s="144" t="s">
        <v>421</v>
      </c>
      <c r="I169" s="142">
        <f>ROUND(F169,0)-5070+8000</f>
        <v>5034551</v>
      </c>
      <c r="J169" s="145">
        <f t="shared" si="22"/>
        <v>2930</v>
      </c>
      <c r="K169" s="144" t="s">
        <v>422</v>
      </c>
      <c r="L169" s="142">
        <f>ROUND(I169,0)+5051</f>
        <v>5039602</v>
      </c>
      <c r="M169" s="145">
        <f t="shared" si="23"/>
        <v>5051</v>
      </c>
      <c r="N169" s="146" t="s">
        <v>423</v>
      </c>
      <c r="O169" s="142">
        <f>ROUND(L169,0)+55364</f>
        <v>5094966</v>
      </c>
      <c r="P169" s="145">
        <f t="shared" si="24"/>
        <v>55364</v>
      </c>
      <c r="Q169" s="146" t="s">
        <v>424</v>
      </c>
    </row>
    <row r="170" spans="2:17" s="147" customFormat="1" ht="17.25" customHeight="1" x14ac:dyDescent="0.25">
      <c r="B170" s="139"/>
      <c r="C170" s="140" t="s">
        <v>425</v>
      </c>
      <c r="D170" s="141" t="s">
        <v>426</v>
      </c>
      <c r="E170" s="142">
        <v>413000</v>
      </c>
      <c r="F170" s="142">
        <v>413000</v>
      </c>
      <c r="G170" s="145">
        <f t="shared" si="21"/>
        <v>0</v>
      </c>
      <c r="H170" s="144"/>
      <c r="I170" s="142">
        <f>ROUND(F170,0)</f>
        <v>413000</v>
      </c>
      <c r="J170" s="145">
        <f t="shared" si="22"/>
        <v>0</v>
      </c>
      <c r="K170" s="144"/>
      <c r="L170" s="142">
        <f>ROUND(I170,0)</f>
        <v>413000</v>
      </c>
      <c r="M170" s="145">
        <f t="shared" si="23"/>
        <v>0</v>
      </c>
      <c r="O170" s="142">
        <f>ROUND(L170,0)</f>
        <v>413000</v>
      </c>
      <c r="P170" s="145">
        <f t="shared" si="24"/>
        <v>0</v>
      </c>
      <c r="Q170" s="130"/>
    </row>
    <row r="171" spans="2:17" s="147" customFormat="1" ht="91.5" customHeight="1" x14ac:dyDescent="0.25">
      <c r="B171" s="139"/>
      <c r="C171" s="140" t="s">
        <v>427</v>
      </c>
      <c r="D171" s="141" t="s">
        <v>428</v>
      </c>
      <c r="E171" s="142">
        <v>316901</v>
      </c>
      <c r="F171" s="142">
        <v>316901</v>
      </c>
      <c r="G171" s="145">
        <f t="shared" si="21"/>
        <v>0</v>
      </c>
      <c r="H171" s="144"/>
      <c r="I171" s="142">
        <f>ROUND(F171,0)+5070</f>
        <v>321971</v>
      </c>
      <c r="J171" s="145">
        <f t="shared" si="22"/>
        <v>5070</v>
      </c>
      <c r="K171" s="144" t="s">
        <v>429</v>
      </c>
      <c r="L171" s="142">
        <f>ROUND(I171,0)</f>
        <v>321971</v>
      </c>
      <c r="M171" s="145">
        <f t="shared" si="23"/>
        <v>0</v>
      </c>
      <c r="N171" s="144"/>
      <c r="O171" s="142">
        <f>ROUND(L171,0)+14000+12020</f>
        <v>347991</v>
      </c>
      <c r="P171" s="145">
        <f t="shared" si="24"/>
        <v>26020</v>
      </c>
      <c r="Q171" s="144" t="s">
        <v>1092</v>
      </c>
    </row>
    <row r="172" spans="2:17" ht="27.6" customHeight="1" x14ac:dyDescent="0.25">
      <c r="B172" s="64" t="s">
        <v>5</v>
      </c>
      <c r="C172" s="131" t="s">
        <v>430</v>
      </c>
      <c r="D172" s="134" t="s">
        <v>431</v>
      </c>
      <c r="E172" s="33">
        <v>237443</v>
      </c>
      <c r="F172" s="33">
        <v>237443</v>
      </c>
      <c r="G172" s="32">
        <f t="shared" si="21"/>
        <v>0</v>
      </c>
      <c r="H172" s="130"/>
      <c r="I172" s="33">
        <f>ROUND(F172,0)</f>
        <v>237443</v>
      </c>
      <c r="J172" s="32">
        <f t="shared" si="22"/>
        <v>0</v>
      </c>
      <c r="K172" s="130"/>
      <c r="L172" s="33">
        <f>ROUND(I172,0)</f>
        <v>237443</v>
      </c>
      <c r="M172" s="32">
        <f t="shared" si="23"/>
        <v>0</v>
      </c>
      <c r="N172" s="130"/>
      <c r="O172" s="33">
        <f t="shared" ref="O172:O173" si="31">ROUND(L172,0)</f>
        <v>237443</v>
      </c>
      <c r="P172" s="32">
        <f t="shared" si="24"/>
        <v>0</v>
      </c>
      <c r="Q172" s="130"/>
    </row>
    <row r="173" spans="2:17" ht="28.15" customHeight="1" x14ac:dyDescent="0.25">
      <c r="B173" s="64" t="s">
        <v>5</v>
      </c>
      <c r="C173" s="131" t="s">
        <v>432</v>
      </c>
      <c r="D173" s="134" t="s">
        <v>433</v>
      </c>
      <c r="E173" s="33">
        <v>418784</v>
      </c>
      <c r="F173" s="33">
        <v>339942</v>
      </c>
      <c r="G173" s="32">
        <f t="shared" si="21"/>
        <v>-78842</v>
      </c>
      <c r="H173" s="359" t="s">
        <v>434</v>
      </c>
      <c r="I173" s="33">
        <f>ROUND(F173,0)</f>
        <v>339942</v>
      </c>
      <c r="J173" s="32">
        <f t="shared" si="22"/>
        <v>0</v>
      </c>
      <c r="K173" s="359"/>
      <c r="L173" s="33">
        <f>ROUND(I173,0)</f>
        <v>339942</v>
      </c>
      <c r="M173" s="32">
        <f t="shared" si="23"/>
        <v>0</v>
      </c>
      <c r="N173" s="149"/>
      <c r="O173" s="33">
        <f t="shared" si="31"/>
        <v>339942</v>
      </c>
      <c r="P173" s="32">
        <f t="shared" si="24"/>
        <v>0</v>
      </c>
      <c r="Q173" s="149"/>
    </row>
    <row r="174" spans="2:17" ht="65.25" customHeight="1" x14ac:dyDescent="0.25">
      <c r="B174" s="64" t="s">
        <v>5</v>
      </c>
      <c r="C174" s="131" t="s">
        <v>435</v>
      </c>
      <c r="D174" s="134" t="s">
        <v>436</v>
      </c>
      <c r="E174" s="33">
        <v>1825310</v>
      </c>
      <c r="F174" s="33">
        <v>1904152</v>
      </c>
      <c r="G174" s="32">
        <f t="shared" si="21"/>
        <v>78842</v>
      </c>
      <c r="H174" s="360"/>
      <c r="I174" s="33">
        <f>ROUND(F174,0)</f>
        <v>1904152</v>
      </c>
      <c r="J174" s="32">
        <f t="shared" si="22"/>
        <v>0</v>
      </c>
      <c r="K174" s="360"/>
      <c r="L174" s="66">
        <f>ROUND(I174,0)-5051</f>
        <v>1899101</v>
      </c>
      <c r="M174" s="96">
        <f t="shared" si="23"/>
        <v>-5051</v>
      </c>
      <c r="N174" s="146" t="s">
        <v>423</v>
      </c>
      <c r="O174" s="66">
        <f>ROUND(L174,0)-55364</f>
        <v>1843737</v>
      </c>
      <c r="P174" s="96">
        <f t="shared" si="24"/>
        <v>-55364</v>
      </c>
      <c r="Q174" s="146" t="s">
        <v>424</v>
      </c>
    </row>
    <row r="175" spans="2:17" ht="18.600000000000001" hidden="1" customHeight="1" outlineLevel="1" x14ac:dyDescent="0.25">
      <c r="B175" s="64" t="s">
        <v>5</v>
      </c>
      <c r="C175" s="131" t="s">
        <v>437</v>
      </c>
      <c r="D175" s="134" t="s">
        <v>438</v>
      </c>
      <c r="E175" s="33"/>
      <c r="F175" s="33">
        <v>0</v>
      </c>
      <c r="G175" s="32">
        <f t="shared" si="21"/>
        <v>0</v>
      </c>
      <c r="H175" s="130"/>
      <c r="I175" s="33">
        <f t="shared" ref="I175:I181" si="32">ROUND(G175,0)</f>
        <v>0</v>
      </c>
      <c r="J175" s="32">
        <f t="shared" si="22"/>
        <v>0</v>
      </c>
      <c r="K175" s="130"/>
      <c r="L175" s="33">
        <f t="shared" ref="L175:L181" si="33">ROUND(J175,0)</f>
        <v>0</v>
      </c>
      <c r="M175" s="32">
        <f t="shared" si="23"/>
        <v>0</v>
      </c>
      <c r="N175" s="130"/>
      <c r="O175" s="33">
        <f t="shared" ref="O175:O181" si="34">ROUND(M175,0)</f>
        <v>0</v>
      </c>
      <c r="P175" s="32">
        <f t="shared" si="24"/>
        <v>0</v>
      </c>
      <c r="Q175" s="130"/>
    </row>
    <row r="176" spans="2:17" ht="43.5" hidden="1" customHeight="1" outlineLevel="1" x14ac:dyDescent="0.25">
      <c r="B176" s="64" t="s">
        <v>5</v>
      </c>
      <c r="C176" s="131" t="s">
        <v>439</v>
      </c>
      <c r="D176" s="134" t="s">
        <v>440</v>
      </c>
      <c r="E176" s="33"/>
      <c r="F176" s="33">
        <v>0</v>
      </c>
      <c r="G176" s="32">
        <f t="shared" si="21"/>
        <v>0</v>
      </c>
      <c r="H176" s="130"/>
      <c r="I176" s="33">
        <f t="shared" si="32"/>
        <v>0</v>
      </c>
      <c r="J176" s="32">
        <f t="shared" si="22"/>
        <v>0</v>
      </c>
      <c r="K176" s="130"/>
      <c r="L176" s="33">
        <f t="shared" si="33"/>
        <v>0</v>
      </c>
      <c r="M176" s="32">
        <f t="shared" si="23"/>
        <v>0</v>
      </c>
      <c r="N176" s="130"/>
      <c r="O176" s="33">
        <f t="shared" si="34"/>
        <v>0</v>
      </c>
      <c r="P176" s="32">
        <f t="shared" si="24"/>
        <v>0</v>
      </c>
      <c r="Q176" s="130"/>
    </row>
    <row r="177" spans="2:17" ht="25.9" hidden="1" customHeight="1" outlineLevel="1" x14ac:dyDescent="0.25">
      <c r="B177" s="64" t="s">
        <v>5</v>
      </c>
      <c r="C177" s="131" t="s">
        <v>441</v>
      </c>
      <c r="D177" s="134" t="s">
        <v>442</v>
      </c>
      <c r="E177" s="33"/>
      <c r="F177" s="33">
        <v>0</v>
      </c>
      <c r="G177" s="32">
        <f t="shared" si="21"/>
        <v>0</v>
      </c>
      <c r="H177" s="130"/>
      <c r="I177" s="33">
        <f t="shared" si="32"/>
        <v>0</v>
      </c>
      <c r="J177" s="32">
        <f t="shared" si="22"/>
        <v>0</v>
      </c>
      <c r="K177" s="130"/>
      <c r="L177" s="33">
        <f t="shared" si="33"/>
        <v>0</v>
      </c>
      <c r="M177" s="32">
        <f t="shared" si="23"/>
        <v>0</v>
      </c>
      <c r="N177" s="130"/>
      <c r="O177" s="33">
        <f t="shared" si="34"/>
        <v>0</v>
      </c>
      <c r="P177" s="32">
        <f t="shared" si="24"/>
        <v>0</v>
      </c>
      <c r="Q177" s="130"/>
    </row>
    <row r="178" spans="2:17" ht="45.6" hidden="1" customHeight="1" outlineLevel="1" x14ac:dyDescent="0.25">
      <c r="B178" s="64" t="s">
        <v>5</v>
      </c>
      <c r="C178" s="131" t="s">
        <v>443</v>
      </c>
      <c r="D178" s="134" t="s">
        <v>444</v>
      </c>
      <c r="E178" s="33"/>
      <c r="F178" s="33">
        <v>0</v>
      </c>
      <c r="G178" s="32">
        <f t="shared" si="21"/>
        <v>0</v>
      </c>
      <c r="H178" s="130"/>
      <c r="I178" s="33">
        <f t="shared" si="32"/>
        <v>0</v>
      </c>
      <c r="J178" s="32">
        <f t="shared" si="22"/>
        <v>0</v>
      </c>
      <c r="K178" s="130"/>
      <c r="L178" s="33">
        <f t="shared" si="33"/>
        <v>0</v>
      </c>
      <c r="M178" s="32">
        <f t="shared" si="23"/>
        <v>0</v>
      </c>
      <c r="N178" s="130"/>
      <c r="O178" s="33">
        <f t="shared" si="34"/>
        <v>0</v>
      </c>
      <c r="P178" s="32">
        <f t="shared" si="24"/>
        <v>0</v>
      </c>
      <c r="Q178" s="130"/>
    </row>
    <row r="179" spans="2:17" ht="18.600000000000001" hidden="1" customHeight="1" outlineLevel="1" x14ac:dyDescent="0.25">
      <c r="B179" s="64" t="s">
        <v>445</v>
      </c>
      <c r="C179" s="131" t="s">
        <v>446</v>
      </c>
      <c r="D179" s="134" t="s">
        <v>447</v>
      </c>
      <c r="E179" s="33"/>
      <c r="F179" s="33">
        <v>0</v>
      </c>
      <c r="G179" s="32">
        <f t="shared" si="21"/>
        <v>0</v>
      </c>
      <c r="H179" s="130"/>
      <c r="I179" s="33">
        <f t="shared" si="32"/>
        <v>0</v>
      </c>
      <c r="J179" s="32">
        <f t="shared" si="22"/>
        <v>0</v>
      </c>
      <c r="K179" s="130"/>
      <c r="L179" s="33">
        <f t="shared" si="33"/>
        <v>0</v>
      </c>
      <c r="M179" s="32">
        <f t="shared" si="23"/>
        <v>0</v>
      </c>
      <c r="N179" s="130"/>
      <c r="O179" s="33">
        <f t="shared" si="34"/>
        <v>0</v>
      </c>
      <c r="P179" s="32">
        <f t="shared" si="24"/>
        <v>0</v>
      </c>
      <c r="Q179" s="130"/>
    </row>
    <row r="180" spans="2:17" ht="29.45" hidden="1" customHeight="1" outlineLevel="1" x14ac:dyDescent="0.25">
      <c r="B180" s="64"/>
      <c r="C180" s="131" t="s">
        <v>448</v>
      </c>
      <c r="D180" s="134" t="s">
        <v>449</v>
      </c>
      <c r="E180" s="33">
        <v>0</v>
      </c>
      <c r="F180" s="33">
        <v>0</v>
      </c>
      <c r="G180" s="32">
        <f t="shared" si="21"/>
        <v>0</v>
      </c>
      <c r="H180" s="130"/>
      <c r="I180" s="33">
        <f t="shared" si="32"/>
        <v>0</v>
      </c>
      <c r="J180" s="32">
        <f t="shared" si="22"/>
        <v>0</v>
      </c>
      <c r="K180" s="130"/>
      <c r="L180" s="33">
        <f t="shared" si="33"/>
        <v>0</v>
      </c>
      <c r="M180" s="32">
        <f t="shared" si="23"/>
        <v>0</v>
      </c>
      <c r="N180" s="130"/>
      <c r="O180" s="33">
        <f t="shared" si="34"/>
        <v>0</v>
      </c>
      <c r="P180" s="32">
        <f t="shared" si="24"/>
        <v>0</v>
      </c>
      <c r="Q180" s="130"/>
    </row>
    <row r="181" spans="2:17" ht="29.45" hidden="1" customHeight="1" outlineLevel="1" x14ac:dyDescent="0.25">
      <c r="B181" s="64" t="s">
        <v>450</v>
      </c>
      <c r="C181" s="131" t="s">
        <v>451</v>
      </c>
      <c r="D181" s="134" t="s">
        <v>452</v>
      </c>
      <c r="E181" s="33">
        <v>0</v>
      </c>
      <c r="F181" s="33">
        <v>0</v>
      </c>
      <c r="G181" s="32">
        <f t="shared" si="21"/>
        <v>0</v>
      </c>
      <c r="H181" s="35"/>
      <c r="I181" s="33">
        <f t="shared" si="32"/>
        <v>0</v>
      </c>
      <c r="J181" s="32">
        <f t="shared" si="22"/>
        <v>0</v>
      </c>
      <c r="K181" s="35"/>
      <c r="L181" s="33">
        <f t="shared" si="33"/>
        <v>0</v>
      </c>
      <c r="M181" s="32">
        <f t="shared" si="23"/>
        <v>0</v>
      </c>
      <c r="N181" s="35"/>
      <c r="O181" s="33">
        <f t="shared" si="34"/>
        <v>0</v>
      </c>
      <c r="P181" s="32">
        <f t="shared" si="24"/>
        <v>0</v>
      </c>
      <c r="Q181" s="35"/>
    </row>
    <row r="182" spans="2:17" collapsed="1" x14ac:dyDescent="0.25">
      <c r="C182" s="122" t="s">
        <v>59</v>
      </c>
      <c r="D182" s="123" t="s">
        <v>453</v>
      </c>
      <c r="E182" s="38">
        <v>2552007</v>
      </c>
      <c r="F182" s="39">
        <v>2552007</v>
      </c>
      <c r="G182" s="38">
        <f t="shared" si="21"/>
        <v>0</v>
      </c>
      <c r="H182" s="38"/>
      <c r="I182" s="39">
        <f>SUM(I183,I188:I192)+I195+I196</f>
        <v>2536621</v>
      </c>
      <c r="J182" s="38">
        <f t="shared" si="22"/>
        <v>-15386</v>
      </c>
      <c r="K182" s="38"/>
      <c r="L182" s="39">
        <f>SUM(L183,L188:L192)+L195+L196</f>
        <v>2587421</v>
      </c>
      <c r="M182" s="38">
        <f t="shared" si="23"/>
        <v>50800</v>
      </c>
      <c r="N182" s="38"/>
      <c r="O182" s="39">
        <f>SUM(O183,O188:O192)+O195+O196</f>
        <v>2591021</v>
      </c>
      <c r="P182" s="38">
        <f t="shared" si="24"/>
        <v>3600</v>
      </c>
      <c r="Q182" s="38"/>
    </row>
    <row r="183" spans="2:17" ht="23.25" customHeight="1" x14ac:dyDescent="0.25">
      <c r="C183" s="119" t="s">
        <v>62</v>
      </c>
      <c r="D183" s="120" t="s">
        <v>454</v>
      </c>
      <c r="E183" s="54">
        <v>1535520</v>
      </c>
      <c r="F183" s="54">
        <v>1535520</v>
      </c>
      <c r="G183" s="54">
        <f t="shared" si="21"/>
        <v>0</v>
      </c>
      <c r="H183" s="54">
        <f>SUM(H184:H187)</f>
        <v>0</v>
      </c>
      <c r="I183" s="54">
        <f>SUM(I184:I187)</f>
        <v>1535520</v>
      </c>
      <c r="J183" s="54">
        <f t="shared" si="22"/>
        <v>0</v>
      </c>
      <c r="K183" s="54">
        <f>SUM(K184:K187)</f>
        <v>0</v>
      </c>
      <c r="L183" s="54">
        <f>SUM(L184:L187)</f>
        <v>1555520</v>
      </c>
      <c r="M183" s="54">
        <f t="shared" si="23"/>
        <v>20000</v>
      </c>
      <c r="N183" s="54">
        <f>SUM(N184:N187)</f>
        <v>0</v>
      </c>
      <c r="O183" s="54">
        <f>SUM(O184:O187)</f>
        <v>1559120</v>
      </c>
      <c r="P183" s="54">
        <f t="shared" si="24"/>
        <v>3600</v>
      </c>
      <c r="Q183" s="54">
        <f>SUM(Q184:Q187)</f>
        <v>0</v>
      </c>
    </row>
    <row r="184" spans="2:17" ht="33" customHeight="1" x14ac:dyDescent="0.25">
      <c r="B184" s="64" t="s">
        <v>455</v>
      </c>
      <c r="C184" s="125" t="s">
        <v>65</v>
      </c>
      <c r="D184" s="126" t="s">
        <v>456</v>
      </c>
      <c r="E184" s="33">
        <v>793277</v>
      </c>
      <c r="F184" s="33">
        <v>793277</v>
      </c>
      <c r="G184" s="32">
        <f t="shared" si="21"/>
        <v>0</v>
      </c>
      <c r="H184" s="130"/>
      <c r="I184" s="33">
        <f>ROUND(F184,0)</f>
        <v>793277</v>
      </c>
      <c r="J184" s="32">
        <f t="shared" si="22"/>
        <v>0</v>
      </c>
      <c r="K184" s="130"/>
      <c r="L184" s="33">
        <f>ROUND(I184,0)+20000</f>
        <v>813277</v>
      </c>
      <c r="M184" s="32">
        <f t="shared" si="23"/>
        <v>20000</v>
      </c>
      <c r="N184" s="130" t="s">
        <v>457</v>
      </c>
      <c r="O184" s="33">
        <f>ROUND(L184,0)</f>
        <v>813277</v>
      </c>
      <c r="P184" s="32">
        <f t="shared" si="24"/>
        <v>0</v>
      </c>
      <c r="Q184" s="130"/>
    </row>
    <row r="185" spans="2:17" ht="14.25" customHeight="1" x14ac:dyDescent="0.25">
      <c r="B185" s="64" t="s">
        <v>458</v>
      </c>
      <c r="C185" s="125" t="s">
        <v>68</v>
      </c>
      <c r="D185" s="126" t="s">
        <v>459</v>
      </c>
      <c r="E185" s="33">
        <v>526028</v>
      </c>
      <c r="F185" s="33">
        <v>526028</v>
      </c>
      <c r="G185" s="32">
        <f t="shared" si="21"/>
        <v>0</v>
      </c>
      <c r="H185" s="130"/>
      <c r="I185" s="33">
        <f>ROUND(F185,0)</f>
        <v>526028</v>
      </c>
      <c r="J185" s="32">
        <f t="shared" si="22"/>
        <v>0</v>
      </c>
      <c r="K185" s="130"/>
      <c r="L185" s="33">
        <f>ROUND(I185,0)</f>
        <v>526028</v>
      </c>
      <c r="M185" s="32">
        <f t="shared" si="23"/>
        <v>0</v>
      </c>
      <c r="N185" s="130"/>
      <c r="O185" s="33">
        <f>ROUND(L185,0)</f>
        <v>526028</v>
      </c>
      <c r="P185" s="32">
        <f t="shared" si="24"/>
        <v>0</v>
      </c>
      <c r="Q185" s="130"/>
    </row>
    <row r="186" spans="2:17" ht="31.5" customHeight="1" x14ac:dyDescent="0.25">
      <c r="B186" s="64" t="s">
        <v>460</v>
      </c>
      <c r="C186" s="125" t="s">
        <v>71</v>
      </c>
      <c r="D186" s="126" t="s">
        <v>461</v>
      </c>
      <c r="E186" s="33">
        <v>185916</v>
      </c>
      <c r="F186" s="33">
        <v>185916</v>
      </c>
      <c r="G186" s="32">
        <f t="shared" si="21"/>
        <v>0</v>
      </c>
      <c r="H186" s="35"/>
      <c r="I186" s="33">
        <f>ROUND(F186,0)</f>
        <v>185916</v>
      </c>
      <c r="J186" s="32">
        <f t="shared" si="22"/>
        <v>0</v>
      </c>
      <c r="K186" s="35"/>
      <c r="L186" s="33">
        <f>ROUND(I186,0)</f>
        <v>185916</v>
      </c>
      <c r="M186" s="32">
        <f t="shared" si="23"/>
        <v>0</v>
      </c>
      <c r="N186" s="35"/>
      <c r="O186" s="33">
        <f>ROUND(L186,0)+3600</f>
        <v>189516</v>
      </c>
      <c r="P186" s="32">
        <f t="shared" si="24"/>
        <v>3600</v>
      </c>
      <c r="Q186" s="35" t="s">
        <v>1093</v>
      </c>
    </row>
    <row r="187" spans="2:17" ht="23.25" customHeight="1" x14ac:dyDescent="0.25">
      <c r="B187" s="64" t="s">
        <v>462</v>
      </c>
      <c r="C187" s="125" t="s">
        <v>463</v>
      </c>
      <c r="D187" s="126" t="s">
        <v>464</v>
      </c>
      <c r="E187" s="66">
        <v>30299</v>
      </c>
      <c r="F187" s="66">
        <v>30299</v>
      </c>
      <c r="G187" s="32">
        <f t="shared" si="21"/>
        <v>0</v>
      </c>
      <c r="H187" s="150"/>
      <c r="I187" s="66">
        <f>ROUND(F187,0)</f>
        <v>30299</v>
      </c>
      <c r="J187" s="32">
        <f t="shared" si="22"/>
        <v>0</v>
      </c>
      <c r="K187" s="150"/>
      <c r="L187" s="66">
        <f>ROUND(I187,0)</f>
        <v>30299</v>
      </c>
      <c r="M187" s="32">
        <f t="shared" si="23"/>
        <v>0</v>
      </c>
      <c r="N187" s="150"/>
      <c r="O187" s="66">
        <f>ROUND(L187,0)</f>
        <v>30299</v>
      </c>
      <c r="P187" s="32">
        <f t="shared" si="24"/>
        <v>0</v>
      </c>
      <c r="Q187" s="150"/>
    </row>
    <row r="188" spans="2:17" ht="29.45" hidden="1" customHeight="1" outlineLevel="1" x14ac:dyDescent="0.25">
      <c r="B188" s="64" t="s">
        <v>465</v>
      </c>
      <c r="C188" s="151" t="s">
        <v>74</v>
      </c>
      <c r="D188" s="152" t="s">
        <v>466</v>
      </c>
      <c r="E188" s="54"/>
      <c r="F188" s="54">
        <v>0</v>
      </c>
      <c r="G188" s="53">
        <f t="shared" si="21"/>
        <v>0</v>
      </c>
      <c r="H188" s="153" t="s">
        <v>467</v>
      </c>
      <c r="I188" s="54"/>
      <c r="J188" s="53">
        <f t="shared" si="22"/>
        <v>0</v>
      </c>
      <c r="K188" s="69"/>
      <c r="L188" s="54"/>
      <c r="M188" s="53">
        <f t="shared" si="23"/>
        <v>0</v>
      </c>
      <c r="N188" s="69"/>
      <c r="O188" s="54"/>
      <c r="P188" s="53">
        <f t="shared" si="24"/>
        <v>0</v>
      </c>
      <c r="Q188" s="69"/>
    </row>
    <row r="189" spans="2:17" ht="27" hidden="1" customHeight="1" outlineLevel="1" x14ac:dyDescent="0.25">
      <c r="B189" s="64" t="s">
        <v>468</v>
      </c>
      <c r="C189" s="151" t="s">
        <v>469</v>
      </c>
      <c r="D189" s="152" t="s">
        <v>470</v>
      </c>
      <c r="E189" s="54"/>
      <c r="F189" s="54">
        <v>0</v>
      </c>
      <c r="G189" s="53">
        <f t="shared" si="21"/>
        <v>0</v>
      </c>
      <c r="H189" s="69"/>
      <c r="I189" s="54"/>
      <c r="J189" s="53">
        <f t="shared" si="22"/>
        <v>0</v>
      </c>
      <c r="K189" s="69"/>
      <c r="L189" s="54"/>
      <c r="M189" s="53">
        <f t="shared" si="23"/>
        <v>0</v>
      </c>
      <c r="N189" s="69"/>
      <c r="O189" s="54"/>
      <c r="P189" s="53">
        <f t="shared" si="24"/>
        <v>0</v>
      </c>
      <c r="Q189" s="69"/>
    </row>
    <row r="190" spans="2:17" ht="15" customHeight="1" collapsed="1" x14ac:dyDescent="0.25">
      <c r="B190" s="64" t="s">
        <v>471</v>
      </c>
      <c r="C190" s="119" t="s">
        <v>74</v>
      </c>
      <c r="D190" s="120" t="s">
        <v>472</v>
      </c>
      <c r="E190" s="54">
        <v>158076</v>
      </c>
      <c r="F190" s="54">
        <v>158076</v>
      </c>
      <c r="G190" s="53">
        <f t="shared" si="21"/>
        <v>0</v>
      </c>
      <c r="H190" s="154"/>
      <c r="I190" s="54">
        <f>ROUND(F190,0)</f>
        <v>158076</v>
      </c>
      <c r="J190" s="53">
        <f t="shared" si="22"/>
        <v>0</v>
      </c>
      <c r="K190" s="154"/>
      <c r="L190" s="54">
        <f>ROUND(I190,0)</f>
        <v>158076</v>
      </c>
      <c r="M190" s="53">
        <f t="shared" si="23"/>
        <v>0</v>
      </c>
      <c r="N190" s="154"/>
      <c r="O190" s="54">
        <f>ROUND(L190,0)</f>
        <v>158076</v>
      </c>
      <c r="P190" s="53">
        <f t="shared" si="24"/>
        <v>0</v>
      </c>
      <c r="Q190" s="154"/>
    </row>
    <row r="191" spans="2:17" ht="15.6" customHeight="1" x14ac:dyDescent="0.25">
      <c r="B191" s="64" t="s">
        <v>473</v>
      </c>
      <c r="C191" s="119" t="s">
        <v>469</v>
      </c>
      <c r="D191" s="120" t="s">
        <v>474</v>
      </c>
      <c r="E191" s="54">
        <v>73071</v>
      </c>
      <c r="F191" s="54">
        <v>73071</v>
      </c>
      <c r="G191" s="53">
        <f t="shared" ref="G191:G254" si="35">F191-E191</f>
        <v>0</v>
      </c>
      <c r="H191" s="154"/>
      <c r="I191" s="54">
        <f>ROUND(F191,0)</f>
        <v>73071</v>
      </c>
      <c r="J191" s="53">
        <f t="shared" ref="J191:J254" si="36">I191-F191</f>
        <v>0</v>
      </c>
      <c r="K191" s="154"/>
      <c r="L191" s="54">
        <f>ROUND(I191,0)</f>
        <v>73071</v>
      </c>
      <c r="M191" s="53">
        <f t="shared" ref="M191:M254" si="37">L191-I191</f>
        <v>0</v>
      </c>
      <c r="N191" s="154"/>
      <c r="O191" s="54">
        <f>ROUND(L191,0)</f>
        <v>73071</v>
      </c>
      <c r="P191" s="53">
        <f t="shared" ref="P191:P254" si="38">O191-L191</f>
        <v>0</v>
      </c>
      <c r="Q191" s="154"/>
    </row>
    <row r="192" spans="2:17" ht="15" customHeight="1" x14ac:dyDescent="0.25">
      <c r="B192" s="64" t="s">
        <v>285</v>
      </c>
      <c r="C192" s="119" t="s">
        <v>475</v>
      </c>
      <c r="D192" s="120" t="s">
        <v>476</v>
      </c>
      <c r="E192" s="54">
        <v>762112</v>
      </c>
      <c r="F192" s="54">
        <v>762112</v>
      </c>
      <c r="G192" s="53">
        <f t="shared" si="35"/>
        <v>0</v>
      </c>
      <c r="H192" s="69"/>
      <c r="I192" s="54">
        <f>I193+I194</f>
        <v>746726</v>
      </c>
      <c r="J192" s="53">
        <f t="shared" si="36"/>
        <v>-15386</v>
      </c>
      <c r="K192" s="69"/>
      <c r="L192" s="54">
        <f>L193+L194</f>
        <v>777526</v>
      </c>
      <c r="M192" s="53">
        <f t="shared" si="37"/>
        <v>30800</v>
      </c>
      <c r="N192" s="69"/>
      <c r="O192" s="54">
        <f>O193+O194</f>
        <v>777526</v>
      </c>
      <c r="P192" s="53">
        <f t="shared" si="38"/>
        <v>0</v>
      </c>
      <c r="Q192" s="69"/>
    </row>
    <row r="193" spans="2:17" ht="16.5" customHeight="1" x14ac:dyDescent="0.25">
      <c r="B193" s="64"/>
      <c r="C193" s="155" t="s">
        <v>477</v>
      </c>
      <c r="D193" s="126" t="s">
        <v>478</v>
      </c>
      <c r="E193" s="66">
        <v>454642</v>
      </c>
      <c r="F193" s="66">
        <v>465101</v>
      </c>
      <c r="G193" s="148">
        <f t="shared" si="35"/>
        <v>10459</v>
      </c>
      <c r="H193" s="357" t="s">
        <v>479</v>
      </c>
      <c r="I193" s="66">
        <f>ROUND(F193,0)+650</f>
        <v>465751</v>
      </c>
      <c r="J193" s="148">
        <f t="shared" si="36"/>
        <v>650</v>
      </c>
      <c r="K193" s="44" t="s">
        <v>327</v>
      </c>
      <c r="L193" s="66">
        <f>ROUND(I193,0)+17000+13800</f>
        <v>496551</v>
      </c>
      <c r="M193" s="148">
        <f t="shared" si="37"/>
        <v>30800</v>
      </c>
      <c r="N193" s="44" t="s">
        <v>480</v>
      </c>
      <c r="O193" s="66">
        <f>ROUND(L193,0)</f>
        <v>496551</v>
      </c>
      <c r="P193" s="148">
        <f t="shared" si="38"/>
        <v>0</v>
      </c>
      <c r="Q193" s="44"/>
    </row>
    <row r="194" spans="2:17" ht="16.5" customHeight="1" x14ac:dyDescent="0.25">
      <c r="B194" s="64"/>
      <c r="C194" s="155" t="s">
        <v>481</v>
      </c>
      <c r="D194" s="126" t="s">
        <v>482</v>
      </c>
      <c r="E194" s="66">
        <v>307470</v>
      </c>
      <c r="F194" s="66">
        <v>297011</v>
      </c>
      <c r="G194" s="148">
        <f t="shared" si="35"/>
        <v>-10459</v>
      </c>
      <c r="H194" s="358"/>
      <c r="I194" s="66">
        <f>ROUND(F194,0)-14715-1321</f>
        <v>280975</v>
      </c>
      <c r="J194" s="148">
        <f t="shared" si="36"/>
        <v>-16036</v>
      </c>
      <c r="K194" s="156" t="s">
        <v>483</v>
      </c>
      <c r="L194" s="66">
        <f>ROUND(I194,0)</f>
        <v>280975</v>
      </c>
      <c r="M194" s="148">
        <f t="shared" si="37"/>
        <v>0</v>
      </c>
      <c r="N194" s="156"/>
      <c r="O194" s="66">
        <f>ROUND(L194,0)</f>
        <v>280975</v>
      </c>
      <c r="P194" s="148">
        <f t="shared" si="38"/>
        <v>0</v>
      </c>
      <c r="Q194" s="156"/>
    </row>
    <row r="195" spans="2:17" ht="15.6" customHeight="1" x14ac:dyDescent="0.25">
      <c r="B195" s="64" t="s">
        <v>484</v>
      </c>
      <c r="C195" s="119" t="s">
        <v>485</v>
      </c>
      <c r="D195" s="120" t="s">
        <v>486</v>
      </c>
      <c r="E195" s="54">
        <v>4000</v>
      </c>
      <c r="F195" s="54">
        <v>4000</v>
      </c>
      <c r="G195" s="53">
        <f t="shared" si="35"/>
        <v>0</v>
      </c>
      <c r="H195" s="121"/>
      <c r="I195" s="54">
        <f>ROUND(F195,0)</f>
        <v>4000</v>
      </c>
      <c r="J195" s="53">
        <f t="shared" si="36"/>
        <v>0</v>
      </c>
      <c r="K195" s="121"/>
      <c r="L195" s="54">
        <f>ROUND(I195,0)</f>
        <v>4000</v>
      </c>
      <c r="M195" s="53">
        <f t="shared" si="37"/>
        <v>0</v>
      </c>
      <c r="N195" s="121"/>
      <c r="O195" s="54">
        <f>ROUND(L195,0)</f>
        <v>4000</v>
      </c>
      <c r="P195" s="53">
        <f t="shared" si="38"/>
        <v>0</v>
      </c>
      <c r="Q195" s="121"/>
    </row>
    <row r="196" spans="2:17" ht="15.6" customHeight="1" x14ac:dyDescent="0.25">
      <c r="B196" s="64" t="s">
        <v>487</v>
      </c>
      <c r="C196" s="119" t="s">
        <v>488</v>
      </c>
      <c r="D196" s="120" t="s">
        <v>489</v>
      </c>
      <c r="E196" s="54">
        <v>19228</v>
      </c>
      <c r="F196" s="54">
        <v>19228</v>
      </c>
      <c r="G196" s="53">
        <f t="shared" si="35"/>
        <v>0</v>
      </c>
      <c r="H196" s="121"/>
      <c r="I196" s="54">
        <f>ROUND(F196,0)</f>
        <v>19228</v>
      </c>
      <c r="J196" s="53">
        <f t="shared" si="36"/>
        <v>0</v>
      </c>
      <c r="K196" s="121"/>
      <c r="L196" s="54">
        <f>ROUND(I196,0)</f>
        <v>19228</v>
      </c>
      <c r="M196" s="53">
        <f t="shared" si="37"/>
        <v>0</v>
      </c>
      <c r="N196" s="121"/>
      <c r="O196" s="54">
        <f>ROUND(L196,0)</f>
        <v>19228</v>
      </c>
      <c r="P196" s="53">
        <f t="shared" si="38"/>
        <v>0</v>
      </c>
      <c r="Q196" s="121"/>
    </row>
    <row r="197" spans="2:17" s="111" customFormat="1" ht="15.6" customHeight="1" x14ac:dyDescent="0.2">
      <c r="C197" s="122" t="s">
        <v>95</v>
      </c>
      <c r="D197" s="123" t="s">
        <v>490</v>
      </c>
      <c r="E197" s="38">
        <v>3538928</v>
      </c>
      <c r="F197" s="38">
        <v>3546428</v>
      </c>
      <c r="G197" s="38">
        <f t="shared" si="35"/>
        <v>7500</v>
      </c>
      <c r="H197" s="38"/>
      <c r="I197" s="38">
        <f>I198+I204+I207+I212+I213+I214+I215+I216</f>
        <v>3546428</v>
      </c>
      <c r="J197" s="38">
        <f t="shared" si="36"/>
        <v>0</v>
      </c>
      <c r="K197" s="38"/>
      <c r="L197" s="38">
        <f>L198+L204+L207+L212+L213+L214+L215+L216</f>
        <v>3546428</v>
      </c>
      <c r="M197" s="38">
        <f t="shared" si="37"/>
        <v>0</v>
      </c>
      <c r="N197" s="38"/>
      <c r="O197" s="38">
        <f>O198+O204+O207+O212+O213+O214+O215+O216</f>
        <v>3479428</v>
      </c>
      <c r="P197" s="38">
        <f t="shared" si="38"/>
        <v>-67000</v>
      </c>
      <c r="Q197" s="38"/>
    </row>
    <row r="198" spans="2:17" s="111" customFormat="1" ht="15" customHeight="1" x14ac:dyDescent="0.25">
      <c r="C198" s="119" t="s">
        <v>98</v>
      </c>
      <c r="D198" s="120" t="s">
        <v>491</v>
      </c>
      <c r="E198" s="53">
        <v>2760943</v>
      </c>
      <c r="F198" s="53">
        <v>2768443</v>
      </c>
      <c r="G198" s="53">
        <f t="shared" si="35"/>
        <v>7500</v>
      </c>
      <c r="H198" s="53"/>
      <c r="I198" s="53">
        <f>SUM(I199:I203)</f>
        <v>2768443</v>
      </c>
      <c r="J198" s="53">
        <f t="shared" si="36"/>
        <v>0</v>
      </c>
      <c r="K198" s="53"/>
      <c r="L198" s="53">
        <f>SUM(L199:L203)</f>
        <v>2768443</v>
      </c>
      <c r="M198" s="53">
        <f t="shared" si="37"/>
        <v>0</v>
      </c>
      <c r="N198" s="53"/>
      <c r="O198" s="53">
        <f>SUM(O199:O203)</f>
        <v>2701443</v>
      </c>
      <c r="P198" s="53">
        <f t="shared" si="38"/>
        <v>-67000</v>
      </c>
      <c r="Q198" s="53"/>
    </row>
    <row r="199" spans="2:17" s="157" customFormat="1" ht="18" customHeight="1" outlineLevel="1" x14ac:dyDescent="0.25">
      <c r="B199" s="157" t="s">
        <v>492</v>
      </c>
      <c r="C199" s="155" t="s">
        <v>493</v>
      </c>
      <c r="D199" s="158" t="s">
        <v>494</v>
      </c>
      <c r="E199" s="159">
        <v>638988</v>
      </c>
      <c r="F199" s="159">
        <v>646488</v>
      </c>
      <c r="G199" s="148">
        <f t="shared" si="35"/>
        <v>7500</v>
      </c>
      <c r="H199" s="68" t="s">
        <v>182</v>
      </c>
      <c r="I199" s="159">
        <f>ROUND(F199,0)</f>
        <v>646488</v>
      </c>
      <c r="J199" s="148">
        <f t="shared" si="36"/>
        <v>0</v>
      </c>
      <c r="K199" s="68"/>
      <c r="L199" s="159">
        <f>ROUND(I199,0)</f>
        <v>646488</v>
      </c>
      <c r="M199" s="148">
        <f t="shared" si="37"/>
        <v>0</v>
      </c>
      <c r="N199" s="68"/>
      <c r="O199" s="159">
        <f>ROUND(L199,0)</f>
        <v>646488</v>
      </c>
      <c r="P199" s="148">
        <f t="shared" si="38"/>
        <v>0</v>
      </c>
      <c r="Q199" s="68"/>
    </row>
    <row r="200" spans="2:17" s="157" customFormat="1" ht="39" customHeight="1" outlineLevel="1" x14ac:dyDescent="0.25">
      <c r="B200" s="160" t="s">
        <v>495</v>
      </c>
      <c r="C200" s="155" t="s">
        <v>496</v>
      </c>
      <c r="D200" s="158" t="s">
        <v>497</v>
      </c>
      <c r="E200" s="159">
        <v>1540233</v>
      </c>
      <c r="F200" s="159">
        <v>1540233</v>
      </c>
      <c r="G200" s="148">
        <f t="shared" si="35"/>
        <v>0</v>
      </c>
      <c r="H200" s="35"/>
      <c r="I200" s="159">
        <f>ROUND(F200,0)</f>
        <v>1540233</v>
      </c>
      <c r="J200" s="148">
        <f t="shared" si="36"/>
        <v>0</v>
      </c>
      <c r="K200" s="35"/>
      <c r="L200" s="159">
        <f>ROUND(I200,0)</f>
        <v>1540233</v>
      </c>
      <c r="M200" s="148">
        <f t="shared" si="37"/>
        <v>0</v>
      </c>
      <c r="N200" s="35"/>
      <c r="O200" s="159">
        <f>ROUND(L200,0)-24862-42138</f>
        <v>1473233</v>
      </c>
      <c r="P200" s="148">
        <f t="shared" si="38"/>
        <v>-67000</v>
      </c>
      <c r="Q200" s="35" t="s">
        <v>1096</v>
      </c>
    </row>
    <row r="201" spans="2:17" s="157" customFormat="1" ht="17.45" customHeight="1" outlineLevel="1" x14ac:dyDescent="0.25">
      <c r="B201" s="157">
        <v>1010</v>
      </c>
      <c r="C201" s="155" t="s">
        <v>498</v>
      </c>
      <c r="D201" s="158" t="s">
        <v>499</v>
      </c>
      <c r="E201" s="159">
        <v>0</v>
      </c>
      <c r="F201" s="159">
        <v>0</v>
      </c>
      <c r="G201" s="148">
        <f t="shared" si="35"/>
        <v>0</v>
      </c>
      <c r="H201" s="68"/>
      <c r="I201" s="159">
        <f>ROUND(F201,0)</f>
        <v>0</v>
      </c>
      <c r="J201" s="148">
        <f t="shared" si="36"/>
        <v>0</v>
      </c>
      <c r="K201" s="68"/>
      <c r="L201" s="159">
        <f>ROUND(I201,0)</f>
        <v>0</v>
      </c>
      <c r="M201" s="148">
        <f t="shared" si="37"/>
        <v>0</v>
      </c>
      <c r="N201" s="68"/>
      <c r="O201" s="159">
        <f>ROUND(L201,0)</f>
        <v>0</v>
      </c>
      <c r="P201" s="148">
        <f t="shared" si="38"/>
        <v>0</v>
      </c>
      <c r="Q201" s="68"/>
    </row>
    <row r="202" spans="2:17" s="157" customFormat="1" outlineLevel="1" x14ac:dyDescent="0.25">
      <c r="B202" s="157">
        <v>1012</v>
      </c>
      <c r="C202" s="155" t="s">
        <v>500</v>
      </c>
      <c r="D202" s="158" t="s">
        <v>501</v>
      </c>
      <c r="E202" s="159">
        <v>580000</v>
      </c>
      <c r="F202" s="159">
        <v>580000</v>
      </c>
      <c r="G202" s="148">
        <f t="shared" si="35"/>
        <v>0</v>
      </c>
      <c r="H202" s="161"/>
      <c r="I202" s="159">
        <f>ROUND(F202,0)</f>
        <v>580000</v>
      </c>
      <c r="J202" s="148">
        <f t="shared" si="36"/>
        <v>0</v>
      </c>
      <c r="K202" s="161"/>
      <c r="L202" s="159">
        <f>ROUND(I202,0)</f>
        <v>580000</v>
      </c>
      <c r="M202" s="148">
        <f t="shared" si="37"/>
        <v>0</v>
      </c>
      <c r="N202" s="161"/>
      <c r="O202" s="159">
        <f>ROUND(L202,0)</f>
        <v>580000</v>
      </c>
      <c r="P202" s="148">
        <f t="shared" si="38"/>
        <v>0</v>
      </c>
      <c r="Q202" s="161"/>
    </row>
    <row r="203" spans="2:17" s="157" customFormat="1" outlineLevel="1" x14ac:dyDescent="0.25">
      <c r="C203" s="155" t="s">
        <v>502</v>
      </c>
      <c r="D203" s="158" t="s">
        <v>503</v>
      </c>
      <c r="E203" s="159">
        <v>1722</v>
      </c>
      <c r="F203" s="159">
        <v>1722</v>
      </c>
      <c r="G203" s="148">
        <f t="shared" si="35"/>
        <v>0</v>
      </c>
      <c r="H203" s="161"/>
      <c r="I203" s="159">
        <f>ROUND(F203,0)</f>
        <v>1722</v>
      </c>
      <c r="J203" s="148">
        <f t="shared" si="36"/>
        <v>0</v>
      </c>
      <c r="K203" s="161"/>
      <c r="L203" s="159">
        <f>ROUND(I203,0)</f>
        <v>1722</v>
      </c>
      <c r="M203" s="148">
        <f t="shared" si="37"/>
        <v>0</v>
      </c>
      <c r="N203" s="161"/>
      <c r="O203" s="159">
        <f>ROUND(L203,0)</f>
        <v>1722</v>
      </c>
      <c r="P203" s="148">
        <f t="shared" si="38"/>
        <v>0</v>
      </c>
      <c r="Q203" s="161"/>
    </row>
    <row r="204" spans="2:17" s="111" customFormat="1" ht="19.5" customHeight="1" x14ac:dyDescent="0.25">
      <c r="C204" s="119" t="s">
        <v>100</v>
      </c>
      <c r="D204" s="120" t="s">
        <v>504</v>
      </c>
      <c r="E204" s="54">
        <v>14883</v>
      </c>
      <c r="F204" s="54">
        <v>14883</v>
      </c>
      <c r="G204" s="53">
        <f t="shared" si="35"/>
        <v>0</v>
      </c>
      <c r="H204" s="69"/>
      <c r="I204" s="54">
        <f>I205+I206</f>
        <v>14883</v>
      </c>
      <c r="J204" s="53">
        <f t="shared" si="36"/>
        <v>0</v>
      </c>
      <c r="K204" s="69"/>
      <c r="L204" s="54">
        <f>L205+L206</f>
        <v>14883</v>
      </c>
      <c r="M204" s="53">
        <f t="shared" si="37"/>
        <v>0</v>
      </c>
      <c r="N204" s="69"/>
      <c r="O204" s="54">
        <f>O205+O206</f>
        <v>14883</v>
      </c>
      <c r="P204" s="53">
        <f t="shared" si="38"/>
        <v>0</v>
      </c>
      <c r="Q204" s="69"/>
    </row>
    <row r="205" spans="2:17" s="157" customFormat="1" outlineLevel="1" x14ac:dyDescent="0.25">
      <c r="B205" s="157">
        <v>1011</v>
      </c>
      <c r="C205" s="162" t="s">
        <v>505</v>
      </c>
      <c r="D205" s="158" t="s">
        <v>506</v>
      </c>
      <c r="E205" s="159">
        <v>1407</v>
      </c>
      <c r="F205" s="159">
        <v>1407</v>
      </c>
      <c r="G205" s="148">
        <f t="shared" si="35"/>
        <v>0</v>
      </c>
      <c r="H205" s="161"/>
      <c r="I205" s="159">
        <f>ROUND(F205,0)</f>
        <v>1407</v>
      </c>
      <c r="J205" s="148">
        <f t="shared" si="36"/>
        <v>0</v>
      </c>
      <c r="K205" s="161"/>
      <c r="L205" s="159">
        <f>ROUND(I205,0)</f>
        <v>1407</v>
      </c>
      <c r="M205" s="148">
        <f t="shared" si="37"/>
        <v>0</v>
      </c>
      <c r="N205" s="161"/>
      <c r="O205" s="159">
        <f>ROUND(L205,0)</f>
        <v>1407</v>
      </c>
      <c r="P205" s="148">
        <f t="shared" si="38"/>
        <v>0</v>
      </c>
      <c r="Q205" s="161"/>
    </row>
    <row r="206" spans="2:17" s="157" customFormat="1" outlineLevel="1" x14ac:dyDescent="0.25">
      <c r="B206" s="157">
        <v>1011</v>
      </c>
      <c r="C206" s="162" t="s">
        <v>507</v>
      </c>
      <c r="D206" s="158" t="s">
        <v>508</v>
      </c>
      <c r="E206" s="159">
        <v>13476</v>
      </c>
      <c r="F206" s="159">
        <v>13476</v>
      </c>
      <c r="G206" s="148">
        <f t="shared" si="35"/>
        <v>0</v>
      </c>
      <c r="H206" s="161"/>
      <c r="I206" s="159">
        <f>ROUND(F206,0)</f>
        <v>13476</v>
      </c>
      <c r="J206" s="148">
        <f t="shared" si="36"/>
        <v>0</v>
      </c>
      <c r="K206" s="161"/>
      <c r="L206" s="159">
        <f>ROUND(I206,0)</f>
        <v>13476</v>
      </c>
      <c r="M206" s="148">
        <f t="shared" si="37"/>
        <v>0</v>
      </c>
      <c r="N206" s="161"/>
      <c r="O206" s="159">
        <f>ROUND(L206,0)</f>
        <v>13476</v>
      </c>
      <c r="P206" s="148">
        <f t="shared" si="38"/>
        <v>0</v>
      </c>
      <c r="Q206" s="161"/>
    </row>
    <row r="207" spans="2:17" s="111" customFormat="1" ht="26.25" customHeight="1" x14ac:dyDescent="0.25">
      <c r="C207" s="119" t="s">
        <v>509</v>
      </c>
      <c r="D207" s="120" t="s">
        <v>510</v>
      </c>
      <c r="E207" s="55">
        <v>444938</v>
      </c>
      <c r="F207" s="55">
        <v>444938</v>
      </c>
      <c r="G207" s="56">
        <f t="shared" si="35"/>
        <v>0</v>
      </c>
      <c r="H207" s="121"/>
      <c r="I207" s="55">
        <f>SUM(I208:I211)</f>
        <v>444938</v>
      </c>
      <c r="J207" s="56">
        <f t="shared" si="36"/>
        <v>0</v>
      </c>
      <c r="K207" s="121"/>
      <c r="L207" s="55">
        <f>SUM(L208:L211)</f>
        <v>444938</v>
      </c>
      <c r="M207" s="56">
        <f t="shared" si="37"/>
        <v>0</v>
      </c>
      <c r="N207" s="121"/>
      <c r="O207" s="55">
        <f>SUM(O208:O211)</f>
        <v>444938</v>
      </c>
      <c r="P207" s="56">
        <f t="shared" si="38"/>
        <v>0</v>
      </c>
      <c r="Q207" s="121"/>
    </row>
    <row r="208" spans="2:17" s="111" customFormat="1" ht="15" customHeight="1" x14ac:dyDescent="0.25">
      <c r="B208" s="1" t="s">
        <v>511</v>
      </c>
      <c r="C208" s="163" t="s">
        <v>512</v>
      </c>
      <c r="D208" s="164" t="s">
        <v>513</v>
      </c>
      <c r="E208" s="33">
        <v>432274</v>
      </c>
      <c r="F208" s="33">
        <v>432274</v>
      </c>
      <c r="G208" s="32">
        <f t="shared" si="35"/>
        <v>0</v>
      </c>
      <c r="H208" s="34"/>
      <c r="I208" s="33">
        <f t="shared" ref="I208:I216" si="39">ROUND(F208,0)</f>
        <v>432274</v>
      </c>
      <c r="J208" s="32">
        <f t="shared" si="36"/>
        <v>0</v>
      </c>
      <c r="K208" s="34"/>
      <c r="L208" s="33">
        <f t="shared" ref="L208:L216" si="40">ROUND(I208,0)</f>
        <v>432274</v>
      </c>
      <c r="M208" s="32">
        <f t="shared" si="37"/>
        <v>0</v>
      </c>
      <c r="N208" s="34"/>
      <c r="O208" s="33">
        <f t="shared" ref="O208:O216" si="41">ROUND(L208,0)</f>
        <v>432274</v>
      </c>
      <c r="P208" s="32">
        <f t="shared" si="38"/>
        <v>0</v>
      </c>
      <c r="Q208" s="34"/>
    </row>
    <row r="209" spans="2:17" s="111" customFormat="1" ht="15" customHeight="1" x14ac:dyDescent="0.25">
      <c r="B209" s="1" t="s">
        <v>511</v>
      </c>
      <c r="C209" s="163" t="s">
        <v>514</v>
      </c>
      <c r="D209" s="164" t="s">
        <v>515</v>
      </c>
      <c r="E209" s="33">
        <v>12664</v>
      </c>
      <c r="F209" s="33">
        <v>12664</v>
      </c>
      <c r="G209" s="32">
        <f t="shared" si="35"/>
        <v>0</v>
      </c>
      <c r="H209" s="34"/>
      <c r="I209" s="33">
        <f t="shared" si="39"/>
        <v>12664</v>
      </c>
      <c r="J209" s="32">
        <f t="shared" si="36"/>
        <v>0</v>
      </c>
      <c r="K209" s="34"/>
      <c r="L209" s="33">
        <f t="shared" si="40"/>
        <v>12664</v>
      </c>
      <c r="M209" s="32">
        <f t="shared" si="37"/>
        <v>0</v>
      </c>
      <c r="N209" s="34"/>
      <c r="O209" s="33">
        <f t="shared" si="41"/>
        <v>12664</v>
      </c>
      <c r="P209" s="32">
        <f t="shared" si="38"/>
        <v>0</v>
      </c>
      <c r="Q209" s="34"/>
    </row>
    <row r="210" spans="2:17" s="111" customFormat="1" ht="15.75" customHeight="1" x14ac:dyDescent="0.25">
      <c r="B210" s="1" t="s">
        <v>511</v>
      </c>
      <c r="C210" s="165" t="s">
        <v>516</v>
      </c>
      <c r="D210" s="164" t="s">
        <v>517</v>
      </c>
      <c r="E210" s="33">
        <v>0</v>
      </c>
      <c r="F210" s="33">
        <v>0</v>
      </c>
      <c r="G210" s="32">
        <f t="shared" si="35"/>
        <v>0</v>
      </c>
      <c r="H210" s="34"/>
      <c r="I210" s="33">
        <f t="shared" si="39"/>
        <v>0</v>
      </c>
      <c r="J210" s="32">
        <f t="shared" si="36"/>
        <v>0</v>
      </c>
      <c r="K210" s="34"/>
      <c r="L210" s="33">
        <f t="shared" si="40"/>
        <v>0</v>
      </c>
      <c r="M210" s="32">
        <f t="shared" si="37"/>
        <v>0</v>
      </c>
      <c r="N210" s="34"/>
      <c r="O210" s="33">
        <f t="shared" si="41"/>
        <v>0</v>
      </c>
      <c r="P210" s="32">
        <f t="shared" si="38"/>
        <v>0</v>
      </c>
      <c r="Q210" s="34"/>
    </row>
    <row r="211" spans="2:17" s="111" customFormat="1" ht="15.6" customHeight="1" x14ac:dyDescent="0.25">
      <c r="B211" s="1" t="s">
        <v>518</v>
      </c>
      <c r="C211" s="163" t="s">
        <v>519</v>
      </c>
      <c r="D211" s="164" t="s">
        <v>520</v>
      </c>
      <c r="E211" s="33">
        <v>0</v>
      </c>
      <c r="F211" s="33">
        <v>0</v>
      </c>
      <c r="G211" s="32">
        <f t="shared" si="35"/>
        <v>0</v>
      </c>
      <c r="H211" s="34"/>
      <c r="I211" s="33">
        <f t="shared" si="39"/>
        <v>0</v>
      </c>
      <c r="J211" s="32">
        <f t="shared" si="36"/>
        <v>0</v>
      </c>
      <c r="K211" s="34"/>
      <c r="L211" s="33">
        <f t="shared" si="40"/>
        <v>0</v>
      </c>
      <c r="M211" s="32">
        <f t="shared" si="37"/>
        <v>0</v>
      </c>
      <c r="N211" s="34"/>
      <c r="O211" s="33">
        <f t="shared" si="41"/>
        <v>0</v>
      </c>
      <c r="P211" s="32">
        <f t="shared" si="38"/>
        <v>0</v>
      </c>
      <c r="Q211" s="34"/>
    </row>
    <row r="212" spans="2:17" s="111" customFormat="1" ht="16.149999999999999" customHeight="1" x14ac:dyDescent="0.25">
      <c r="C212" s="119" t="s">
        <v>521</v>
      </c>
      <c r="D212" s="120" t="s">
        <v>522</v>
      </c>
      <c r="E212" s="54">
        <v>158418</v>
      </c>
      <c r="F212" s="54">
        <v>158418</v>
      </c>
      <c r="G212" s="53">
        <f t="shared" si="35"/>
        <v>0</v>
      </c>
      <c r="H212" s="121"/>
      <c r="I212" s="54">
        <f t="shared" si="39"/>
        <v>158418</v>
      </c>
      <c r="J212" s="53">
        <f t="shared" si="36"/>
        <v>0</v>
      </c>
      <c r="K212" s="121"/>
      <c r="L212" s="54">
        <f t="shared" si="40"/>
        <v>158418</v>
      </c>
      <c r="M212" s="53">
        <f t="shared" si="37"/>
        <v>0</v>
      </c>
      <c r="N212" s="121"/>
      <c r="O212" s="54">
        <f t="shared" si="41"/>
        <v>158418</v>
      </c>
      <c r="P212" s="53">
        <f t="shared" si="38"/>
        <v>0</v>
      </c>
      <c r="Q212" s="121"/>
    </row>
    <row r="213" spans="2:17" s="111" customFormat="1" ht="16.5" customHeight="1" x14ac:dyDescent="0.25">
      <c r="B213" s="1">
        <v>1016</v>
      </c>
      <c r="C213" s="119" t="s">
        <v>523</v>
      </c>
      <c r="D213" s="120" t="s">
        <v>172</v>
      </c>
      <c r="E213" s="54">
        <v>70604</v>
      </c>
      <c r="F213" s="54">
        <v>70604</v>
      </c>
      <c r="G213" s="53">
        <f t="shared" si="35"/>
        <v>0</v>
      </c>
      <c r="H213" s="121"/>
      <c r="I213" s="54">
        <f t="shared" si="39"/>
        <v>70604</v>
      </c>
      <c r="J213" s="53">
        <f t="shared" si="36"/>
        <v>0</v>
      </c>
      <c r="K213" s="121"/>
      <c r="L213" s="54">
        <f t="shared" si="40"/>
        <v>70604</v>
      </c>
      <c r="M213" s="53">
        <f t="shared" si="37"/>
        <v>0</v>
      </c>
      <c r="N213" s="121"/>
      <c r="O213" s="54">
        <f t="shared" si="41"/>
        <v>70604</v>
      </c>
      <c r="P213" s="53">
        <f t="shared" si="38"/>
        <v>0</v>
      </c>
      <c r="Q213" s="121"/>
    </row>
    <row r="214" spans="2:17" s="111" customFormat="1" ht="18.75" hidden="1" customHeight="1" outlineLevel="1" x14ac:dyDescent="0.25">
      <c r="B214" s="1">
        <v>1017</v>
      </c>
      <c r="C214" s="119" t="s">
        <v>524</v>
      </c>
      <c r="D214" s="152" t="s">
        <v>174</v>
      </c>
      <c r="E214" s="54">
        <v>0</v>
      </c>
      <c r="F214" s="54">
        <v>0</v>
      </c>
      <c r="G214" s="53">
        <f t="shared" si="35"/>
        <v>0</v>
      </c>
      <c r="H214" s="121"/>
      <c r="I214" s="54">
        <f t="shared" si="39"/>
        <v>0</v>
      </c>
      <c r="J214" s="53">
        <f t="shared" si="36"/>
        <v>0</v>
      </c>
      <c r="K214" s="121"/>
      <c r="L214" s="54">
        <f t="shared" si="40"/>
        <v>0</v>
      </c>
      <c r="M214" s="53">
        <f t="shared" si="37"/>
        <v>0</v>
      </c>
      <c r="N214" s="121"/>
      <c r="O214" s="54">
        <f t="shared" si="41"/>
        <v>0</v>
      </c>
      <c r="P214" s="53">
        <f t="shared" si="38"/>
        <v>0</v>
      </c>
      <c r="Q214" s="121"/>
    </row>
    <row r="215" spans="2:17" s="111" customFormat="1" ht="45" customHeight="1" collapsed="1" x14ac:dyDescent="0.25">
      <c r="B215" s="1">
        <v>1018</v>
      </c>
      <c r="C215" s="119" t="s">
        <v>524</v>
      </c>
      <c r="D215" s="166" t="s">
        <v>525</v>
      </c>
      <c r="E215" s="54">
        <v>44312</v>
      </c>
      <c r="F215" s="54">
        <v>44312</v>
      </c>
      <c r="G215" s="53">
        <f t="shared" si="35"/>
        <v>0</v>
      </c>
      <c r="H215" s="121"/>
      <c r="I215" s="54">
        <f t="shared" si="39"/>
        <v>44312</v>
      </c>
      <c r="J215" s="53">
        <f t="shared" si="36"/>
        <v>0</v>
      </c>
      <c r="K215" s="121"/>
      <c r="L215" s="54">
        <f t="shared" si="40"/>
        <v>44312</v>
      </c>
      <c r="M215" s="53">
        <f t="shared" si="37"/>
        <v>0</v>
      </c>
      <c r="N215" s="121"/>
      <c r="O215" s="54">
        <f t="shared" si="41"/>
        <v>44312</v>
      </c>
      <c r="P215" s="53">
        <f t="shared" si="38"/>
        <v>0</v>
      </c>
      <c r="Q215" s="121"/>
    </row>
    <row r="216" spans="2:17" ht="43.5" customHeight="1" x14ac:dyDescent="0.25">
      <c r="B216" s="1" t="s">
        <v>526</v>
      </c>
      <c r="C216" s="119" t="s">
        <v>527</v>
      </c>
      <c r="D216" s="120" t="s">
        <v>213</v>
      </c>
      <c r="E216" s="54">
        <v>44830</v>
      </c>
      <c r="F216" s="54">
        <v>44830</v>
      </c>
      <c r="G216" s="53">
        <f t="shared" si="35"/>
        <v>0</v>
      </c>
      <c r="H216" s="121"/>
      <c r="I216" s="54">
        <f t="shared" si="39"/>
        <v>44830</v>
      </c>
      <c r="J216" s="53">
        <f t="shared" si="36"/>
        <v>0</v>
      </c>
      <c r="K216" s="121"/>
      <c r="L216" s="54">
        <f t="shared" si="40"/>
        <v>44830</v>
      </c>
      <c r="M216" s="53">
        <f t="shared" si="37"/>
        <v>0</v>
      </c>
      <c r="N216" s="121"/>
      <c r="O216" s="54">
        <f t="shared" si="41"/>
        <v>44830</v>
      </c>
      <c r="P216" s="53">
        <f t="shared" si="38"/>
        <v>0</v>
      </c>
      <c r="Q216" s="121"/>
    </row>
    <row r="217" spans="2:17" x14ac:dyDescent="0.25">
      <c r="C217" s="122" t="s">
        <v>103</v>
      </c>
      <c r="D217" s="123" t="s">
        <v>528</v>
      </c>
      <c r="E217" s="38">
        <v>33093948</v>
      </c>
      <c r="F217" s="38">
        <v>33147236</v>
      </c>
      <c r="G217" s="38">
        <f t="shared" si="35"/>
        <v>53288</v>
      </c>
      <c r="H217" s="38"/>
      <c r="I217" s="38">
        <f>I218+I219+I223+I227+I231+I235+I239+I250+I268+I271+I274+I275+I276+I277+I278+I279+I280+I281+I282</f>
        <v>33285269</v>
      </c>
      <c r="J217" s="38">
        <f t="shared" si="36"/>
        <v>138033</v>
      </c>
      <c r="K217" s="38"/>
      <c r="L217" s="38">
        <f>L218+L219+L223+L227+L231+L235+L239+L250+L268+L271+L274+L275+L276+L277+L278+L279+L280+L281+L282</f>
        <v>33385173</v>
      </c>
      <c r="M217" s="38">
        <f t="shared" si="37"/>
        <v>99904</v>
      </c>
      <c r="N217" s="38"/>
      <c r="O217" s="38">
        <f>O218+O219+O223+O227+O231+O235+O239+O250+O268+O271+O274+O275+O276+O277+O278+O279+O280+O281+O282</f>
        <v>33479096</v>
      </c>
      <c r="P217" s="38">
        <f t="shared" si="38"/>
        <v>93923</v>
      </c>
      <c r="Q217" s="38"/>
    </row>
    <row r="218" spans="2:17" ht="27.6" customHeight="1" x14ac:dyDescent="0.25">
      <c r="B218" s="167" t="s">
        <v>529</v>
      </c>
      <c r="C218" s="119" t="s">
        <v>106</v>
      </c>
      <c r="D218" s="127" t="s">
        <v>530</v>
      </c>
      <c r="E218" s="54">
        <v>851975</v>
      </c>
      <c r="F218" s="54">
        <v>851975</v>
      </c>
      <c r="G218" s="53">
        <f t="shared" si="35"/>
        <v>0</v>
      </c>
      <c r="H218" s="69"/>
      <c r="I218" s="54">
        <f>ROUND(F218,0)</f>
        <v>851975</v>
      </c>
      <c r="J218" s="53">
        <f t="shared" si="36"/>
        <v>0</v>
      </c>
      <c r="K218" s="69"/>
      <c r="L218" s="54">
        <f>ROUND(I218,0)</f>
        <v>851975</v>
      </c>
      <c r="M218" s="53">
        <f t="shared" si="37"/>
        <v>0</v>
      </c>
      <c r="N218" s="69"/>
      <c r="O218" s="54">
        <f>ROUND(L218,0)</f>
        <v>851975</v>
      </c>
      <c r="P218" s="53">
        <f t="shared" si="38"/>
        <v>0</v>
      </c>
      <c r="Q218" s="69"/>
    </row>
    <row r="219" spans="2:17" ht="17.45" customHeight="1" x14ac:dyDescent="0.25">
      <c r="C219" s="119" t="s">
        <v>109</v>
      </c>
      <c r="D219" s="127" t="s">
        <v>531</v>
      </c>
      <c r="E219" s="54">
        <v>2529158</v>
      </c>
      <c r="F219" s="54">
        <v>2529158</v>
      </c>
      <c r="G219" s="53">
        <f t="shared" si="35"/>
        <v>0</v>
      </c>
      <c r="H219" s="121"/>
      <c r="I219" s="54">
        <f>SUM(I220:I222)</f>
        <v>2535967</v>
      </c>
      <c r="J219" s="53">
        <f t="shared" si="36"/>
        <v>6809</v>
      </c>
      <c r="K219" s="121"/>
      <c r="L219" s="54">
        <f>SUM(L220:L222)</f>
        <v>2535967</v>
      </c>
      <c r="M219" s="53">
        <f t="shared" si="37"/>
        <v>0</v>
      </c>
      <c r="N219" s="121"/>
      <c r="O219" s="54">
        <f>SUM(O220:O222)</f>
        <v>2535967</v>
      </c>
      <c r="P219" s="53">
        <f t="shared" si="38"/>
        <v>0</v>
      </c>
      <c r="Q219" s="121"/>
    </row>
    <row r="220" spans="2:17" ht="25.15" customHeight="1" x14ac:dyDescent="0.25">
      <c r="B220" s="64" t="s">
        <v>532</v>
      </c>
      <c r="C220" s="125" t="s">
        <v>533</v>
      </c>
      <c r="D220" s="98" t="s">
        <v>534</v>
      </c>
      <c r="E220" s="169">
        <v>361243</v>
      </c>
      <c r="F220" s="169">
        <v>361243</v>
      </c>
      <c r="G220" s="168">
        <f t="shared" si="35"/>
        <v>0</v>
      </c>
      <c r="H220" s="35"/>
      <c r="I220" s="169">
        <f>ROUND(F220,0)+6809</f>
        <v>368052</v>
      </c>
      <c r="J220" s="168">
        <f t="shared" si="36"/>
        <v>6809</v>
      </c>
      <c r="K220" s="35" t="s">
        <v>137</v>
      </c>
      <c r="L220" s="169">
        <f>ROUND(I220,0)</f>
        <v>368052</v>
      </c>
      <c r="M220" s="168">
        <f t="shared" si="37"/>
        <v>0</v>
      </c>
      <c r="N220" s="35"/>
      <c r="O220" s="169">
        <f>ROUND(L220,0)</f>
        <v>368052</v>
      </c>
      <c r="P220" s="168">
        <f t="shared" si="38"/>
        <v>0</v>
      </c>
      <c r="Q220" s="35"/>
    </row>
    <row r="221" spans="2:17" ht="16.5" customHeight="1" x14ac:dyDescent="0.25">
      <c r="B221" s="64" t="s">
        <v>535</v>
      </c>
      <c r="C221" s="125" t="s">
        <v>536</v>
      </c>
      <c r="D221" s="98" t="s">
        <v>537</v>
      </c>
      <c r="E221" s="169">
        <v>1638439</v>
      </c>
      <c r="F221" s="169">
        <v>1670882</v>
      </c>
      <c r="G221" s="168">
        <f t="shared" si="35"/>
        <v>32443</v>
      </c>
      <c r="H221" s="357" t="s">
        <v>538</v>
      </c>
      <c r="I221" s="169">
        <f>ROUND(F221,0)</f>
        <v>1670882</v>
      </c>
      <c r="J221" s="168">
        <f t="shared" si="36"/>
        <v>0</v>
      </c>
      <c r="K221" s="357"/>
      <c r="L221" s="169">
        <f>ROUND(I221,0)</f>
        <v>1670882</v>
      </c>
      <c r="M221" s="168">
        <f t="shared" si="37"/>
        <v>0</v>
      </c>
      <c r="N221" s="357"/>
      <c r="O221" s="169">
        <f>ROUND(L221,0)</f>
        <v>1670882</v>
      </c>
      <c r="P221" s="168">
        <f t="shared" si="38"/>
        <v>0</v>
      </c>
      <c r="Q221" s="357"/>
    </row>
    <row r="222" spans="2:17" ht="17.25" customHeight="1" x14ac:dyDescent="0.25">
      <c r="B222" s="64"/>
      <c r="C222" s="125" t="s">
        <v>539</v>
      </c>
      <c r="D222" s="98" t="s">
        <v>540</v>
      </c>
      <c r="E222" s="169">
        <v>529476</v>
      </c>
      <c r="F222" s="169">
        <v>497033</v>
      </c>
      <c r="G222" s="168">
        <f t="shared" si="35"/>
        <v>-32443</v>
      </c>
      <c r="H222" s="358"/>
      <c r="I222" s="169">
        <f>ROUND(F222,0)</f>
        <v>497033</v>
      </c>
      <c r="J222" s="168">
        <f t="shared" si="36"/>
        <v>0</v>
      </c>
      <c r="K222" s="358"/>
      <c r="L222" s="169">
        <f>ROUND(I222,0)</f>
        <v>497033</v>
      </c>
      <c r="M222" s="168">
        <f t="shared" si="37"/>
        <v>0</v>
      </c>
      <c r="N222" s="358"/>
      <c r="O222" s="169">
        <f>ROUND(L222,0)</f>
        <v>497033</v>
      </c>
      <c r="P222" s="168">
        <f t="shared" si="38"/>
        <v>0</v>
      </c>
      <c r="Q222" s="358"/>
    </row>
    <row r="223" spans="2:17" ht="18" customHeight="1" x14ac:dyDescent="0.25">
      <c r="C223" s="119" t="s">
        <v>112</v>
      </c>
      <c r="D223" s="127" t="s">
        <v>541</v>
      </c>
      <c r="E223" s="54">
        <v>1499060</v>
      </c>
      <c r="F223" s="54">
        <v>1499060</v>
      </c>
      <c r="G223" s="53">
        <f t="shared" si="35"/>
        <v>0</v>
      </c>
      <c r="H223" s="121"/>
      <c r="I223" s="54">
        <f>I224+I225+I226</f>
        <v>1501706</v>
      </c>
      <c r="J223" s="53">
        <f t="shared" si="36"/>
        <v>2646</v>
      </c>
      <c r="K223" s="121"/>
      <c r="L223" s="54">
        <f>L224+L225+L226</f>
        <v>1501706</v>
      </c>
      <c r="M223" s="53">
        <f t="shared" si="37"/>
        <v>0</v>
      </c>
      <c r="N223" s="121"/>
      <c r="O223" s="54">
        <f>O224+O225+O226</f>
        <v>1501706</v>
      </c>
      <c r="P223" s="53">
        <f t="shared" si="38"/>
        <v>0</v>
      </c>
      <c r="Q223" s="121"/>
    </row>
    <row r="224" spans="2:17" ht="25.9" customHeight="1" x14ac:dyDescent="0.25">
      <c r="B224" s="64" t="s">
        <v>542</v>
      </c>
      <c r="C224" s="125" t="s">
        <v>543</v>
      </c>
      <c r="D224" s="98" t="s">
        <v>534</v>
      </c>
      <c r="E224" s="33">
        <v>144697</v>
      </c>
      <c r="F224" s="33">
        <v>144697</v>
      </c>
      <c r="G224" s="32">
        <f t="shared" si="35"/>
        <v>0</v>
      </c>
      <c r="H224" s="35"/>
      <c r="I224" s="33">
        <f>ROUND(F224,0)+2646</f>
        <v>147343</v>
      </c>
      <c r="J224" s="32">
        <f t="shared" si="36"/>
        <v>2646</v>
      </c>
      <c r="K224" s="35" t="s">
        <v>137</v>
      </c>
      <c r="L224" s="33">
        <f>ROUND(I224,0)</f>
        <v>147343</v>
      </c>
      <c r="M224" s="32">
        <f t="shared" si="37"/>
        <v>0</v>
      </c>
      <c r="N224" s="35"/>
      <c r="O224" s="33">
        <f>ROUND(L224,0)</f>
        <v>147343</v>
      </c>
      <c r="P224" s="32">
        <f t="shared" si="38"/>
        <v>0</v>
      </c>
      <c r="Q224" s="35"/>
    </row>
    <row r="225" spans="2:17" ht="13.5" customHeight="1" x14ac:dyDescent="0.25">
      <c r="B225" s="64" t="s">
        <v>544</v>
      </c>
      <c r="C225" s="125" t="s">
        <v>545</v>
      </c>
      <c r="D225" s="98" t="s">
        <v>537</v>
      </c>
      <c r="E225" s="33">
        <v>1108510</v>
      </c>
      <c r="F225" s="33">
        <v>1108510</v>
      </c>
      <c r="G225" s="32">
        <f t="shared" si="35"/>
        <v>0</v>
      </c>
      <c r="H225" s="35"/>
      <c r="I225" s="33">
        <f>ROUND(F225,0)</f>
        <v>1108510</v>
      </c>
      <c r="J225" s="32">
        <f t="shared" si="36"/>
        <v>0</v>
      </c>
      <c r="K225" s="35"/>
      <c r="L225" s="33">
        <f>ROUND(I225,0)</f>
        <v>1108510</v>
      </c>
      <c r="M225" s="32">
        <f t="shared" si="37"/>
        <v>0</v>
      </c>
      <c r="N225" s="35"/>
      <c r="O225" s="33">
        <f>ROUND(L225,0)</f>
        <v>1108510</v>
      </c>
      <c r="P225" s="32">
        <f t="shared" si="38"/>
        <v>0</v>
      </c>
      <c r="Q225" s="35"/>
    </row>
    <row r="226" spans="2:17" ht="16.899999999999999" customHeight="1" x14ac:dyDescent="0.25">
      <c r="B226" s="64"/>
      <c r="C226" s="125" t="s">
        <v>546</v>
      </c>
      <c r="D226" s="98" t="s">
        <v>540</v>
      </c>
      <c r="E226" s="33">
        <v>245853</v>
      </c>
      <c r="F226" s="33">
        <v>245853</v>
      </c>
      <c r="G226" s="32">
        <f t="shared" si="35"/>
        <v>0</v>
      </c>
      <c r="H226" s="35"/>
      <c r="I226" s="33">
        <f>ROUND(F226,0)</f>
        <v>245853</v>
      </c>
      <c r="J226" s="32">
        <f t="shared" si="36"/>
        <v>0</v>
      </c>
      <c r="K226" s="35"/>
      <c r="L226" s="33">
        <f>ROUND(I226,0)</f>
        <v>245853</v>
      </c>
      <c r="M226" s="32">
        <f t="shared" si="37"/>
        <v>0</v>
      </c>
      <c r="N226" s="35"/>
      <c r="O226" s="33">
        <f>ROUND(L226,0)</f>
        <v>245853</v>
      </c>
      <c r="P226" s="32">
        <f t="shared" si="38"/>
        <v>0</v>
      </c>
      <c r="Q226" s="35"/>
    </row>
    <row r="227" spans="2:17" ht="27.6" customHeight="1" x14ac:dyDescent="0.25">
      <c r="C227" s="119" t="s">
        <v>547</v>
      </c>
      <c r="D227" s="127" t="s">
        <v>548</v>
      </c>
      <c r="E227" s="54">
        <v>1850322</v>
      </c>
      <c r="F227" s="54">
        <v>1850322</v>
      </c>
      <c r="G227" s="53">
        <f t="shared" si="35"/>
        <v>0</v>
      </c>
      <c r="H227" s="121"/>
      <c r="I227" s="54">
        <f>I228+I229+I230</f>
        <v>1854025</v>
      </c>
      <c r="J227" s="53">
        <f t="shared" si="36"/>
        <v>3703</v>
      </c>
      <c r="K227" s="121"/>
      <c r="L227" s="54">
        <f>L228+L229+L230</f>
        <v>1854025</v>
      </c>
      <c r="M227" s="53">
        <f t="shared" si="37"/>
        <v>0</v>
      </c>
      <c r="N227" s="121"/>
      <c r="O227" s="54">
        <f>O228+O229+O230</f>
        <v>1854025</v>
      </c>
      <c r="P227" s="53">
        <f t="shared" si="38"/>
        <v>0</v>
      </c>
      <c r="Q227" s="121"/>
    </row>
    <row r="228" spans="2:17" ht="13.5" customHeight="1" x14ac:dyDescent="0.25">
      <c r="B228" s="1" t="s">
        <v>549</v>
      </c>
      <c r="C228" s="125" t="s">
        <v>550</v>
      </c>
      <c r="D228" s="98" t="s">
        <v>534</v>
      </c>
      <c r="E228" s="33">
        <v>200053</v>
      </c>
      <c r="F228" s="33">
        <v>200053</v>
      </c>
      <c r="G228" s="32">
        <f t="shared" si="35"/>
        <v>0</v>
      </c>
      <c r="H228" s="35"/>
      <c r="I228" s="33">
        <f>ROUND(F228,0)+3703</f>
        <v>203756</v>
      </c>
      <c r="J228" s="32">
        <f t="shared" si="36"/>
        <v>3703</v>
      </c>
      <c r="K228" s="35" t="s">
        <v>137</v>
      </c>
      <c r="L228" s="33">
        <f>ROUND(I228,0)</f>
        <v>203756</v>
      </c>
      <c r="M228" s="32">
        <f t="shared" si="37"/>
        <v>0</v>
      </c>
      <c r="N228" s="35"/>
      <c r="O228" s="33">
        <f>ROUND(L228,0)</f>
        <v>203756</v>
      </c>
      <c r="P228" s="32">
        <f t="shared" si="38"/>
        <v>0</v>
      </c>
      <c r="Q228" s="35"/>
    </row>
    <row r="229" spans="2:17" ht="15.6" customHeight="1" x14ac:dyDescent="0.25">
      <c r="B229" s="1" t="s">
        <v>551</v>
      </c>
      <c r="C229" s="125" t="s">
        <v>552</v>
      </c>
      <c r="D229" s="98" t="s">
        <v>537</v>
      </c>
      <c r="E229" s="33">
        <v>1406595</v>
      </c>
      <c r="F229" s="33">
        <v>1406595</v>
      </c>
      <c r="G229" s="32">
        <f t="shared" si="35"/>
        <v>0</v>
      </c>
      <c r="H229" s="170"/>
      <c r="I229" s="33">
        <f>ROUND(F229,0)</f>
        <v>1406595</v>
      </c>
      <c r="J229" s="32">
        <f t="shared" si="36"/>
        <v>0</v>
      </c>
      <c r="K229" s="170"/>
      <c r="L229" s="33">
        <f>ROUND(I229,0)</f>
        <v>1406595</v>
      </c>
      <c r="M229" s="32">
        <f t="shared" si="37"/>
        <v>0</v>
      </c>
      <c r="N229" s="170"/>
      <c r="O229" s="33">
        <f>ROUND(L229,0)</f>
        <v>1406595</v>
      </c>
      <c r="P229" s="32">
        <f t="shared" si="38"/>
        <v>0</v>
      </c>
      <c r="Q229" s="170"/>
    </row>
    <row r="230" spans="2:17" ht="17.45" customHeight="1" x14ac:dyDescent="0.25">
      <c r="C230" s="125" t="s">
        <v>553</v>
      </c>
      <c r="D230" s="98" t="s">
        <v>540</v>
      </c>
      <c r="E230" s="33">
        <v>243674</v>
      </c>
      <c r="F230" s="33">
        <v>243674</v>
      </c>
      <c r="G230" s="32">
        <f t="shared" si="35"/>
        <v>0</v>
      </c>
      <c r="H230" s="156"/>
      <c r="I230" s="33">
        <f>ROUND(F230,0)</f>
        <v>243674</v>
      </c>
      <c r="J230" s="32">
        <f t="shared" si="36"/>
        <v>0</v>
      </c>
      <c r="K230" s="156"/>
      <c r="L230" s="33">
        <f>ROUND(I230,0)</f>
        <v>243674</v>
      </c>
      <c r="M230" s="32">
        <f t="shared" si="37"/>
        <v>0</v>
      </c>
      <c r="N230" s="156"/>
      <c r="O230" s="33">
        <f>ROUND(L230,0)</f>
        <v>243674</v>
      </c>
      <c r="P230" s="32">
        <f t="shared" si="38"/>
        <v>0</v>
      </c>
      <c r="Q230" s="156"/>
    </row>
    <row r="231" spans="2:17" x14ac:dyDescent="0.25">
      <c r="B231" s="1" t="s">
        <v>554</v>
      </c>
      <c r="C231" s="119" t="s">
        <v>555</v>
      </c>
      <c r="D231" s="127" t="s">
        <v>556</v>
      </c>
      <c r="E231" s="54">
        <v>1570891</v>
      </c>
      <c r="F231" s="54">
        <v>1570891</v>
      </c>
      <c r="G231" s="53">
        <f t="shared" si="35"/>
        <v>0</v>
      </c>
      <c r="H231" s="121"/>
      <c r="I231" s="54">
        <f>SUM(I232:I234)</f>
        <v>1575794</v>
      </c>
      <c r="J231" s="53">
        <f t="shared" si="36"/>
        <v>4903</v>
      </c>
      <c r="K231" s="121"/>
      <c r="L231" s="54">
        <f>SUM(L232:L234)</f>
        <v>1575794</v>
      </c>
      <c r="M231" s="53">
        <f t="shared" si="37"/>
        <v>0</v>
      </c>
      <c r="N231" s="121"/>
      <c r="O231" s="54">
        <f>SUM(O232:O234)</f>
        <v>1575794</v>
      </c>
      <c r="P231" s="53">
        <f t="shared" si="38"/>
        <v>0</v>
      </c>
      <c r="Q231" s="121"/>
    </row>
    <row r="232" spans="2:17" s="172" customFormat="1" ht="26.45" customHeight="1" x14ac:dyDescent="0.25">
      <c r="B232" s="171" t="s">
        <v>557</v>
      </c>
      <c r="C232" s="125" t="s">
        <v>558</v>
      </c>
      <c r="D232" s="98" t="s">
        <v>534</v>
      </c>
      <c r="E232" s="33">
        <v>263376</v>
      </c>
      <c r="F232" s="33">
        <v>263376</v>
      </c>
      <c r="G232" s="168">
        <f t="shared" si="35"/>
        <v>0</v>
      </c>
      <c r="H232" s="35"/>
      <c r="I232" s="33">
        <f>ROUND(F232,0)+4903</f>
        <v>268279</v>
      </c>
      <c r="J232" s="168">
        <f t="shared" si="36"/>
        <v>4903</v>
      </c>
      <c r="K232" s="35" t="s">
        <v>137</v>
      </c>
      <c r="L232" s="33">
        <f>ROUND(I232,0)</f>
        <v>268279</v>
      </c>
      <c r="M232" s="168">
        <f t="shared" si="37"/>
        <v>0</v>
      </c>
      <c r="N232" s="35"/>
      <c r="O232" s="33">
        <f>ROUND(L232,0)</f>
        <v>268279</v>
      </c>
      <c r="P232" s="168">
        <f t="shared" si="38"/>
        <v>0</v>
      </c>
      <c r="Q232" s="35"/>
    </row>
    <row r="233" spans="2:17" s="172" customFormat="1" ht="15.6" customHeight="1" x14ac:dyDescent="0.25">
      <c r="C233" s="125" t="s">
        <v>559</v>
      </c>
      <c r="D233" s="98" t="s">
        <v>537</v>
      </c>
      <c r="E233" s="33">
        <v>1141525</v>
      </c>
      <c r="F233" s="33">
        <v>1141525</v>
      </c>
      <c r="G233" s="168">
        <f t="shared" si="35"/>
        <v>0</v>
      </c>
      <c r="H233" s="35"/>
      <c r="I233" s="33">
        <f>ROUND(F233,0)</f>
        <v>1141525</v>
      </c>
      <c r="J233" s="168">
        <f t="shared" si="36"/>
        <v>0</v>
      </c>
      <c r="K233" s="35"/>
      <c r="L233" s="33">
        <f>ROUND(I233,0)</f>
        <v>1141525</v>
      </c>
      <c r="M233" s="168">
        <f t="shared" si="37"/>
        <v>0</v>
      </c>
      <c r="N233" s="35"/>
      <c r="O233" s="33">
        <f>ROUND(L233,0)</f>
        <v>1141525</v>
      </c>
      <c r="P233" s="168">
        <f t="shared" si="38"/>
        <v>0</v>
      </c>
      <c r="Q233" s="35"/>
    </row>
    <row r="234" spans="2:17" s="172" customFormat="1" ht="13.9" customHeight="1" x14ac:dyDescent="0.25">
      <c r="C234" s="125" t="s">
        <v>560</v>
      </c>
      <c r="D234" s="98" t="s">
        <v>540</v>
      </c>
      <c r="E234" s="33">
        <v>165990</v>
      </c>
      <c r="F234" s="33">
        <v>165990</v>
      </c>
      <c r="G234" s="168">
        <f t="shared" si="35"/>
        <v>0</v>
      </c>
      <c r="H234" s="35"/>
      <c r="I234" s="33">
        <f>ROUND(F234,0)</f>
        <v>165990</v>
      </c>
      <c r="J234" s="168">
        <f t="shared" si="36"/>
        <v>0</v>
      </c>
      <c r="K234" s="35"/>
      <c r="L234" s="33">
        <f>ROUND(I234,0)</f>
        <v>165990</v>
      </c>
      <c r="M234" s="168">
        <f t="shared" si="37"/>
        <v>0</v>
      </c>
      <c r="N234" s="35"/>
      <c r="O234" s="33">
        <f>ROUND(L234,0)</f>
        <v>165990</v>
      </c>
      <c r="P234" s="168">
        <f t="shared" si="38"/>
        <v>0</v>
      </c>
      <c r="Q234" s="35"/>
    </row>
    <row r="235" spans="2:17" x14ac:dyDescent="0.25">
      <c r="C235" s="119" t="s">
        <v>561</v>
      </c>
      <c r="D235" s="127" t="s">
        <v>562</v>
      </c>
      <c r="E235" s="54">
        <v>3805461</v>
      </c>
      <c r="F235" s="54">
        <v>3797888</v>
      </c>
      <c r="G235" s="53">
        <f t="shared" si="35"/>
        <v>-7573</v>
      </c>
      <c r="H235" s="121"/>
      <c r="I235" s="54">
        <f>I236+I237+I238</f>
        <v>3797888</v>
      </c>
      <c r="J235" s="53">
        <f t="shared" si="36"/>
        <v>0</v>
      </c>
      <c r="K235" s="121"/>
      <c r="L235" s="54">
        <f>L236+L237+L238</f>
        <v>3797888</v>
      </c>
      <c r="M235" s="53">
        <f t="shared" si="37"/>
        <v>0</v>
      </c>
      <c r="N235" s="121"/>
      <c r="O235" s="54">
        <f>O236+O237+O238</f>
        <v>3797888</v>
      </c>
      <c r="P235" s="53">
        <f t="shared" si="38"/>
        <v>0</v>
      </c>
      <c r="Q235" s="121"/>
    </row>
    <row r="236" spans="2:17" s="172" customFormat="1" ht="18.600000000000001" customHeight="1" x14ac:dyDescent="0.25">
      <c r="B236" s="171" t="s">
        <v>563</v>
      </c>
      <c r="C236" s="173" t="s">
        <v>564</v>
      </c>
      <c r="D236" s="174" t="s">
        <v>565</v>
      </c>
      <c r="E236" s="33">
        <v>705444</v>
      </c>
      <c r="F236" s="33">
        <v>697871</v>
      </c>
      <c r="G236" s="168">
        <f t="shared" si="35"/>
        <v>-7573</v>
      </c>
      <c r="H236" s="35" t="s">
        <v>151</v>
      </c>
      <c r="I236" s="33">
        <f>ROUND(F236,0)</f>
        <v>697871</v>
      </c>
      <c r="J236" s="168">
        <f t="shared" si="36"/>
        <v>0</v>
      </c>
      <c r="K236" s="35"/>
      <c r="L236" s="33">
        <f>ROUND(I236,0)</f>
        <v>697871</v>
      </c>
      <c r="M236" s="168">
        <f t="shared" si="37"/>
        <v>0</v>
      </c>
      <c r="N236" s="35"/>
      <c r="O236" s="33">
        <f>ROUND(L236,0)</f>
        <v>697871</v>
      </c>
      <c r="P236" s="168">
        <f t="shared" si="38"/>
        <v>0</v>
      </c>
      <c r="Q236" s="35"/>
    </row>
    <row r="237" spans="2:17" s="172" customFormat="1" ht="16.149999999999999" customHeight="1" x14ac:dyDescent="0.25">
      <c r="B237" s="171" t="s">
        <v>566</v>
      </c>
      <c r="C237" s="173" t="s">
        <v>567</v>
      </c>
      <c r="D237" s="174" t="s">
        <v>568</v>
      </c>
      <c r="E237" s="33">
        <v>2846110</v>
      </c>
      <c r="F237" s="33">
        <v>2846110</v>
      </c>
      <c r="G237" s="168">
        <f t="shared" si="35"/>
        <v>0</v>
      </c>
      <c r="H237" s="34"/>
      <c r="I237" s="33">
        <f>ROUND(F237,0)</f>
        <v>2846110</v>
      </c>
      <c r="J237" s="168">
        <f t="shared" si="36"/>
        <v>0</v>
      </c>
      <c r="K237" s="34"/>
      <c r="L237" s="33">
        <f>ROUND(I237,0)</f>
        <v>2846110</v>
      </c>
      <c r="M237" s="168">
        <f t="shared" si="37"/>
        <v>0</v>
      </c>
      <c r="N237" s="34"/>
      <c r="O237" s="33">
        <f>ROUND(L237,0)</f>
        <v>2846110</v>
      </c>
      <c r="P237" s="168">
        <f t="shared" si="38"/>
        <v>0</v>
      </c>
      <c r="Q237" s="34"/>
    </row>
    <row r="238" spans="2:17" ht="14.45" customHeight="1" x14ac:dyDescent="0.25">
      <c r="B238" s="64" t="s">
        <v>569</v>
      </c>
      <c r="C238" s="125" t="s">
        <v>570</v>
      </c>
      <c r="D238" s="98" t="s">
        <v>571</v>
      </c>
      <c r="E238" s="33">
        <v>253907</v>
      </c>
      <c r="F238" s="33">
        <v>253907</v>
      </c>
      <c r="G238" s="168">
        <f t="shared" si="35"/>
        <v>0</v>
      </c>
      <c r="H238" s="34"/>
      <c r="I238" s="33">
        <f>ROUND(F238,0)</f>
        <v>253907</v>
      </c>
      <c r="J238" s="168">
        <f t="shared" si="36"/>
        <v>0</v>
      </c>
      <c r="K238" s="34"/>
      <c r="L238" s="33">
        <f>ROUND(I238,0)</f>
        <v>253907</v>
      </c>
      <c r="M238" s="168">
        <f t="shared" si="37"/>
        <v>0</v>
      </c>
      <c r="N238" s="34"/>
      <c r="O238" s="33">
        <f>ROUND(L238,0)</f>
        <v>253907</v>
      </c>
      <c r="P238" s="168">
        <f t="shared" si="38"/>
        <v>0</v>
      </c>
      <c r="Q238" s="34"/>
    </row>
    <row r="239" spans="2:17" s="111" customFormat="1" ht="15.75" customHeight="1" x14ac:dyDescent="0.25">
      <c r="C239" s="119" t="s">
        <v>572</v>
      </c>
      <c r="D239" s="127" t="s">
        <v>573</v>
      </c>
      <c r="E239" s="129">
        <v>2754926</v>
      </c>
      <c r="F239" s="129">
        <v>2709458</v>
      </c>
      <c r="G239" s="128">
        <f t="shared" si="35"/>
        <v>-45468</v>
      </c>
      <c r="H239" s="135"/>
      <c r="I239" s="129">
        <f>I240+I244+I245+I246+I247+I248+I249</f>
        <v>2734011</v>
      </c>
      <c r="J239" s="128">
        <f t="shared" si="36"/>
        <v>24553</v>
      </c>
      <c r="K239" s="135"/>
      <c r="L239" s="129">
        <f>L240+L244+L245+L246+L247+L248+L249</f>
        <v>2737011</v>
      </c>
      <c r="M239" s="128">
        <f t="shared" si="37"/>
        <v>3000</v>
      </c>
      <c r="N239" s="135"/>
      <c r="O239" s="129">
        <f>O240+O244+O245+O246+O247+O248+O249</f>
        <v>2761873</v>
      </c>
      <c r="P239" s="128">
        <f t="shared" si="38"/>
        <v>24862</v>
      </c>
      <c r="Q239" s="135"/>
    </row>
    <row r="240" spans="2:17" s="29" customFormat="1" ht="24.6" customHeight="1" x14ac:dyDescent="0.25">
      <c r="B240" s="47"/>
      <c r="C240" s="125" t="s">
        <v>574</v>
      </c>
      <c r="D240" s="98" t="s">
        <v>534</v>
      </c>
      <c r="E240" s="33">
        <v>1540363</v>
      </c>
      <c r="F240" s="33">
        <v>1494895</v>
      </c>
      <c r="G240" s="32">
        <f t="shared" si="35"/>
        <v>-45468</v>
      </c>
      <c r="H240" s="35"/>
      <c r="I240" s="33">
        <f>I241+I242+I243</f>
        <v>1519448</v>
      </c>
      <c r="J240" s="32">
        <f t="shared" si="36"/>
        <v>24553</v>
      </c>
      <c r="K240" s="35"/>
      <c r="L240" s="33">
        <f>L241+L242+L243</f>
        <v>1519448</v>
      </c>
      <c r="M240" s="32">
        <f t="shared" si="37"/>
        <v>0</v>
      </c>
      <c r="N240" s="35"/>
      <c r="O240" s="33">
        <f>O241+O242+O243</f>
        <v>1519448</v>
      </c>
      <c r="P240" s="32">
        <f t="shared" si="38"/>
        <v>0</v>
      </c>
      <c r="Q240" s="35"/>
    </row>
    <row r="241" spans="2:17" s="177" customFormat="1" ht="33.75" customHeight="1" x14ac:dyDescent="0.25">
      <c r="B241" s="175" t="s">
        <v>575</v>
      </c>
      <c r="C241" s="140" t="s">
        <v>576</v>
      </c>
      <c r="D241" s="141" t="s">
        <v>577</v>
      </c>
      <c r="E241" s="176">
        <v>1364718</v>
      </c>
      <c r="F241" s="176">
        <v>1365831</v>
      </c>
      <c r="G241" s="145">
        <f t="shared" si="35"/>
        <v>1113</v>
      </c>
      <c r="H241" s="150" t="s">
        <v>578</v>
      </c>
      <c r="I241" s="176">
        <f t="shared" ref="I241:I249" si="42">ROUND(F241,0)</f>
        <v>1365831</v>
      </c>
      <c r="J241" s="145">
        <f t="shared" si="36"/>
        <v>0</v>
      </c>
      <c r="K241" s="150"/>
      <c r="L241" s="176">
        <f>ROUND(I241,0)</f>
        <v>1365831</v>
      </c>
      <c r="M241" s="145">
        <f t="shared" si="37"/>
        <v>0</v>
      </c>
      <c r="N241" s="150"/>
      <c r="O241" s="176">
        <f t="shared" ref="O241:O249" si="43">ROUND(L241,0)</f>
        <v>1365831</v>
      </c>
      <c r="P241" s="145">
        <f t="shared" si="38"/>
        <v>0</v>
      </c>
      <c r="Q241" s="150"/>
    </row>
    <row r="242" spans="2:17" s="177" customFormat="1" ht="29.45" customHeight="1" x14ac:dyDescent="0.25">
      <c r="B242" s="175" t="s">
        <v>579</v>
      </c>
      <c r="C242" s="140" t="s">
        <v>580</v>
      </c>
      <c r="D242" s="141" t="s">
        <v>581</v>
      </c>
      <c r="E242" s="176">
        <v>175645</v>
      </c>
      <c r="F242" s="176">
        <v>129064</v>
      </c>
      <c r="G242" s="145">
        <f t="shared" si="35"/>
        <v>-46581</v>
      </c>
      <c r="H242" s="150" t="s">
        <v>151</v>
      </c>
      <c r="I242" s="176">
        <f t="shared" si="42"/>
        <v>129064</v>
      </c>
      <c r="J242" s="145">
        <f t="shared" si="36"/>
        <v>0</v>
      </c>
      <c r="K242" s="150"/>
      <c r="L242" s="176">
        <f>ROUND(I242,0)</f>
        <v>129064</v>
      </c>
      <c r="M242" s="145">
        <f t="shared" si="37"/>
        <v>0</v>
      </c>
      <c r="N242" s="150"/>
      <c r="O242" s="176">
        <f t="shared" si="43"/>
        <v>129064</v>
      </c>
      <c r="P242" s="145">
        <f t="shared" si="38"/>
        <v>0</v>
      </c>
      <c r="Q242" s="150"/>
    </row>
    <row r="243" spans="2:17" s="177" customFormat="1" ht="17.25" customHeight="1" x14ac:dyDescent="0.25">
      <c r="B243" s="175"/>
      <c r="C243" s="140" t="s">
        <v>582</v>
      </c>
      <c r="D243" s="141" t="s">
        <v>583</v>
      </c>
      <c r="E243" s="176">
        <v>0</v>
      </c>
      <c r="F243" s="176">
        <v>0</v>
      </c>
      <c r="G243" s="145">
        <f t="shared" si="35"/>
        <v>0</v>
      </c>
      <c r="H243" s="150"/>
      <c r="I243" s="176">
        <f>ROUND(F243,0)+24553</f>
        <v>24553</v>
      </c>
      <c r="J243" s="145">
        <f t="shared" si="36"/>
        <v>24553</v>
      </c>
      <c r="K243" s="35" t="s">
        <v>137</v>
      </c>
      <c r="L243" s="176">
        <f>ROUND(I243,0)</f>
        <v>24553</v>
      </c>
      <c r="M243" s="145">
        <f t="shared" si="37"/>
        <v>0</v>
      </c>
      <c r="N243" s="35"/>
      <c r="O243" s="176">
        <f t="shared" si="43"/>
        <v>24553</v>
      </c>
      <c r="P243" s="145">
        <f t="shared" si="38"/>
        <v>0</v>
      </c>
      <c r="Q243" s="35"/>
    </row>
    <row r="244" spans="2:17" s="29" customFormat="1" x14ac:dyDescent="0.25">
      <c r="B244" s="29" t="s">
        <v>575</v>
      </c>
      <c r="C244" s="125" t="s">
        <v>584</v>
      </c>
      <c r="D244" s="98" t="s">
        <v>585</v>
      </c>
      <c r="E244" s="66">
        <v>94076</v>
      </c>
      <c r="F244" s="66">
        <v>94076</v>
      </c>
      <c r="G244" s="32">
        <f t="shared" si="35"/>
        <v>0</v>
      </c>
      <c r="H244" s="35"/>
      <c r="I244" s="66">
        <f t="shared" si="42"/>
        <v>94076</v>
      </c>
      <c r="J244" s="32">
        <f t="shared" si="36"/>
        <v>0</v>
      </c>
      <c r="K244" s="35"/>
      <c r="L244" s="66">
        <f t="shared" ref="L244:L249" si="44">ROUND(I244,0)</f>
        <v>94076</v>
      </c>
      <c r="M244" s="32">
        <f t="shared" si="37"/>
        <v>0</v>
      </c>
      <c r="N244" s="35"/>
      <c r="O244" s="66">
        <f t="shared" si="43"/>
        <v>94076</v>
      </c>
      <c r="P244" s="32">
        <f t="shared" si="38"/>
        <v>0</v>
      </c>
      <c r="Q244" s="35"/>
    </row>
    <row r="245" spans="2:17" s="29" customFormat="1" ht="31.5" customHeight="1" x14ac:dyDescent="0.25">
      <c r="B245" s="47" t="s">
        <v>586</v>
      </c>
      <c r="C245" s="125" t="s">
        <v>587</v>
      </c>
      <c r="D245" s="98" t="s">
        <v>537</v>
      </c>
      <c r="E245" s="33">
        <v>645648</v>
      </c>
      <c r="F245" s="33">
        <v>689772</v>
      </c>
      <c r="G245" s="32">
        <f t="shared" si="35"/>
        <v>44124</v>
      </c>
      <c r="H245" s="357" t="s">
        <v>588</v>
      </c>
      <c r="I245" s="33">
        <f t="shared" si="42"/>
        <v>689772</v>
      </c>
      <c r="J245" s="32">
        <f t="shared" si="36"/>
        <v>0</v>
      </c>
      <c r="K245" s="357"/>
      <c r="L245" s="33">
        <f>ROUND(I245,0)+3000</f>
        <v>692772</v>
      </c>
      <c r="M245" s="32">
        <f t="shared" si="37"/>
        <v>3000</v>
      </c>
      <c r="N245" s="44" t="s">
        <v>589</v>
      </c>
      <c r="O245" s="33">
        <f>ROUND(L245,0)+24862</f>
        <v>717634</v>
      </c>
      <c r="P245" s="32">
        <f t="shared" si="38"/>
        <v>24862</v>
      </c>
      <c r="Q245" s="44" t="s">
        <v>1096</v>
      </c>
    </row>
    <row r="246" spans="2:17" s="29" customFormat="1" ht="16.899999999999999" customHeight="1" x14ac:dyDescent="0.25">
      <c r="B246" s="47"/>
      <c r="C246" s="125" t="s">
        <v>590</v>
      </c>
      <c r="D246" s="98" t="s">
        <v>540</v>
      </c>
      <c r="E246" s="33">
        <v>386671</v>
      </c>
      <c r="F246" s="33">
        <v>342547</v>
      </c>
      <c r="G246" s="32">
        <f t="shared" si="35"/>
        <v>-44124</v>
      </c>
      <c r="H246" s="358"/>
      <c r="I246" s="33">
        <f t="shared" si="42"/>
        <v>342547</v>
      </c>
      <c r="J246" s="32">
        <f t="shared" si="36"/>
        <v>0</v>
      </c>
      <c r="K246" s="358"/>
      <c r="L246" s="33">
        <f t="shared" si="44"/>
        <v>342547</v>
      </c>
      <c r="M246" s="32">
        <f t="shared" si="37"/>
        <v>0</v>
      </c>
      <c r="N246" s="156"/>
      <c r="O246" s="33">
        <f t="shared" si="43"/>
        <v>342547</v>
      </c>
      <c r="P246" s="32">
        <f t="shared" si="38"/>
        <v>0</v>
      </c>
      <c r="Q246" s="156"/>
    </row>
    <row r="247" spans="2:17" s="29" customFormat="1" ht="16.899999999999999" customHeight="1" x14ac:dyDescent="0.25">
      <c r="B247" s="47" t="s">
        <v>591</v>
      </c>
      <c r="C247" s="125" t="s">
        <v>592</v>
      </c>
      <c r="D247" s="98" t="s">
        <v>593</v>
      </c>
      <c r="E247" s="33">
        <v>11200</v>
      </c>
      <c r="F247" s="33">
        <v>11200</v>
      </c>
      <c r="G247" s="32">
        <f t="shared" si="35"/>
        <v>0</v>
      </c>
      <c r="H247" s="34"/>
      <c r="I247" s="33">
        <f t="shared" si="42"/>
        <v>11200</v>
      </c>
      <c r="J247" s="32">
        <f t="shared" si="36"/>
        <v>0</v>
      </c>
      <c r="K247" s="34"/>
      <c r="L247" s="33">
        <f t="shared" si="44"/>
        <v>11200</v>
      </c>
      <c r="M247" s="32">
        <f t="shared" si="37"/>
        <v>0</v>
      </c>
      <c r="N247" s="34"/>
      <c r="O247" s="33">
        <f t="shared" si="43"/>
        <v>11200</v>
      </c>
      <c r="P247" s="32">
        <f t="shared" si="38"/>
        <v>0</v>
      </c>
      <c r="Q247" s="34"/>
    </row>
    <row r="248" spans="2:17" s="111" customFormat="1" ht="15.6" customHeight="1" x14ac:dyDescent="0.25">
      <c r="B248" s="64" t="s">
        <v>594</v>
      </c>
      <c r="C248" s="125" t="s">
        <v>595</v>
      </c>
      <c r="D248" s="98" t="s">
        <v>596</v>
      </c>
      <c r="E248" s="33">
        <v>76968</v>
      </c>
      <c r="F248" s="33">
        <v>76968</v>
      </c>
      <c r="G248" s="32">
        <f t="shared" si="35"/>
        <v>0</v>
      </c>
      <c r="H248" s="34"/>
      <c r="I248" s="33">
        <f t="shared" si="42"/>
        <v>76968</v>
      </c>
      <c r="J248" s="32">
        <f t="shared" si="36"/>
        <v>0</v>
      </c>
      <c r="K248" s="34"/>
      <c r="L248" s="33">
        <f t="shared" si="44"/>
        <v>76968</v>
      </c>
      <c r="M248" s="32">
        <f t="shared" si="37"/>
        <v>0</v>
      </c>
      <c r="N248" s="34"/>
      <c r="O248" s="33">
        <f t="shared" si="43"/>
        <v>76968</v>
      </c>
      <c r="P248" s="32">
        <f t="shared" si="38"/>
        <v>0</v>
      </c>
      <c r="Q248" s="34"/>
    </row>
    <row r="249" spans="2:17" s="111" customFormat="1" ht="15" customHeight="1" x14ac:dyDescent="0.25">
      <c r="B249" s="64" t="s">
        <v>586</v>
      </c>
      <c r="C249" s="125" t="s">
        <v>597</v>
      </c>
      <c r="D249" s="98" t="s">
        <v>598</v>
      </c>
      <c r="E249" s="33">
        <v>0</v>
      </c>
      <c r="F249" s="33">
        <v>0</v>
      </c>
      <c r="G249" s="32">
        <f t="shared" si="35"/>
        <v>0</v>
      </c>
      <c r="H249" s="34"/>
      <c r="I249" s="33">
        <f t="shared" si="42"/>
        <v>0</v>
      </c>
      <c r="J249" s="32">
        <f t="shared" si="36"/>
        <v>0</v>
      </c>
      <c r="K249" s="34"/>
      <c r="L249" s="33">
        <f t="shared" si="44"/>
        <v>0</v>
      </c>
      <c r="M249" s="32">
        <f t="shared" si="37"/>
        <v>0</v>
      </c>
      <c r="N249" s="34"/>
      <c r="O249" s="33">
        <f t="shared" si="43"/>
        <v>0</v>
      </c>
      <c r="P249" s="32">
        <f t="shared" si="38"/>
        <v>0</v>
      </c>
      <c r="Q249" s="34"/>
    </row>
    <row r="250" spans="2:17" s="29" customFormat="1" ht="15.75" customHeight="1" x14ac:dyDescent="0.25">
      <c r="B250" s="47"/>
      <c r="C250" s="119" t="s">
        <v>599</v>
      </c>
      <c r="D250" s="127" t="s">
        <v>600</v>
      </c>
      <c r="E250" s="128">
        <v>8902379</v>
      </c>
      <c r="F250" s="128">
        <v>8976780</v>
      </c>
      <c r="G250" s="129">
        <f t="shared" si="35"/>
        <v>74401</v>
      </c>
      <c r="H250" s="129"/>
      <c r="I250" s="128">
        <f>I251+I255+I256+I257+I258+I259+I260+I261+I262+I263+I264</f>
        <v>9067744</v>
      </c>
      <c r="J250" s="129">
        <f t="shared" si="36"/>
        <v>90964</v>
      </c>
      <c r="K250" s="129"/>
      <c r="L250" s="128">
        <f>L251+L255+L256+L257+L258+L259+L260+L261+L262+L263+L264</f>
        <v>9068044</v>
      </c>
      <c r="M250" s="129">
        <f t="shared" si="37"/>
        <v>300</v>
      </c>
      <c r="N250" s="129"/>
      <c r="O250" s="128">
        <f>O251+O255+O256+O257+O258+O259+O260+O261+O262+O263+O264</f>
        <v>9137574</v>
      </c>
      <c r="P250" s="129">
        <f t="shared" si="38"/>
        <v>69530</v>
      </c>
      <c r="Q250" s="129"/>
    </row>
    <row r="251" spans="2:17" s="29" customFormat="1" ht="27" customHeight="1" x14ac:dyDescent="0.25">
      <c r="B251" s="47"/>
      <c r="C251" s="125" t="s">
        <v>601</v>
      </c>
      <c r="D251" s="98" t="s">
        <v>534</v>
      </c>
      <c r="E251" s="33">
        <v>4520522</v>
      </c>
      <c r="F251" s="33">
        <v>4589323</v>
      </c>
      <c r="G251" s="32">
        <f t="shared" si="35"/>
        <v>68801</v>
      </c>
      <c r="H251" s="35"/>
      <c r="I251" s="33">
        <f>SUM(I252:I254)</f>
        <v>4662311</v>
      </c>
      <c r="J251" s="32">
        <f t="shared" si="36"/>
        <v>72988</v>
      </c>
      <c r="K251" s="35"/>
      <c r="L251" s="33">
        <f>SUM(L252:L254)</f>
        <v>4662311</v>
      </c>
      <c r="M251" s="32">
        <f t="shared" si="37"/>
        <v>0</v>
      </c>
      <c r="N251" s="35"/>
      <c r="O251" s="33">
        <f>SUM(O252:O254)</f>
        <v>4662311</v>
      </c>
      <c r="P251" s="32">
        <f t="shared" si="38"/>
        <v>0</v>
      </c>
      <c r="Q251" s="35"/>
    </row>
    <row r="252" spans="2:17" s="177" customFormat="1" ht="30.75" customHeight="1" x14ac:dyDescent="0.25">
      <c r="B252" s="175" t="s">
        <v>602</v>
      </c>
      <c r="C252" s="140" t="s">
        <v>603</v>
      </c>
      <c r="D252" s="141" t="s">
        <v>577</v>
      </c>
      <c r="E252" s="176">
        <v>4199279</v>
      </c>
      <c r="F252" s="176">
        <v>4198166</v>
      </c>
      <c r="G252" s="145">
        <f t="shared" si="35"/>
        <v>-1113</v>
      </c>
      <c r="H252" s="150" t="s">
        <v>604</v>
      </c>
      <c r="I252" s="176">
        <f t="shared" ref="I252:I263" si="45">ROUND(F252,0)</f>
        <v>4198166</v>
      </c>
      <c r="J252" s="145">
        <f t="shared" si="36"/>
        <v>0</v>
      </c>
      <c r="K252" s="150"/>
      <c r="L252" s="176">
        <f>ROUND(I252,0)</f>
        <v>4198166</v>
      </c>
      <c r="M252" s="145">
        <f t="shared" si="37"/>
        <v>0</v>
      </c>
      <c r="N252" s="150"/>
      <c r="O252" s="176">
        <f t="shared" ref="O252:O263" si="46">ROUND(L252,0)</f>
        <v>4198166</v>
      </c>
      <c r="P252" s="145">
        <f t="shared" si="38"/>
        <v>0</v>
      </c>
      <c r="Q252" s="150"/>
    </row>
    <row r="253" spans="2:17" s="177" customFormat="1" ht="32.450000000000003" customHeight="1" x14ac:dyDescent="0.25">
      <c r="B253" s="175" t="s">
        <v>605</v>
      </c>
      <c r="C253" s="140" t="s">
        <v>606</v>
      </c>
      <c r="D253" s="141" t="s">
        <v>581</v>
      </c>
      <c r="E253" s="176">
        <v>321243</v>
      </c>
      <c r="F253" s="176">
        <v>391157</v>
      </c>
      <c r="G253" s="145">
        <f t="shared" si="35"/>
        <v>69914</v>
      </c>
      <c r="H253" s="150" t="s">
        <v>151</v>
      </c>
      <c r="I253" s="176">
        <f t="shared" si="45"/>
        <v>391157</v>
      </c>
      <c r="J253" s="145">
        <f t="shared" si="36"/>
        <v>0</v>
      </c>
      <c r="K253" s="150"/>
      <c r="L253" s="176">
        <f>ROUND(I253,0)</f>
        <v>391157</v>
      </c>
      <c r="M253" s="145">
        <f t="shared" si="37"/>
        <v>0</v>
      </c>
      <c r="N253" s="150"/>
      <c r="O253" s="176">
        <f t="shared" si="46"/>
        <v>391157</v>
      </c>
      <c r="P253" s="145">
        <f t="shared" si="38"/>
        <v>0</v>
      </c>
      <c r="Q253" s="150"/>
    </row>
    <row r="254" spans="2:17" s="177" customFormat="1" ht="17.25" customHeight="1" x14ac:dyDescent="0.25">
      <c r="B254" s="175" t="s">
        <v>602</v>
      </c>
      <c r="C254" s="140" t="s">
        <v>607</v>
      </c>
      <c r="D254" s="141" t="s">
        <v>583</v>
      </c>
      <c r="E254" s="176">
        <v>0</v>
      </c>
      <c r="F254" s="176">
        <v>0</v>
      </c>
      <c r="G254" s="145">
        <f t="shared" si="35"/>
        <v>0</v>
      </c>
      <c r="H254" s="150"/>
      <c r="I254" s="176">
        <f>ROUND(F254,0)+72988</f>
        <v>72988</v>
      </c>
      <c r="J254" s="145">
        <f t="shared" si="36"/>
        <v>72988</v>
      </c>
      <c r="K254" s="35" t="s">
        <v>137</v>
      </c>
      <c r="L254" s="176">
        <f>ROUND(I254,0)</f>
        <v>72988</v>
      </c>
      <c r="M254" s="145">
        <f t="shared" si="37"/>
        <v>0</v>
      </c>
      <c r="N254" s="35"/>
      <c r="O254" s="176">
        <f t="shared" si="46"/>
        <v>72988</v>
      </c>
      <c r="P254" s="145">
        <f t="shared" si="38"/>
        <v>0</v>
      </c>
      <c r="Q254" s="35"/>
    </row>
    <row r="255" spans="2:17" s="29" customFormat="1" ht="15" customHeight="1" x14ac:dyDescent="0.25">
      <c r="B255" s="47" t="s">
        <v>608</v>
      </c>
      <c r="C255" s="125" t="s">
        <v>609</v>
      </c>
      <c r="D255" s="98" t="s">
        <v>537</v>
      </c>
      <c r="E255" s="33">
        <v>861741</v>
      </c>
      <c r="F255" s="33">
        <v>904140</v>
      </c>
      <c r="G255" s="32">
        <f t="shared" ref="G255:G291" si="47">F255-E255</f>
        <v>42399</v>
      </c>
      <c r="H255" s="357" t="s">
        <v>610</v>
      </c>
      <c r="I255" s="33">
        <f t="shared" si="45"/>
        <v>904140</v>
      </c>
      <c r="J255" s="32">
        <f t="shared" ref="J255:J291" si="48">I255-F255</f>
        <v>0</v>
      </c>
      <c r="K255" s="44"/>
      <c r="L255" s="33">
        <f>ROUND(I255,0)+300</f>
        <v>904440</v>
      </c>
      <c r="M255" s="32">
        <f t="shared" ref="M255:M291" si="49">L255-I255</f>
        <v>300</v>
      </c>
      <c r="N255" s="44" t="s">
        <v>611</v>
      </c>
      <c r="O255" s="33">
        <f t="shared" si="46"/>
        <v>904440</v>
      </c>
      <c r="P255" s="32">
        <f t="shared" ref="P255:P291" si="50">O255-L255</f>
        <v>0</v>
      </c>
      <c r="Q255" s="44"/>
    </row>
    <row r="256" spans="2:17" s="29" customFormat="1" ht="31.9" customHeight="1" x14ac:dyDescent="0.25">
      <c r="B256" s="47"/>
      <c r="C256" s="125" t="s">
        <v>612</v>
      </c>
      <c r="D256" s="98" t="s">
        <v>540</v>
      </c>
      <c r="E256" s="33">
        <v>813750</v>
      </c>
      <c r="F256" s="33">
        <v>779351</v>
      </c>
      <c r="G256" s="32">
        <f t="shared" si="47"/>
        <v>-34399</v>
      </c>
      <c r="H256" s="358"/>
      <c r="I256" s="33">
        <f>ROUND(F256,0)+1321</f>
        <v>780672</v>
      </c>
      <c r="J256" s="32">
        <f t="shared" si="48"/>
        <v>1321</v>
      </c>
      <c r="K256" s="156" t="s">
        <v>613</v>
      </c>
      <c r="L256" s="33">
        <f t="shared" ref="L256:L263" si="51">ROUND(I256,0)</f>
        <v>780672</v>
      </c>
      <c r="M256" s="32">
        <f t="shared" si="49"/>
        <v>0</v>
      </c>
      <c r="N256" s="156"/>
      <c r="O256" s="33">
        <f t="shared" si="46"/>
        <v>780672</v>
      </c>
      <c r="P256" s="32">
        <f t="shared" si="50"/>
        <v>0</v>
      </c>
      <c r="Q256" s="156"/>
    </row>
    <row r="257" spans="2:17" s="29" customFormat="1" ht="15" customHeight="1" x14ac:dyDescent="0.25">
      <c r="B257" s="29" t="s">
        <v>614</v>
      </c>
      <c r="C257" s="125" t="s">
        <v>615</v>
      </c>
      <c r="D257" s="98" t="s">
        <v>616</v>
      </c>
      <c r="E257" s="33">
        <v>51949</v>
      </c>
      <c r="F257" s="33">
        <v>51949</v>
      </c>
      <c r="G257" s="32">
        <f t="shared" si="47"/>
        <v>0</v>
      </c>
      <c r="H257" s="34"/>
      <c r="I257" s="33">
        <f t="shared" si="45"/>
        <v>51949</v>
      </c>
      <c r="J257" s="32">
        <f t="shared" si="48"/>
        <v>0</v>
      </c>
      <c r="K257" s="34"/>
      <c r="L257" s="33">
        <f t="shared" si="51"/>
        <v>51949</v>
      </c>
      <c r="M257" s="32">
        <f t="shared" si="49"/>
        <v>0</v>
      </c>
      <c r="N257" s="34"/>
      <c r="O257" s="33">
        <f t="shared" si="46"/>
        <v>51949</v>
      </c>
      <c r="P257" s="32">
        <f t="shared" si="50"/>
        <v>0</v>
      </c>
      <c r="Q257" s="34"/>
    </row>
    <row r="258" spans="2:17" s="29" customFormat="1" ht="16.149999999999999" customHeight="1" x14ac:dyDescent="0.25">
      <c r="B258" s="47" t="s">
        <v>617</v>
      </c>
      <c r="C258" s="125" t="s">
        <v>618</v>
      </c>
      <c r="D258" s="98" t="s">
        <v>593</v>
      </c>
      <c r="E258" s="33">
        <v>41000</v>
      </c>
      <c r="F258" s="33">
        <v>41000</v>
      </c>
      <c r="G258" s="32">
        <f t="shared" si="47"/>
        <v>0</v>
      </c>
      <c r="H258" s="34"/>
      <c r="I258" s="33">
        <f t="shared" si="45"/>
        <v>41000</v>
      </c>
      <c r="J258" s="32">
        <f t="shared" si="48"/>
        <v>0</v>
      </c>
      <c r="K258" s="34"/>
      <c r="L258" s="33">
        <f t="shared" si="51"/>
        <v>41000</v>
      </c>
      <c r="M258" s="32">
        <f t="shared" si="49"/>
        <v>0</v>
      </c>
      <c r="N258" s="34"/>
      <c r="O258" s="33">
        <f t="shared" si="46"/>
        <v>41000</v>
      </c>
      <c r="P258" s="32">
        <f t="shared" si="50"/>
        <v>0</v>
      </c>
      <c r="Q258" s="34"/>
    </row>
    <row r="259" spans="2:17" s="178" customFormat="1" ht="18.75" customHeight="1" x14ac:dyDescent="0.25">
      <c r="B259" s="47" t="s">
        <v>608</v>
      </c>
      <c r="C259" s="125" t="s">
        <v>619</v>
      </c>
      <c r="D259" s="98" t="s">
        <v>309</v>
      </c>
      <c r="E259" s="33">
        <v>300000</v>
      </c>
      <c r="F259" s="33">
        <v>300000</v>
      </c>
      <c r="G259" s="32">
        <f t="shared" si="47"/>
        <v>0</v>
      </c>
      <c r="H259" s="34"/>
      <c r="I259" s="33">
        <f t="shared" si="45"/>
        <v>300000</v>
      </c>
      <c r="J259" s="32">
        <f t="shared" si="48"/>
        <v>0</v>
      </c>
      <c r="K259" s="35"/>
      <c r="L259" s="33">
        <f t="shared" si="51"/>
        <v>300000</v>
      </c>
      <c r="M259" s="32">
        <f t="shared" si="49"/>
        <v>0</v>
      </c>
      <c r="N259" s="35"/>
      <c r="O259" s="33">
        <f t="shared" si="46"/>
        <v>300000</v>
      </c>
      <c r="P259" s="32">
        <f t="shared" si="50"/>
        <v>0</v>
      </c>
      <c r="Q259" s="35"/>
    </row>
    <row r="260" spans="2:17" s="178" customFormat="1" ht="72" customHeight="1" x14ac:dyDescent="0.25">
      <c r="B260" s="47" t="s">
        <v>608</v>
      </c>
      <c r="C260" s="125" t="s">
        <v>620</v>
      </c>
      <c r="D260" s="98" t="s">
        <v>311</v>
      </c>
      <c r="E260" s="33">
        <v>542914</v>
      </c>
      <c r="F260" s="33">
        <v>542914</v>
      </c>
      <c r="G260" s="32">
        <f t="shared" si="47"/>
        <v>0</v>
      </c>
      <c r="H260" s="179" t="s">
        <v>621</v>
      </c>
      <c r="I260" s="33">
        <f>ROUND(F260,0)+14715</f>
        <v>557629</v>
      </c>
      <c r="J260" s="32">
        <f t="shared" si="48"/>
        <v>14715</v>
      </c>
      <c r="K260" s="35" t="s">
        <v>622</v>
      </c>
      <c r="L260" s="33">
        <f t="shared" si="51"/>
        <v>557629</v>
      </c>
      <c r="M260" s="32">
        <f t="shared" si="49"/>
        <v>0</v>
      </c>
      <c r="N260" s="180"/>
      <c r="O260" s="33">
        <f t="shared" si="46"/>
        <v>557629</v>
      </c>
      <c r="P260" s="32">
        <f t="shared" si="50"/>
        <v>0</v>
      </c>
      <c r="Q260" s="180"/>
    </row>
    <row r="261" spans="2:17" s="178" customFormat="1" ht="50.25" customHeight="1" x14ac:dyDescent="0.25">
      <c r="B261" s="181" t="s">
        <v>623</v>
      </c>
      <c r="C261" s="125" t="s">
        <v>624</v>
      </c>
      <c r="D261" s="98" t="s">
        <v>625</v>
      </c>
      <c r="E261" s="33">
        <v>707203</v>
      </c>
      <c r="F261" s="33">
        <v>727923</v>
      </c>
      <c r="G261" s="32">
        <f t="shared" si="47"/>
        <v>20720</v>
      </c>
      <c r="H261" s="357" t="s">
        <v>626</v>
      </c>
      <c r="I261" s="33">
        <f t="shared" si="45"/>
        <v>727923</v>
      </c>
      <c r="J261" s="32">
        <f t="shared" si="48"/>
        <v>0</v>
      </c>
      <c r="K261" s="357"/>
      <c r="L261" s="33">
        <f t="shared" si="51"/>
        <v>727923</v>
      </c>
      <c r="M261" s="32">
        <f t="shared" si="49"/>
        <v>0</v>
      </c>
      <c r="N261" s="357"/>
      <c r="O261" s="33">
        <f>ROUND(L261,0)+42138+27392</f>
        <v>797453</v>
      </c>
      <c r="P261" s="32">
        <f t="shared" si="50"/>
        <v>69530</v>
      </c>
      <c r="Q261" s="44" t="s">
        <v>1097</v>
      </c>
    </row>
    <row r="262" spans="2:17" s="178" customFormat="1" ht="32.450000000000003" customHeight="1" x14ac:dyDescent="0.25">
      <c r="B262" s="181"/>
      <c r="C262" s="125" t="s">
        <v>627</v>
      </c>
      <c r="D262" s="98" t="s">
        <v>628</v>
      </c>
      <c r="E262" s="33">
        <v>451553</v>
      </c>
      <c r="F262" s="33">
        <v>428433</v>
      </c>
      <c r="G262" s="32">
        <f t="shared" si="47"/>
        <v>-23120</v>
      </c>
      <c r="H262" s="358"/>
      <c r="I262" s="33">
        <f t="shared" si="45"/>
        <v>428433</v>
      </c>
      <c r="J262" s="32">
        <f t="shared" si="48"/>
        <v>0</v>
      </c>
      <c r="K262" s="358"/>
      <c r="L262" s="33">
        <f t="shared" si="51"/>
        <v>428433</v>
      </c>
      <c r="M262" s="32">
        <f t="shared" si="49"/>
        <v>0</v>
      </c>
      <c r="N262" s="358"/>
      <c r="O262" s="33">
        <f t="shared" si="46"/>
        <v>428433</v>
      </c>
      <c r="P262" s="32">
        <f t="shared" si="50"/>
        <v>0</v>
      </c>
      <c r="Q262" s="156"/>
    </row>
    <row r="263" spans="2:17" s="178" customFormat="1" ht="15" customHeight="1" x14ac:dyDescent="0.25">
      <c r="B263" s="47" t="s">
        <v>602</v>
      </c>
      <c r="C263" s="125" t="s">
        <v>629</v>
      </c>
      <c r="D263" s="98" t="s">
        <v>630</v>
      </c>
      <c r="E263" s="33">
        <v>263797</v>
      </c>
      <c r="F263" s="33">
        <v>263797</v>
      </c>
      <c r="G263" s="32">
        <f t="shared" si="47"/>
        <v>0</v>
      </c>
      <c r="H263" s="35"/>
      <c r="I263" s="33">
        <f t="shared" si="45"/>
        <v>263797</v>
      </c>
      <c r="J263" s="32">
        <f t="shared" si="48"/>
        <v>0</v>
      </c>
      <c r="K263" s="35"/>
      <c r="L263" s="33">
        <f t="shared" si="51"/>
        <v>263797</v>
      </c>
      <c r="M263" s="32">
        <f t="shared" si="49"/>
        <v>0</v>
      </c>
      <c r="N263" s="35"/>
      <c r="O263" s="33">
        <f t="shared" si="46"/>
        <v>263797</v>
      </c>
      <c r="P263" s="32">
        <f t="shared" si="50"/>
        <v>0</v>
      </c>
      <c r="Q263" s="35"/>
    </row>
    <row r="264" spans="2:17" s="186" customFormat="1" ht="13.9" customHeight="1" x14ac:dyDescent="0.25">
      <c r="B264" s="181"/>
      <c r="C264" s="182" t="s">
        <v>631</v>
      </c>
      <c r="D264" s="183" t="s">
        <v>632</v>
      </c>
      <c r="E264" s="185">
        <v>347950</v>
      </c>
      <c r="F264" s="185">
        <v>347950</v>
      </c>
      <c r="G264" s="184">
        <f t="shared" si="47"/>
        <v>0</v>
      </c>
      <c r="H264" s="184"/>
      <c r="I264" s="185">
        <f>I265+I266+I267</f>
        <v>349890</v>
      </c>
      <c r="J264" s="184">
        <f t="shared" si="48"/>
        <v>1940</v>
      </c>
      <c r="K264" s="184"/>
      <c r="L264" s="185">
        <f>L265+L266+L267</f>
        <v>349890</v>
      </c>
      <c r="M264" s="184">
        <f t="shared" si="49"/>
        <v>0</v>
      </c>
      <c r="N264" s="184"/>
      <c r="O264" s="185">
        <f>O265+O266+O267</f>
        <v>349890</v>
      </c>
      <c r="P264" s="184">
        <f t="shared" si="50"/>
        <v>0</v>
      </c>
      <c r="Q264" s="184"/>
    </row>
    <row r="265" spans="2:17" s="178" customFormat="1" ht="12" customHeight="1" x14ac:dyDescent="0.25">
      <c r="B265" s="64" t="s">
        <v>633</v>
      </c>
      <c r="C265" s="187" t="s">
        <v>634</v>
      </c>
      <c r="D265" s="98" t="s">
        <v>635</v>
      </c>
      <c r="E265" s="33">
        <v>100105</v>
      </c>
      <c r="F265" s="33">
        <v>100105</v>
      </c>
      <c r="G265" s="32">
        <f t="shared" si="47"/>
        <v>0</v>
      </c>
      <c r="H265" s="35"/>
      <c r="I265" s="33">
        <f>ROUND(F265,0)+1940</f>
        <v>102045</v>
      </c>
      <c r="J265" s="32">
        <f t="shared" si="48"/>
        <v>1940</v>
      </c>
      <c r="K265" s="35" t="s">
        <v>137</v>
      </c>
      <c r="L265" s="33">
        <f>ROUND(I265,0)</f>
        <v>102045</v>
      </c>
      <c r="M265" s="32">
        <f t="shared" si="49"/>
        <v>0</v>
      </c>
      <c r="N265" s="35"/>
      <c r="O265" s="33">
        <f>ROUND(L265,0)</f>
        <v>102045</v>
      </c>
      <c r="P265" s="32">
        <f t="shared" si="50"/>
        <v>0</v>
      </c>
      <c r="Q265" s="35"/>
    </row>
    <row r="266" spans="2:17" s="111" customFormat="1" ht="13.9" customHeight="1" x14ac:dyDescent="0.25">
      <c r="B266" s="181" t="s">
        <v>636</v>
      </c>
      <c r="C266" s="187" t="s">
        <v>637</v>
      </c>
      <c r="D266" s="98" t="s">
        <v>638</v>
      </c>
      <c r="E266" s="33">
        <v>232189</v>
      </c>
      <c r="F266" s="33">
        <v>232189</v>
      </c>
      <c r="G266" s="32">
        <f t="shared" si="47"/>
        <v>0</v>
      </c>
      <c r="H266" s="34"/>
      <c r="I266" s="33">
        <f>ROUND(F266,0)</f>
        <v>232189</v>
      </c>
      <c r="J266" s="32">
        <f t="shared" si="48"/>
        <v>0</v>
      </c>
      <c r="K266" s="34"/>
      <c r="L266" s="33">
        <f>ROUND(I266,0)</f>
        <v>232189</v>
      </c>
      <c r="M266" s="32">
        <f t="shared" si="49"/>
        <v>0</v>
      </c>
      <c r="N266" s="34"/>
      <c r="O266" s="33">
        <f>ROUND(L266,0)</f>
        <v>232189</v>
      </c>
      <c r="P266" s="32">
        <f t="shared" si="50"/>
        <v>0</v>
      </c>
      <c r="Q266" s="34"/>
    </row>
    <row r="267" spans="2:17" s="111" customFormat="1" ht="13.9" customHeight="1" x14ac:dyDescent="0.25">
      <c r="B267" s="181"/>
      <c r="C267" s="187" t="s">
        <v>639</v>
      </c>
      <c r="D267" s="98" t="s">
        <v>482</v>
      </c>
      <c r="E267" s="33">
        <v>15656</v>
      </c>
      <c r="F267" s="33">
        <v>15656</v>
      </c>
      <c r="G267" s="32">
        <f t="shared" si="47"/>
        <v>0</v>
      </c>
      <c r="H267" s="34"/>
      <c r="I267" s="33">
        <f>ROUND(F267,0)</f>
        <v>15656</v>
      </c>
      <c r="J267" s="32">
        <f t="shared" si="48"/>
        <v>0</v>
      </c>
      <c r="K267" s="34"/>
      <c r="L267" s="33">
        <f>ROUND(I267,0)</f>
        <v>15656</v>
      </c>
      <c r="M267" s="32">
        <f t="shared" si="49"/>
        <v>0</v>
      </c>
      <c r="N267" s="34"/>
      <c r="O267" s="33">
        <f>ROUND(L267,0)</f>
        <v>15656</v>
      </c>
      <c r="P267" s="32">
        <f t="shared" si="50"/>
        <v>0</v>
      </c>
      <c r="Q267" s="34"/>
    </row>
    <row r="268" spans="2:17" ht="18" customHeight="1" x14ac:dyDescent="0.25">
      <c r="C268" s="188" t="s">
        <v>640</v>
      </c>
      <c r="D268" s="127" t="s">
        <v>641</v>
      </c>
      <c r="E268" s="129">
        <v>1819829</v>
      </c>
      <c r="F268" s="129">
        <v>1819829</v>
      </c>
      <c r="G268" s="128">
        <f t="shared" si="47"/>
        <v>0</v>
      </c>
      <c r="H268" s="128"/>
      <c r="I268" s="129">
        <f>I269+I270</f>
        <v>1819829</v>
      </c>
      <c r="J268" s="128">
        <f t="shared" si="48"/>
        <v>0</v>
      </c>
      <c r="K268" s="128"/>
      <c r="L268" s="129">
        <f>L269+L270</f>
        <v>1819529</v>
      </c>
      <c r="M268" s="128">
        <f t="shared" si="49"/>
        <v>-300</v>
      </c>
      <c r="N268" s="128"/>
      <c r="O268" s="129">
        <f>O269+O270</f>
        <v>1819529</v>
      </c>
      <c r="P268" s="128">
        <f t="shared" si="50"/>
        <v>0</v>
      </c>
      <c r="Q268" s="128"/>
    </row>
    <row r="269" spans="2:17" ht="13.5" customHeight="1" x14ac:dyDescent="0.25">
      <c r="C269" s="125" t="s">
        <v>642</v>
      </c>
      <c r="D269" s="98" t="s">
        <v>643</v>
      </c>
      <c r="E269" s="33">
        <v>735359</v>
      </c>
      <c r="F269" s="33">
        <v>735359</v>
      </c>
      <c r="G269" s="32">
        <f t="shared" si="47"/>
        <v>0</v>
      </c>
      <c r="H269" s="35"/>
      <c r="I269" s="33">
        <f>ROUND(F269,0)</f>
        <v>735359</v>
      </c>
      <c r="J269" s="32">
        <f t="shared" si="48"/>
        <v>0</v>
      </c>
      <c r="K269" s="35"/>
      <c r="L269" s="33">
        <f>ROUND(I269,0)</f>
        <v>735359</v>
      </c>
      <c r="M269" s="32">
        <f t="shared" si="49"/>
        <v>0</v>
      </c>
      <c r="N269" s="35"/>
      <c r="O269" s="33">
        <f>ROUND(L269,0)</f>
        <v>735359</v>
      </c>
      <c r="P269" s="32">
        <f t="shared" si="50"/>
        <v>0</v>
      </c>
      <c r="Q269" s="35"/>
    </row>
    <row r="270" spans="2:17" ht="25.9" customHeight="1" x14ac:dyDescent="0.25">
      <c r="C270" s="125" t="s">
        <v>642</v>
      </c>
      <c r="D270" s="98" t="s">
        <v>537</v>
      </c>
      <c r="E270" s="33">
        <v>1084470</v>
      </c>
      <c r="F270" s="33">
        <v>1084470</v>
      </c>
      <c r="G270" s="32">
        <f t="shared" si="47"/>
        <v>0</v>
      </c>
      <c r="H270" s="189"/>
      <c r="I270" s="33">
        <f>ROUND(F270,0)</f>
        <v>1084470</v>
      </c>
      <c r="J270" s="32">
        <f t="shared" si="48"/>
        <v>0</v>
      </c>
      <c r="K270" s="189"/>
      <c r="L270" s="33">
        <f>ROUND(I270,0)-300</f>
        <v>1084170</v>
      </c>
      <c r="M270" s="32">
        <f t="shared" si="49"/>
        <v>-300</v>
      </c>
      <c r="N270" s="189" t="s">
        <v>611</v>
      </c>
      <c r="O270" s="33">
        <f>ROUND(L270,0)</f>
        <v>1084170</v>
      </c>
      <c r="P270" s="32">
        <f t="shared" si="50"/>
        <v>0</v>
      </c>
      <c r="Q270" s="189"/>
    </row>
    <row r="271" spans="2:17" ht="16.149999999999999" customHeight="1" x14ac:dyDescent="0.25">
      <c r="C271" s="190" t="s">
        <v>644</v>
      </c>
      <c r="D271" s="127" t="s">
        <v>645</v>
      </c>
      <c r="E271" s="129">
        <v>845947</v>
      </c>
      <c r="F271" s="129">
        <v>845947</v>
      </c>
      <c r="G271" s="128">
        <f t="shared" si="47"/>
        <v>0</v>
      </c>
      <c r="H271" s="135"/>
      <c r="I271" s="129">
        <f>I272+I273</f>
        <v>845947</v>
      </c>
      <c r="J271" s="128">
        <f t="shared" si="48"/>
        <v>0</v>
      </c>
      <c r="K271" s="135"/>
      <c r="L271" s="129">
        <f>L272+L273</f>
        <v>845947</v>
      </c>
      <c r="M271" s="128">
        <f t="shared" si="49"/>
        <v>0</v>
      </c>
      <c r="N271" s="135"/>
      <c r="O271" s="129">
        <f>O272+O273</f>
        <v>845947</v>
      </c>
      <c r="P271" s="128">
        <f t="shared" si="50"/>
        <v>0</v>
      </c>
      <c r="Q271" s="135"/>
    </row>
    <row r="272" spans="2:17" ht="16.5" customHeight="1" x14ac:dyDescent="0.25">
      <c r="B272" s="64" t="s">
        <v>646</v>
      </c>
      <c r="C272" s="125" t="s">
        <v>647</v>
      </c>
      <c r="D272" s="98" t="s">
        <v>643</v>
      </c>
      <c r="E272" s="33">
        <v>313283</v>
      </c>
      <c r="F272" s="33">
        <v>313283</v>
      </c>
      <c r="G272" s="32">
        <f t="shared" si="47"/>
        <v>0</v>
      </c>
      <c r="H272" s="34"/>
      <c r="I272" s="33">
        <f t="shared" ref="I272:I281" si="52">ROUND(F272,0)</f>
        <v>313283</v>
      </c>
      <c r="J272" s="32">
        <f t="shared" si="48"/>
        <v>0</v>
      </c>
      <c r="K272" s="34"/>
      <c r="L272" s="33">
        <f>ROUND(I272,0)</f>
        <v>313283</v>
      </c>
      <c r="M272" s="32">
        <f t="shared" si="49"/>
        <v>0</v>
      </c>
      <c r="N272" s="34"/>
      <c r="O272" s="33">
        <f>ROUND(L272,0)</f>
        <v>313283</v>
      </c>
      <c r="P272" s="32">
        <f t="shared" si="50"/>
        <v>0</v>
      </c>
      <c r="Q272" s="34"/>
    </row>
    <row r="273" spans="2:17" ht="16.5" customHeight="1" x14ac:dyDescent="0.25">
      <c r="B273" s="64" t="s">
        <v>648</v>
      </c>
      <c r="C273" s="125" t="s">
        <v>649</v>
      </c>
      <c r="D273" s="98" t="s">
        <v>650</v>
      </c>
      <c r="E273" s="33">
        <v>532664</v>
      </c>
      <c r="F273" s="33">
        <v>532664</v>
      </c>
      <c r="G273" s="32">
        <f t="shared" si="47"/>
        <v>0</v>
      </c>
      <c r="H273" s="35"/>
      <c r="I273" s="33">
        <f t="shared" si="52"/>
        <v>532664</v>
      </c>
      <c r="J273" s="32">
        <f t="shared" si="48"/>
        <v>0</v>
      </c>
      <c r="K273" s="35"/>
      <c r="L273" s="33">
        <f>ROUND(I273,0)</f>
        <v>532664</v>
      </c>
      <c r="M273" s="32">
        <f t="shared" si="49"/>
        <v>0</v>
      </c>
      <c r="N273" s="35"/>
      <c r="O273" s="33">
        <f>ROUND(L273,0)</f>
        <v>532664</v>
      </c>
      <c r="P273" s="32">
        <f t="shared" si="50"/>
        <v>0</v>
      </c>
      <c r="Q273" s="35"/>
    </row>
    <row r="274" spans="2:17" ht="120" customHeight="1" x14ac:dyDescent="0.25">
      <c r="B274" s="64" t="s">
        <v>651</v>
      </c>
      <c r="C274" s="190" t="s">
        <v>652</v>
      </c>
      <c r="D274" s="127" t="s">
        <v>653</v>
      </c>
      <c r="E274" s="54">
        <v>508477</v>
      </c>
      <c r="F274" s="54">
        <v>540405</v>
      </c>
      <c r="G274" s="53">
        <f t="shared" si="47"/>
        <v>31928</v>
      </c>
      <c r="H274" s="69" t="s">
        <v>654</v>
      </c>
      <c r="I274" s="54">
        <f>ROUND(F274,0)+4455</f>
        <v>544860</v>
      </c>
      <c r="J274" s="53">
        <f t="shared" si="48"/>
        <v>4455</v>
      </c>
      <c r="K274" s="69" t="s">
        <v>655</v>
      </c>
      <c r="L274" s="54">
        <f>ROUND(I274,0)+44477+8781+38003+5643</f>
        <v>641764</v>
      </c>
      <c r="M274" s="53">
        <f t="shared" si="49"/>
        <v>96904</v>
      </c>
      <c r="N274" s="69" t="s">
        <v>656</v>
      </c>
      <c r="O274" s="54">
        <f>ROUND(L274,0)+14838+2193-1000+(5400+24600)</f>
        <v>687795</v>
      </c>
      <c r="P274" s="53">
        <f t="shared" si="50"/>
        <v>46031</v>
      </c>
      <c r="Q274" s="69" t="s">
        <v>1094</v>
      </c>
    </row>
    <row r="275" spans="2:17" ht="25.9" customHeight="1" x14ac:dyDescent="0.25">
      <c r="B275" s="64"/>
      <c r="C275" s="190" t="s">
        <v>657</v>
      </c>
      <c r="D275" s="127" t="s">
        <v>658</v>
      </c>
      <c r="E275" s="54">
        <v>3000</v>
      </c>
      <c r="F275" s="54">
        <v>3000</v>
      </c>
      <c r="G275" s="53">
        <f t="shared" si="47"/>
        <v>0</v>
      </c>
      <c r="H275" s="69"/>
      <c r="I275" s="54">
        <f t="shared" si="52"/>
        <v>3000</v>
      </c>
      <c r="J275" s="53">
        <f t="shared" si="48"/>
        <v>0</v>
      </c>
      <c r="K275" s="69"/>
      <c r="L275" s="54">
        <f t="shared" ref="L275:L281" si="53">ROUND(I275,0)</f>
        <v>3000</v>
      </c>
      <c r="M275" s="53">
        <f t="shared" si="49"/>
        <v>0</v>
      </c>
      <c r="N275" s="69"/>
      <c r="O275" s="54">
        <f>ROUND(L275,0)</f>
        <v>3000</v>
      </c>
      <c r="P275" s="53">
        <f t="shared" si="50"/>
        <v>0</v>
      </c>
      <c r="Q275" s="69"/>
    </row>
    <row r="276" spans="2:17" ht="31.9" hidden="1" customHeight="1" outlineLevel="1" x14ac:dyDescent="0.25">
      <c r="B276" s="64" t="s">
        <v>659</v>
      </c>
      <c r="C276" s="190" t="s">
        <v>660</v>
      </c>
      <c r="D276" s="191" t="s">
        <v>661</v>
      </c>
      <c r="E276" s="54">
        <v>0</v>
      </c>
      <c r="F276" s="54">
        <v>0</v>
      </c>
      <c r="G276" s="53">
        <f t="shared" si="47"/>
        <v>0</v>
      </c>
      <c r="H276" s="69" t="s">
        <v>662</v>
      </c>
      <c r="I276" s="54">
        <f t="shared" si="52"/>
        <v>0</v>
      </c>
      <c r="J276" s="53">
        <f t="shared" si="48"/>
        <v>0</v>
      </c>
      <c r="K276" s="69" t="s">
        <v>662</v>
      </c>
      <c r="L276" s="54">
        <f t="shared" si="53"/>
        <v>0</v>
      </c>
      <c r="M276" s="53">
        <f t="shared" si="49"/>
        <v>0</v>
      </c>
      <c r="N276" s="69" t="s">
        <v>662</v>
      </c>
      <c r="O276" s="54">
        <f t="shared" ref="O276:O281" si="54">ROUND(L276,0)</f>
        <v>0</v>
      </c>
      <c r="P276" s="53">
        <f t="shared" si="50"/>
        <v>0</v>
      </c>
      <c r="Q276" s="69" t="s">
        <v>662</v>
      </c>
    </row>
    <row r="277" spans="2:17" ht="27" hidden="1" customHeight="1" outlineLevel="1" x14ac:dyDescent="0.25">
      <c r="B277" s="64" t="s">
        <v>226</v>
      </c>
      <c r="C277" s="190" t="s">
        <v>663</v>
      </c>
      <c r="D277" s="191" t="s">
        <v>664</v>
      </c>
      <c r="E277" s="54">
        <v>0</v>
      </c>
      <c r="F277" s="54">
        <v>0</v>
      </c>
      <c r="G277" s="53">
        <f t="shared" si="47"/>
        <v>0</v>
      </c>
      <c r="H277" s="69"/>
      <c r="I277" s="54">
        <f t="shared" si="52"/>
        <v>0</v>
      </c>
      <c r="J277" s="53">
        <f t="shared" si="48"/>
        <v>0</v>
      </c>
      <c r="K277" s="69"/>
      <c r="L277" s="54">
        <f t="shared" si="53"/>
        <v>0</v>
      </c>
      <c r="M277" s="53">
        <f t="shared" si="49"/>
        <v>0</v>
      </c>
      <c r="N277" s="69"/>
      <c r="O277" s="54">
        <f t="shared" si="54"/>
        <v>0</v>
      </c>
      <c r="P277" s="53">
        <f t="shared" si="50"/>
        <v>0</v>
      </c>
      <c r="Q277" s="69"/>
    </row>
    <row r="278" spans="2:17" ht="57.6" hidden="1" customHeight="1" outlineLevel="1" x14ac:dyDescent="0.25">
      <c r="B278" s="64" t="s">
        <v>665</v>
      </c>
      <c r="C278" s="190" t="s">
        <v>666</v>
      </c>
      <c r="D278" s="191" t="s">
        <v>667</v>
      </c>
      <c r="E278" s="54">
        <v>0</v>
      </c>
      <c r="F278" s="54">
        <v>0</v>
      </c>
      <c r="G278" s="53">
        <f t="shared" si="47"/>
        <v>0</v>
      </c>
      <c r="H278" s="69"/>
      <c r="I278" s="54">
        <f t="shared" si="52"/>
        <v>0</v>
      </c>
      <c r="J278" s="53">
        <f t="shared" si="48"/>
        <v>0</v>
      </c>
      <c r="K278" s="69"/>
      <c r="L278" s="54">
        <f t="shared" si="53"/>
        <v>0</v>
      </c>
      <c r="M278" s="53">
        <f t="shared" si="49"/>
        <v>0</v>
      </c>
      <c r="N278" s="69"/>
      <c r="O278" s="54">
        <f t="shared" si="54"/>
        <v>0</v>
      </c>
      <c r="P278" s="53">
        <f t="shared" si="50"/>
        <v>0</v>
      </c>
      <c r="Q278" s="69"/>
    </row>
    <row r="279" spans="2:17" ht="30.6" customHeight="1" collapsed="1" x14ac:dyDescent="0.25">
      <c r="B279" s="64" t="s">
        <v>223</v>
      </c>
      <c r="C279" s="188" t="s">
        <v>660</v>
      </c>
      <c r="D279" s="192" t="s">
        <v>225</v>
      </c>
      <c r="E279" s="54">
        <v>5600179</v>
      </c>
      <c r="F279" s="54">
        <v>5600179</v>
      </c>
      <c r="G279" s="53">
        <f t="shared" si="47"/>
        <v>0</v>
      </c>
      <c r="H279" s="69"/>
      <c r="I279" s="54">
        <f t="shared" si="52"/>
        <v>5600179</v>
      </c>
      <c r="J279" s="53">
        <f t="shared" si="48"/>
        <v>0</v>
      </c>
      <c r="K279" s="69"/>
      <c r="L279" s="54">
        <f t="shared" si="53"/>
        <v>5600179</v>
      </c>
      <c r="M279" s="53">
        <f t="shared" si="49"/>
        <v>0</v>
      </c>
      <c r="N279" s="69"/>
      <c r="O279" s="54">
        <f t="shared" si="54"/>
        <v>5600179</v>
      </c>
      <c r="P279" s="53">
        <f t="shared" si="50"/>
        <v>0</v>
      </c>
      <c r="Q279" s="69"/>
    </row>
    <row r="280" spans="2:17" ht="139.5" customHeight="1" x14ac:dyDescent="0.25">
      <c r="B280" s="64" t="s">
        <v>668</v>
      </c>
      <c r="C280" s="188" t="s">
        <v>663</v>
      </c>
      <c r="D280" s="127" t="s">
        <v>669</v>
      </c>
      <c r="E280" s="54">
        <v>267067</v>
      </c>
      <c r="F280" s="54">
        <v>267067</v>
      </c>
      <c r="G280" s="53">
        <f t="shared" si="47"/>
        <v>0</v>
      </c>
      <c r="H280" s="69"/>
      <c r="I280" s="54">
        <f t="shared" si="52"/>
        <v>267067</v>
      </c>
      <c r="J280" s="53">
        <f t="shared" si="48"/>
        <v>0</v>
      </c>
      <c r="K280" s="69"/>
      <c r="L280" s="54">
        <f t="shared" si="53"/>
        <v>267067</v>
      </c>
      <c r="M280" s="53">
        <f t="shared" si="49"/>
        <v>0</v>
      </c>
      <c r="N280" s="69"/>
      <c r="O280" s="54">
        <f>ROUND(L280,0)-9600-4100-8200-24600</f>
        <v>220567</v>
      </c>
      <c r="P280" s="53">
        <f t="shared" si="50"/>
        <v>-46500</v>
      </c>
      <c r="Q280" s="69" t="s">
        <v>1095</v>
      </c>
    </row>
    <row r="281" spans="2:17" ht="31.5" customHeight="1" thickBot="1" x14ac:dyDescent="0.3">
      <c r="B281" s="193" t="s">
        <v>670</v>
      </c>
      <c r="C281" s="188" t="s">
        <v>666</v>
      </c>
      <c r="D281" s="127" t="s">
        <v>671</v>
      </c>
      <c r="E281" s="54">
        <v>285277</v>
      </c>
      <c r="F281" s="54">
        <v>285277</v>
      </c>
      <c r="G281" s="53">
        <f t="shared" si="47"/>
        <v>0</v>
      </c>
      <c r="H281" s="69"/>
      <c r="I281" s="54">
        <f t="shared" si="52"/>
        <v>285277</v>
      </c>
      <c r="J281" s="53">
        <f t="shared" si="48"/>
        <v>0</v>
      </c>
      <c r="K281" s="69"/>
      <c r="L281" s="54">
        <f t="shared" si="53"/>
        <v>285277</v>
      </c>
      <c r="M281" s="53">
        <f t="shared" si="49"/>
        <v>0</v>
      </c>
      <c r="N281" s="69"/>
      <c r="O281" s="54">
        <f t="shared" si="54"/>
        <v>285277</v>
      </c>
      <c r="P281" s="53">
        <f t="shared" si="50"/>
        <v>0</v>
      </c>
      <c r="Q281" s="69"/>
    </row>
    <row r="282" spans="2:17" ht="27" hidden="1" customHeight="1" outlineLevel="1" thickBot="1" x14ac:dyDescent="0.3">
      <c r="C282" s="188" t="s">
        <v>672</v>
      </c>
      <c r="D282" s="127" t="s">
        <v>673</v>
      </c>
      <c r="E282" s="55">
        <v>0</v>
      </c>
      <c r="F282" s="55">
        <v>0</v>
      </c>
      <c r="G282" s="53">
        <f t="shared" si="47"/>
        <v>0</v>
      </c>
      <c r="H282" s="69"/>
      <c r="I282" s="55">
        <f>I283+I284</f>
        <v>0</v>
      </c>
      <c r="J282" s="53">
        <f t="shared" si="48"/>
        <v>0</v>
      </c>
      <c r="K282" s="69"/>
      <c r="L282" s="55">
        <f>L283+L284</f>
        <v>0</v>
      </c>
      <c r="M282" s="53">
        <f t="shared" si="49"/>
        <v>0</v>
      </c>
      <c r="N282" s="69"/>
      <c r="O282" s="55">
        <f>O283+O284</f>
        <v>0</v>
      </c>
      <c r="P282" s="53">
        <f t="shared" si="50"/>
        <v>0</v>
      </c>
      <c r="Q282" s="69"/>
    </row>
    <row r="283" spans="2:17" ht="14.45" hidden="1" customHeight="1" outlineLevel="1" thickBot="1" x14ac:dyDescent="0.3">
      <c r="B283" s="64" t="s">
        <v>674</v>
      </c>
      <c r="C283" s="125" t="s">
        <v>675</v>
      </c>
      <c r="D283" s="98" t="s">
        <v>676</v>
      </c>
      <c r="E283" s="33"/>
      <c r="F283" s="33">
        <v>0</v>
      </c>
      <c r="G283" s="32">
        <f t="shared" si="47"/>
        <v>0</v>
      </c>
      <c r="H283" s="35" t="s">
        <v>662</v>
      </c>
      <c r="I283" s="33">
        <f>ROUND(G283,0)</f>
        <v>0</v>
      </c>
      <c r="J283" s="32">
        <f t="shared" si="48"/>
        <v>0</v>
      </c>
      <c r="K283" s="35" t="s">
        <v>662</v>
      </c>
      <c r="L283" s="33">
        <f>ROUND(J283,0)</f>
        <v>0</v>
      </c>
      <c r="M283" s="32">
        <f t="shared" si="49"/>
        <v>0</v>
      </c>
      <c r="N283" s="35" t="s">
        <v>662</v>
      </c>
      <c r="O283" s="33">
        <f>ROUND(M283,0)</f>
        <v>0</v>
      </c>
      <c r="P283" s="32">
        <f t="shared" si="50"/>
        <v>0</v>
      </c>
      <c r="Q283" s="35" t="s">
        <v>662</v>
      </c>
    </row>
    <row r="284" spans="2:17" s="111" customFormat="1" ht="15" hidden="1" customHeight="1" outlineLevel="1" thickBot="1" x14ac:dyDescent="0.3">
      <c r="B284" s="64" t="s">
        <v>677</v>
      </c>
      <c r="C284" s="125" t="s">
        <v>678</v>
      </c>
      <c r="D284" s="98" t="s">
        <v>679</v>
      </c>
      <c r="E284" s="33"/>
      <c r="F284" s="33">
        <v>0</v>
      </c>
      <c r="G284" s="32">
        <f t="shared" si="47"/>
        <v>0</v>
      </c>
      <c r="H284" s="35"/>
      <c r="I284" s="33">
        <f>ROUND(G284,0)</f>
        <v>0</v>
      </c>
      <c r="J284" s="32">
        <f t="shared" si="48"/>
        <v>0</v>
      </c>
      <c r="K284" s="35"/>
      <c r="L284" s="33">
        <f>ROUND(J284,0)</f>
        <v>0</v>
      </c>
      <c r="M284" s="32">
        <f t="shared" si="49"/>
        <v>0</v>
      </c>
      <c r="N284" s="35"/>
      <c r="O284" s="33">
        <f>ROUND(M284,0)</f>
        <v>0</v>
      </c>
      <c r="P284" s="32">
        <f t="shared" si="50"/>
        <v>0</v>
      </c>
      <c r="Q284" s="35"/>
    </row>
    <row r="285" spans="2:17" s="111" customFormat="1" ht="17.45" hidden="1" customHeight="1" outlineLevel="1" thickBot="1" x14ac:dyDescent="0.25">
      <c r="C285" s="122" t="s">
        <v>115</v>
      </c>
      <c r="D285" s="123" t="s">
        <v>680</v>
      </c>
      <c r="E285" s="39">
        <v>0</v>
      </c>
      <c r="F285" s="39">
        <v>0</v>
      </c>
      <c r="G285" s="38">
        <f t="shared" si="47"/>
        <v>0</v>
      </c>
      <c r="H285" s="40"/>
      <c r="I285" s="39">
        <f>SUM(I286:I287)</f>
        <v>0</v>
      </c>
      <c r="J285" s="38">
        <f t="shared" si="48"/>
        <v>0</v>
      </c>
      <c r="K285" s="40"/>
      <c r="L285" s="39">
        <f>SUM(L286:L287)</f>
        <v>0</v>
      </c>
      <c r="M285" s="38">
        <f t="shared" si="49"/>
        <v>0</v>
      </c>
      <c r="N285" s="40"/>
      <c r="O285" s="39">
        <f>SUM(O286:O287)</f>
        <v>0</v>
      </c>
      <c r="P285" s="38">
        <f t="shared" si="50"/>
        <v>0</v>
      </c>
      <c r="Q285" s="40"/>
    </row>
    <row r="286" spans="2:17" ht="17.25" hidden="1" customHeight="1" outlineLevel="1" thickBot="1" x14ac:dyDescent="0.3">
      <c r="C286" s="119" t="s">
        <v>681</v>
      </c>
      <c r="D286" s="120" t="s">
        <v>682</v>
      </c>
      <c r="E286" s="54"/>
      <c r="F286" s="54"/>
      <c r="G286" s="53">
        <f t="shared" si="47"/>
        <v>0</v>
      </c>
      <c r="H286" s="69"/>
      <c r="I286" s="54"/>
      <c r="J286" s="53">
        <f t="shared" si="48"/>
        <v>0</v>
      </c>
      <c r="K286" s="69"/>
      <c r="L286" s="54"/>
      <c r="M286" s="53">
        <f t="shared" si="49"/>
        <v>0</v>
      </c>
      <c r="N286" s="69"/>
      <c r="O286" s="54"/>
      <c r="P286" s="53">
        <f t="shared" si="50"/>
        <v>0</v>
      </c>
      <c r="Q286" s="69"/>
    </row>
    <row r="287" spans="2:17" ht="15.75" hidden="1" outlineLevel="1" thickBot="1" x14ac:dyDescent="0.3">
      <c r="C287" s="119" t="s">
        <v>683</v>
      </c>
      <c r="D287" s="120" t="s">
        <v>684</v>
      </c>
      <c r="E287" s="54"/>
      <c r="F287" s="54"/>
      <c r="G287" s="53">
        <f t="shared" si="47"/>
        <v>0</v>
      </c>
      <c r="H287" s="69"/>
      <c r="I287" s="54"/>
      <c r="J287" s="53">
        <f t="shared" si="48"/>
        <v>0</v>
      </c>
      <c r="K287" s="69"/>
      <c r="L287" s="54"/>
      <c r="M287" s="53">
        <f t="shared" si="49"/>
        <v>0</v>
      </c>
      <c r="N287" s="69"/>
      <c r="O287" s="54"/>
      <c r="P287" s="53">
        <f t="shared" si="50"/>
        <v>0</v>
      </c>
      <c r="Q287" s="69"/>
    </row>
    <row r="288" spans="2:17" s="111" customFormat="1" ht="30" customHeight="1" collapsed="1" thickBot="1" x14ac:dyDescent="0.25">
      <c r="C288" s="194"/>
      <c r="D288" s="195" t="s">
        <v>685</v>
      </c>
      <c r="E288" s="196">
        <v>71564822</v>
      </c>
      <c r="F288" s="196">
        <v>71620010</v>
      </c>
      <c r="G288" s="197">
        <f t="shared" si="47"/>
        <v>55188</v>
      </c>
      <c r="H288" s="197"/>
      <c r="I288" s="196">
        <f>I127+I137+I138+I143+I145+I182+I197+I217+I285</f>
        <v>71626326</v>
      </c>
      <c r="J288" s="197">
        <f t="shared" si="48"/>
        <v>6316</v>
      </c>
      <c r="K288" s="197"/>
      <c r="L288" s="196">
        <f>L127+L137+L138+L143+L145+L182+L197+L217+L285</f>
        <v>71734530</v>
      </c>
      <c r="M288" s="197">
        <f t="shared" si="49"/>
        <v>108204</v>
      </c>
      <c r="N288" s="197"/>
      <c r="O288" s="196">
        <f>O127+O137+O138+O143+O145+O182+O197+O217+O285</f>
        <v>71825653</v>
      </c>
      <c r="P288" s="197">
        <f t="shared" si="50"/>
        <v>91123</v>
      </c>
      <c r="Q288" s="197"/>
    </row>
    <row r="289" spans="3:17" s="29" customFormat="1" ht="15" customHeight="1" thickBot="1" x14ac:dyDescent="0.3">
      <c r="C289" s="122" t="s">
        <v>241</v>
      </c>
      <c r="D289" s="123" t="s">
        <v>686</v>
      </c>
      <c r="E289" s="39">
        <v>3467034</v>
      </c>
      <c r="F289" s="39">
        <v>3467034</v>
      </c>
      <c r="G289" s="38">
        <f t="shared" si="47"/>
        <v>0</v>
      </c>
      <c r="H289" s="35"/>
      <c r="I289" s="39">
        <f>ROUND(F289,0)+191255</f>
        <v>3658289</v>
      </c>
      <c r="J289" s="38">
        <f t="shared" si="48"/>
        <v>191255</v>
      </c>
      <c r="K289" s="198" t="s">
        <v>687</v>
      </c>
      <c r="L289" s="39">
        <f>ROUND(I289,0)+38052+6396</f>
        <v>3702737</v>
      </c>
      <c r="M289" s="38">
        <f t="shared" si="49"/>
        <v>44448</v>
      </c>
      <c r="N289" s="198" t="s">
        <v>222</v>
      </c>
      <c r="O289" s="39">
        <f>ROUND(L289,0)</f>
        <v>3702737</v>
      </c>
      <c r="P289" s="38">
        <f t="shared" si="50"/>
        <v>0</v>
      </c>
      <c r="Q289" s="198"/>
    </row>
    <row r="290" spans="3:17" ht="15.75" thickBot="1" x14ac:dyDescent="0.3">
      <c r="C290" s="194"/>
      <c r="D290" s="195" t="s">
        <v>688</v>
      </c>
      <c r="E290" s="200">
        <v>75031856</v>
      </c>
      <c r="F290" s="200">
        <v>75087044</v>
      </c>
      <c r="G290" s="199">
        <f t="shared" si="47"/>
        <v>55188</v>
      </c>
      <c r="H290" s="201"/>
      <c r="I290" s="200">
        <f>I288+I289</f>
        <v>75284615</v>
      </c>
      <c r="J290" s="199">
        <f t="shared" si="48"/>
        <v>197571</v>
      </c>
      <c r="K290" s="201"/>
      <c r="L290" s="200">
        <f>L288+L289</f>
        <v>75437267</v>
      </c>
      <c r="M290" s="199">
        <f t="shared" si="49"/>
        <v>152652</v>
      </c>
      <c r="N290" s="201"/>
      <c r="O290" s="200">
        <f>O288+O289</f>
        <v>75528390</v>
      </c>
      <c r="P290" s="199">
        <f t="shared" si="50"/>
        <v>91123</v>
      </c>
      <c r="Q290" s="201"/>
    </row>
    <row r="291" spans="3:17" ht="16.5" thickTop="1" thickBot="1" x14ac:dyDescent="0.3">
      <c r="C291" s="202" t="s">
        <v>689</v>
      </c>
      <c r="D291" s="203" t="s">
        <v>690</v>
      </c>
      <c r="E291" s="205">
        <v>64907.20000000298</v>
      </c>
      <c r="F291" s="205">
        <v>64906.8</v>
      </c>
      <c r="G291" s="204">
        <f t="shared" si="47"/>
        <v>-0.40000000297732186</v>
      </c>
      <c r="H291" s="206"/>
      <c r="I291" s="205">
        <f>I121-I290-0.2</f>
        <v>64906.8</v>
      </c>
      <c r="J291" s="204">
        <f t="shared" si="48"/>
        <v>0</v>
      </c>
      <c r="K291" s="206"/>
      <c r="L291" s="205">
        <f>L121-L290-0.2</f>
        <v>64673.8</v>
      </c>
      <c r="M291" s="204">
        <f t="shared" si="49"/>
        <v>-233</v>
      </c>
      <c r="N291" s="206"/>
      <c r="O291" s="205">
        <f>O121-O290-0.2</f>
        <v>161559.79999999999</v>
      </c>
      <c r="P291" s="204">
        <f t="shared" si="50"/>
        <v>96885.999999999985</v>
      </c>
      <c r="Q291" s="206"/>
    </row>
    <row r="293" spans="3:17" x14ac:dyDescent="0.25">
      <c r="H293" s="207" t="s">
        <v>5</v>
      </c>
      <c r="K293" s="207"/>
      <c r="N293" s="207"/>
      <c r="Q293" s="207"/>
    </row>
    <row r="295" spans="3:17" x14ac:dyDescent="0.25">
      <c r="O295" s="112"/>
    </row>
    <row r="299" spans="3:17" x14ac:dyDescent="0.25">
      <c r="O299" s="112"/>
    </row>
  </sheetData>
  <mergeCells count="21">
    <mergeCell ref="C2:D2"/>
    <mergeCell ref="C3:D3"/>
    <mergeCell ref="Q221:Q222"/>
    <mergeCell ref="C124:D124"/>
    <mergeCell ref="C125:D125"/>
    <mergeCell ref="Q136:Q137"/>
    <mergeCell ref="K140:K141"/>
    <mergeCell ref="N140:N141"/>
    <mergeCell ref="Q140:Q141"/>
    <mergeCell ref="N261:N262"/>
    <mergeCell ref="H173:H174"/>
    <mergeCell ref="K173:K174"/>
    <mergeCell ref="H193:H194"/>
    <mergeCell ref="H221:H222"/>
    <mergeCell ref="K221:K222"/>
    <mergeCell ref="N221:N222"/>
    <mergeCell ref="H245:H246"/>
    <mergeCell ref="K245:K246"/>
    <mergeCell ref="H255:H256"/>
    <mergeCell ref="H261:H262"/>
    <mergeCell ref="K261:K262"/>
  </mergeCells>
  <conditionalFormatting sqref="E291:G291">
    <cfRule type="cellIs" dxfId="3" priority="5" operator="lessThan">
      <formula>0</formula>
    </cfRule>
  </conditionalFormatting>
  <conditionalFormatting sqref="I291:J291">
    <cfRule type="cellIs" dxfId="2" priority="3" operator="lessThan">
      <formula>0</formula>
    </cfRule>
  </conditionalFormatting>
  <conditionalFormatting sqref="L291:M291">
    <cfRule type="cellIs" dxfId="1" priority="2" operator="lessThan">
      <formula>0</formula>
    </cfRule>
  </conditionalFormatting>
  <conditionalFormatting sqref="O291:P291">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64B2-38C8-44F1-A10D-AD683F45959C}">
  <sheetPr>
    <tabColor theme="9" tint="0.39997558519241921"/>
    <pageSetUpPr fitToPage="1"/>
  </sheetPr>
  <dimension ref="A1:AY180"/>
  <sheetViews>
    <sheetView topLeftCell="A124" zoomScaleNormal="100" workbookViewId="0">
      <pane xSplit="3" topLeftCell="D1" activePane="topRight" state="frozen"/>
      <selection activeCell="C1" sqref="C1"/>
      <selection pane="topRight" activeCell="R168" sqref="R168:R169"/>
    </sheetView>
  </sheetViews>
  <sheetFormatPr defaultColWidth="8.85546875" defaultRowHeight="15" outlineLevelRow="1" outlineLevelCol="1" x14ac:dyDescent="0.25"/>
  <cols>
    <col min="1" max="1" width="5" style="208" hidden="1" customWidth="1" outlineLevel="1"/>
    <col min="2" max="2" width="3.5703125" style="208" hidden="1" customWidth="1" outlineLevel="1"/>
    <col min="3" max="3" width="4.28515625" style="208" customWidth="1" collapsed="1"/>
    <col min="4" max="4" width="31.85546875" style="208" customWidth="1"/>
    <col min="5" max="5" width="12.28515625" style="210" customWidth="1"/>
    <col min="6" max="6" width="11.5703125" style="208" customWidth="1"/>
    <col min="7" max="7" width="11.7109375" style="208" customWidth="1"/>
    <col min="8" max="8" width="11.42578125" style="208" customWidth="1"/>
    <col min="9" max="9" width="6.42578125" style="208" hidden="1" customWidth="1" outlineLevel="1"/>
    <col min="10" max="10" width="11.85546875" style="210" customWidth="1" collapsed="1"/>
    <col min="11" max="12" width="13.28515625" style="208" hidden="1" customWidth="1" outlineLevel="1"/>
    <col min="13" max="13" width="6" style="208" hidden="1" customWidth="1" outlineLevel="1"/>
    <col min="14" max="16" width="13.28515625" style="208" hidden="1" customWidth="1" outlineLevel="1"/>
    <col min="17" max="17" width="14.42578125" style="208" customWidth="1" collapsed="1"/>
    <col min="18" max="18" width="12.7109375" style="208" customWidth="1"/>
    <col min="19" max="19" width="13.140625" style="208" customWidth="1"/>
    <col min="20" max="20" width="10.28515625" style="208" customWidth="1"/>
    <col min="21" max="21" width="13" style="208" customWidth="1"/>
    <col min="22" max="24" width="10.28515625" style="208" customWidth="1"/>
    <col min="25" max="46" width="10.28515625" style="208" hidden="1" customWidth="1" outlineLevel="1"/>
    <col min="47" max="47" width="11.28515625" style="208" hidden="1" customWidth="1" outlineLevel="1"/>
    <col min="48" max="48" width="10.28515625" style="208" hidden="1" customWidth="1" outlineLevel="1"/>
    <col min="49" max="49" width="12.28515625" style="208" customWidth="1" collapsed="1"/>
    <col min="50" max="50" width="11.5703125" style="208" customWidth="1" collapsed="1"/>
    <col min="51" max="16384" width="8.85546875" style="208"/>
  </cols>
  <sheetData>
    <row r="1" spans="1:50" ht="18.75" x14ac:dyDescent="0.3">
      <c r="C1" s="209" t="s">
        <v>691</v>
      </c>
      <c r="K1" s="211"/>
      <c r="L1" s="211"/>
      <c r="M1" s="211"/>
      <c r="N1" s="211"/>
      <c r="O1" s="211"/>
      <c r="Q1" s="212"/>
      <c r="S1" s="213"/>
    </row>
    <row r="2" spans="1:50" ht="18.75" x14ac:dyDescent="0.3">
      <c r="C2" s="209"/>
      <c r="K2" s="212"/>
      <c r="L2" s="212"/>
      <c r="M2" s="212"/>
      <c r="N2" s="212"/>
      <c r="O2" s="212"/>
      <c r="Q2" s="212"/>
      <c r="S2" s="214"/>
    </row>
    <row r="3" spans="1:50" ht="15.75" x14ac:dyDescent="0.25">
      <c r="C3" s="215" t="s">
        <v>692</v>
      </c>
      <c r="K3" s="211"/>
      <c r="L3" s="211"/>
      <c r="M3" s="211"/>
      <c r="N3" s="211"/>
      <c r="O3" s="211"/>
      <c r="P3" s="211"/>
      <c r="Q3" s="212"/>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row>
    <row r="4" spans="1:50" outlineLevel="1" x14ac:dyDescent="0.25">
      <c r="C4" s="217"/>
      <c r="K4" s="212"/>
      <c r="L4" s="212"/>
      <c r="M4" s="212"/>
      <c r="N4" s="212"/>
      <c r="O4" s="212"/>
      <c r="P4" s="218">
        <v>0</v>
      </c>
      <c r="Q4" s="212"/>
      <c r="R4" s="219"/>
      <c r="S4" s="219"/>
      <c r="T4" s="219"/>
      <c r="U4" s="219"/>
      <c r="V4" s="219"/>
      <c r="W4" s="219"/>
      <c r="X4" s="219"/>
      <c r="Y4" s="219"/>
      <c r="Z4" s="219"/>
    </row>
    <row r="5" spans="1:50" s="220" customFormat="1" ht="60" x14ac:dyDescent="0.25">
      <c r="B5" s="221" t="s">
        <v>693</v>
      </c>
      <c r="C5" s="222" t="s">
        <v>694</v>
      </c>
      <c r="D5" s="223" t="s">
        <v>695</v>
      </c>
      <c r="E5" s="222" t="s">
        <v>696</v>
      </c>
      <c r="F5" s="222" t="s">
        <v>697</v>
      </c>
      <c r="G5" s="222" t="s">
        <v>698</v>
      </c>
      <c r="H5" s="222" t="s">
        <v>699</v>
      </c>
      <c r="I5" s="222" t="s">
        <v>700</v>
      </c>
      <c r="J5" s="224" t="s">
        <v>701</v>
      </c>
      <c r="K5" s="225" t="s">
        <v>702</v>
      </c>
      <c r="L5" s="225" t="s">
        <v>703</v>
      </c>
      <c r="M5" s="225" t="s">
        <v>704</v>
      </c>
      <c r="N5" s="225" t="s">
        <v>705</v>
      </c>
      <c r="O5" s="225" t="s">
        <v>706</v>
      </c>
      <c r="P5" s="225" t="s">
        <v>707</v>
      </c>
      <c r="Q5" s="226" t="s">
        <v>708</v>
      </c>
      <c r="R5" s="223">
        <v>2025</v>
      </c>
      <c r="S5" s="223">
        <v>2026</v>
      </c>
      <c r="T5" s="223">
        <v>2027</v>
      </c>
      <c r="U5" s="223">
        <v>2028</v>
      </c>
      <c r="V5" s="223">
        <v>2029</v>
      </c>
      <c r="W5" s="223">
        <v>2030</v>
      </c>
      <c r="X5" s="223">
        <v>2031</v>
      </c>
      <c r="Y5" s="223">
        <v>2032</v>
      </c>
      <c r="Z5" s="223">
        <v>2033</v>
      </c>
      <c r="AA5" s="223">
        <v>2034</v>
      </c>
      <c r="AB5" s="223">
        <v>2035</v>
      </c>
      <c r="AC5" s="223">
        <v>2036</v>
      </c>
      <c r="AD5" s="223">
        <v>2037</v>
      </c>
      <c r="AE5" s="223">
        <v>2038</v>
      </c>
      <c r="AF5" s="223">
        <v>2039</v>
      </c>
      <c r="AG5" s="223">
        <v>2040</v>
      </c>
      <c r="AH5" s="223">
        <v>2041</v>
      </c>
      <c r="AI5" s="223">
        <v>2042</v>
      </c>
      <c r="AJ5" s="223">
        <v>2043</v>
      </c>
      <c r="AK5" s="223">
        <v>2044</v>
      </c>
      <c r="AL5" s="223">
        <v>2045</v>
      </c>
      <c r="AM5" s="223">
        <v>2046</v>
      </c>
      <c r="AN5" s="223">
        <v>2047</v>
      </c>
      <c r="AO5" s="223">
        <v>2048</v>
      </c>
      <c r="AP5" s="223">
        <v>2049</v>
      </c>
      <c r="AQ5" s="223">
        <v>2050</v>
      </c>
      <c r="AR5" s="223">
        <v>2051</v>
      </c>
      <c r="AS5" s="223">
        <v>2052</v>
      </c>
      <c r="AT5" s="223">
        <v>2053</v>
      </c>
      <c r="AU5" s="222" t="s">
        <v>709</v>
      </c>
      <c r="AV5" s="227"/>
      <c r="AW5" s="221" t="s">
        <v>710</v>
      </c>
      <c r="AX5" s="222" t="s">
        <v>711</v>
      </c>
    </row>
    <row r="6" spans="1:50" s="228" customFormat="1" outlineLevel="1" x14ac:dyDescent="0.25">
      <c r="B6" s="229" t="s">
        <v>712</v>
      </c>
      <c r="C6" s="230">
        <v>1</v>
      </c>
      <c r="D6" s="231" t="s">
        <v>713</v>
      </c>
      <c r="E6" s="232" t="s">
        <v>714</v>
      </c>
      <c r="F6" s="233" t="s">
        <v>715</v>
      </c>
      <c r="G6" s="233" t="s">
        <v>716</v>
      </c>
      <c r="H6" s="233" t="s">
        <v>717</v>
      </c>
      <c r="I6" s="233" t="s">
        <v>718</v>
      </c>
      <c r="J6" s="234">
        <v>2099988.0499999998</v>
      </c>
      <c r="K6" s="235">
        <v>1196908</v>
      </c>
      <c r="L6" s="235"/>
      <c r="M6" s="235"/>
      <c r="N6" s="231"/>
      <c r="O6" s="231"/>
      <c r="P6" s="231"/>
      <c r="Q6" s="236" t="s">
        <v>719</v>
      </c>
      <c r="R6" s="237">
        <v>97944.8</v>
      </c>
      <c r="S6" s="237">
        <v>97944.8</v>
      </c>
      <c r="T6" s="237">
        <v>97944.8</v>
      </c>
      <c r="U6" s="237">
        <v>97944.8</v>
      </c>
      <c r="V6" s="237">
        <v>97944.8</v>
      </c>
      <c r="W6" s="237">
        <v>97944.8</v>
      </c>
      <c r="X6" s="237">
        <v>97944.8</v>
      </c>
      <c r="Y6" s="237">
        <v>97944.8</v>
      </c>
      <c r="Z6" s="237">
        <v>113829.75999999999</v>
      </c>
      <c r="AA6" s="237">
        <v>113829.75999999999</v>
      </c>
      <c r="AB6" s="237">
        <v>113829.75999999999</v>
      </c>
      <c r="AC6" s="237">
        <v>71860.709999999992</v>
      </c>
      <c r="AD6" s="237">
        <v>0</v>
      </c>
      <c r="AE6" s="237">
        <v>0</v>
      </c>
      <c r="AF6" s="237">
        <v>0</v>
      </c>
      <c r="AG6" s="237">
        <v>0</v>
      </c>
      <c r="AH6" s="237">
        <v>0</v>
      </c>
      <c r="AI6" s="237">
        <v>0</v>
      </c>
      <c r="AJ6" s="237">
        <v>0</v>
      </c>
      <c r="AK6" s="237">
        <v>0</v>
      </c>
      <c r="AL6" s="237">
        <v>0</v>
      </c>
      <c r="AM6" s="237">
        <v>0</v>
      </c>
      <c r="AN6" s="237">
        <v>0</v>
      </c>
      <c r="AO6" s="237">
        <v>0</v>
      </c>
      <c r="AP6" s="237">
        <v>0</v>
      </c>
      <c r="AQ6" s="237">
        <v>0</v>
      </c>
      <c r="AR6" s="237">
        <v>0</v>
      </c>
      <c r="AS6" s="237"/>
      <c r="AT6" s="237"/>
      <c r="AU6" s="238">
        <f>SUM(R6:AT6)</f>
        <v>1196908.3900000001</v>
      </c>
      <c r="AV6" s="239">
        <f>AU6-SUM(R6:AT6)</f>
        <v>0</v>
      </c>
      <c r="AW6" s="240">
        <f>SUM(Y6:AT6)</f>
        <v>511294.79000000004</v>
      </c>
      <c r="AX6" s="241">
        <f>SUM(R6:X6,AW6)</f>
        <v>1196908.3900000001</v>
      </c>
    </row>
    <row r="7" spans="1:50" outlineLevel="1" x14ac:dyDescent="0.25">
      <c r="B7" s="243" t="s">
        <v>712</v>
      </c>
      <c r="C7" s="244"/>
      <c r="D7" s="245" t="s">
        <v>720</v>
      </c>
      <c r="E7" s="246"/>
      <c r="F7" s="247"/>
      <c r="G7" s="247"/>
      <c r="H7" s="247"/>
      <c r="I7" s="247"/>
      <c r="J7" s="248"/>
      <c r="K7" s="248"/>
      <c r="L7" s="248" t="s">
        <v>721</v>
      </c>
      <c r="M7" s="248"/>
      <c r="N7" s="249">
        <f>SUM(O7:P7)</f>
        <v>3.55</v>
      </c>
      <c r="O7" s="250">
        <v>3.55</v>
      </c>
      <c r="P7" s="249">
        <f>$P$4</f>
        <v>0</v>
      </c>
      <c r="Q7" s="249" t="s">
        <v>722</v>
      </c>
      <c r="R7" s="251">
        <v>39130.74</v>
      </c>
      <c r="S7" s="251">
        <f>SUM(S6:$AR6)*$N7/100</f>
        <v>39013.207445</v>
      </c>
      <c r="T7" s="251">
        <f>SUM(T6:$AR6)*$N7/100</f>
        <v>35536.167045000002</v>
      </c>
      <c r="U7" s="251">
        <f>SUM(U6:$AR6)*$N7/100</f>
        <v>32059.126645</v>
      </c>
      <c r="V7" s="251">
        <f>SUM(V6:$AR6)*$N7/100</f>
        <v>28582.086244999995</v>
      </c>
      <c r="W7" s="251">
        <f>SUM(W6:$AR6)*$N7/100</f>
        <v>25105.045845000001</v>
      </c>
      <c r="X7" s="251">
        <f>SUM(X6:$AR6)*$N7/100</f>
        <v>21628.005444999999</v>
      </c>
      <c r="Y7" s="251">
        <f>SUM(Y6:$AR6)*$N7/100</f>
        <v>18150.965045000001</v>
      </c>
      <c r="Z7" s="251">
        <f>SUM(Z6:$AR6)*$N7/100</f>
        <v>14673.924644999999</v>
      </c>
      <c r="AA7" s="251">
        <f>SUM(AA6:$AR6)*$N7/100</f>
        <v>10632.968165</v>
      </c>
      <c r="AB7" s="251">
        <f>SUM(AB6:$AR6)*$N7/100</f>
        <v>6592.0116849999995</v>
      </c>
      <c r="AC7" s="251">
        <f>SUM(AC6:$AR6)*$N7/100</f>
        <v>2551.0552049999997</v>
      </c>
      <c r="AD7" s="251">
        <v>0</v>
      </c>
      <c r="AE7" s="251">
        <v>0</v>
      </c>
      <c r="AF7" s="251">
        <v>0</v>
      </c>
      <c r="AG7" s="251">
        <v>0</v>
      </c>
      <c r="AH7" s="251">
        <v>0</v>
      </c>
      <c r="AI7" s="251">
        <v>0</v>
      </c>
      <c r="AJ7" s="251">
        <v>0</v>
      </c>
      <c r="AK7" s="251">
        <v>0</v>
      </c>
      <c r="AL7" s="251">
        <v>0</v>
      </c>
      <c r="AM7" s="251">
        <v>0</v>
      </c>
      <c r="AN7" s="251">
        <v>0</v>
      </c>
      <c r="AO7" s="251">
        <v>0</v>
      </c>
      <c r="AP7" s="251">
        <v>0</v>
      </c>
      <c r="AQ7" s="251">
        <v>0</v>
      </c>
      <c r="AR7" s="251">
        <v>0</v>
      </c>
      <c r="AS7" s="251"/>
      <c r="AT7" s="251"/>
      <c r="AU7" s="252">
        <f t="shared" ref="AU7:AU70" si="0">SUM(R7:AT7)</f>
        <v>273655.30341499991</v>
      </c>
      <c r="AV7" s="239">
        <f t="shared" ref="AV7:AV70" si="1">AU7-SUM(R7:AT7)</f>
        <v>0</v>
      </c>
      <c r="AW7" s="253">
        <f t="shared" ref="AW7:AW70" si="2">SUM(Y7:AT7)</f>
        <v>52600.924744999989</v>
      </c>
      <c r="AX7" s="254">
        <f t="shared" ref="AX7:AX70" si="3">SUM(R7:X7,AW7)</f>
        <v>273655.30341499997</v>
      </c>
    </row>
    <row r="8" spans="1:50" s="228" customFormat="1" outlineLevel="1" x14ac:dyDescent="0.25">
      <c r="B8" s="229" t="s">
        <v>712</v>
      </c>
      <c r="C8" s="230">
        <v>2</v>
      </c>
      <c r="D8" s="231" t="s">
        <v>713</v>
      </c>
      <c r="E8" s="232" t="s">
        <v>723</v>
      </c>
      <c r="F8" s="233" t="s">
        <v>724</v>
      </c>
      <c r="G8" s="233" t="s">
        <v>725</v>
      </c>
      <c r="H8" s="233" t="s">
        <v>726</v>
      </c>
      <c r="I8" s="233" t="s">
        <v>718</v>
      </c>
      <c r="J8" s="234">
        <v>6628759.9400000004</v>
      </c>
      <c r="K8" s="235">
        <v>2748190</v>
      </c>
      <c r="L8" s="235"/>
      <c r="M8" s="235"/>
      <c r="N8" s="236"/>
      <c r="O8" s="236"/>
      <c r="P8" s="236"/>
      <c r="Q8" s="236" t="s">
        <v>719</v>
      </c>
      <c r="R8" s="237">
        <v>392598.8</v>
      </c>
      <c r="S8" s="237">
        <v>392598.8</v>
      </c>
      <c r="T8" s="237">
        <v>392598.8</v>
      </c>
      <c r="U8" s="237">
        <v>392598.8</v>
      </c>
      <c r="V8" s="237">
        <v>392598.8</v>
      </c>
      <c r="W8" s="237">
        <v>392598.8</v>
      </c>
      <c r="X8" s="237">
        <v>392597.24</v>
      </c>
      <c r="Y8" s="237">
        <v>0</v>
      </c>
      <c r="Z8" s="237">
        <v>0</v>
      </c>
      <c r="AA8" s="237">
        <v>0</v>
      </c>
      <c r="AB8" s="237">
        <v>0</v>
      </c>
      <c r="AC8" s="237">
        <v>0</v>
      </c>
      <c r="AD8" s="237">
        <v>0</v>
      </c>
      <c r="AE8" s="237">
        <v>0</v>
      </c>
      <c r="AF8" s="237">
        <v>0</v>
      </c>
      <c r="AG8" s="237">
        <v>0</v>
      </c>
      <c r="AH8" s="237">
        <v>0</v>
      </c>
      <c r="AI8" s="237">
        <v>0</v>
      </c>
      <c r="AJ8" s="237">
        <v>0</v>
      </c>
      <c r="AK8" s="237">
        <v>0</v>
      </c>
      <c r="AL8" s="237">
        <v>0</v>
      </c>
      <c r="AM8" s="237">
        <v>0</v>
      </c>
      <c r="AN8" s="237">
        <v>0</v>
      </c>
      <c r="AO8" s="237">
        <v>0</v>
      </c>
      <c r="AP8" s="237">
        <v>0</v>
      </c>
      <c r="AQ8" s="237">
        <v>0</v>
      </c>
      <c r="AR8" s="237">
        <v>0</v>
      </c>
      <c r="AS8" s="237"/>
      <c r="AT8" s="237"/>
      <c r="AU8" s="238">
        <f t="shared" si="0"/>
        <v>2748190.04</v>
      </c>
      <c r="AV8" s="239">
        <f t="shared" si="1"/>
        <v>0</v>
      </c>
      <c r="AW8" s="240">
        <f t="shared" si="2"/>
        <v>0</v>
      </c>
      <c r="AX8" s="241">
        <f t="shared" si="3"/>
        <v>2748190.04</v>
      </c>
    </row>
    <row r="9" spans="1:50" outlineLevel="1" x14ac:dyDescent="0.25">
      <c r="B9" s="243" t="s">
        <v>712</v>
      </c>
      <c r="C9" s="244"/>
      <c r="D9" s="245" t="s">
        <v>727</v>
      </c>
      <c r="E9" s="246"/>
      <c r="F9" s="247"/>
      <c r="G9" s="247"/>
      <c r="H9" s="247"/>
      <c r="I9" s="247"/>
      <c r="J9" s="248"/>
      <c r="K9" s="248"/>
      <c r="L9" s="255" t="s">
        <v>728</v>
      </c>
      <c r="M9" s="255"/>
      <c r="N9" s="249">
        <f t="shared" ref="N9:N69" si="4">SUM(O9:P9)</f>
        <v>3.5259999999999998</v>
      </c>
      <c r="O9" s="256">
        <v>3.5259999999999998</v>
      </c>
      <c r="P9" s="249">
        <f>$P$4</f>
        <v>0</v>
      </c>
      <c r="Q9" s="249" t="s">
        <v>722</v>
      </c>
      <c r="R9" s="251">
        <v>89054.35</v>
      </c>
      <c r="S9" s="251">
        <f>SUM(S8:$AR8)*$N9/100</f>
        <v>83058.147122399998</v>
      </c>
      <c r="T9" s="251">
        <f>SUM(T8:$AR8)*$N9/100</f>
        <v>69215.113434399987</v>
      </c>
      <c r="U9" s="251">
        <f>SUM(U8:$AR8)*$N9/100</f>
        <v>55372.079746399999</v>
      </c>
      <c r="V9" s="251">
        <f>SUM(V8:$AR8)*$N9/100</f>
        <v>41529.046058399996</v>
      </c>
      <c r="W9" s="251">
        <f>SUM(W8:$AR8)*$N9/100</f>
        <v>27686.0123704</v>
      </c>
      <c r="X9" s="251">
        <f>SUM(X8:$AR8)*$N9/100</f>
        <v>13842.9786824</v>
      </c>
      <c r="Y9" s="251">
        <f>SUM(Y8:$AR8)*$N9/100</f>
        <v>0</v>
      </c>
      <c r="Z9" s="251">
        <v>0</v>
      </c>
      <c r="AA9" s="251">
        <v>0</v>
      </c>
      <c r="AB9" s="251">
        <v>0</v>
      </c>
      <c r="AC9" s="251">
        <v>0</v>
      </c>
      <c r="AD9" s="251">
        <v>0</v>
      </c>
      <c r="AE9" s="251">
        <v>0</v>
      </c>
      <c r="AF9" s="251">
        <v>0</v>
      </c>
      <c r="AG9" s="251">
        <v>0</v>
      </c>
      <c r="AH9" s="251">
        <v>0</v>
      </c>
      <c r="AI9" s="251">
        <v>0</v>
      </c>
      <c r="AJ9" s="251">
        <v>0</v>
      </c>
      <c r="AK9" s="251">
        <v>0</v>
      </c>
      <c r="AL9" s="251">
        <v>0</v>
      </c>
      <c r="AM9" s="251">
        <v>0</v>
      </c>
      <c r="AN9" s="251">
        <v>0</v>
      </c>
      <c r="AO9" s="251">
        <v>0</v>
      </c>
      <c r="AP9" s="251">
        <v>0</v>
      </c>
      <c r="AQ9" s="251">
        <v>0</v>
      </c>
      <c r="AR9" s="251">
        <v>0</v>
      </c>
      <c r="AS9" s="251"/>
      <c r="AT9" s="251"/>
      <c r="AU9" s="252">
        <f t="shared" si="0"/>
        <v>379757.72741440003</v>
      </c>
      <c r="AV9" s="239">
        <f t="shared" si="1"/>
        <v>0</v>
      </c>
      <c r="AW9" s="253">
        <f t="shared" si="2"/>
        <v>0</v>
      </c>
      <c r="AX9" s="254">
        <f t="shared" si="3"/>
        <v>379757.72741440003</v>
      </c>
    </row>
    <row r="10" spans="1:50" s="228" customFormat="1" outlineLevel="1" x14ac:dyDescent="0.25">
      <c r="A10" s="228" t="s">
        <v>729</v>
      </c>
      <c r="B10" s="229" t="s">
        <v>712</v>
      </c>
      <c r="C10" s="230">
        <v>3</v>
      </c>
      <c r="D10" s="231" t="s">
        <v>730</v>
      </c>
      <c r="E10" s="232" t="s">
        <v>731</v>
      </c>
      <c r="F10" s="233" t="s">
        <v>732</v>
      </c>
      <c r="G10" s="233" t="s">
        <v>733</v>
      </c>
      <c r="H10" s="233" t="s">
        <v>734</v>
      </c>
      <c r="I10" s="233" t="s">
        <v>718</v>
      </c>
      <c r="J10" s="234">
        <v>871076.43</v>
      </c>
      <c r="K10" s="235">
        <v>373265</v>
      </c>
      <c r="L10" s="235"/>
      <c r="M10" s="235"/>
      <c r="N10" s="236"/>
      <c r="O10" s="236"/>
      <c r="P10" s="236"/>
      <c r="Q10" s="236" t="s">
        <v>719</v>
      </c>
      <c r="R10" s="237">
        <v>53323.56</v>
      </c>
      <c r="S10" s="237">
        <v>53323.56</v>
      </c>
      <c r="T10" s="237">
        <v>53323.56</v>
      </c>
      <c r="U10" s="237">
        <v>53323.56</v>
      </c>
      <c r="V10" s="237">
        <v>53323.56</v>
      </c>
      <c r="W10" s="237">
        <v>53323.56</v>
      </c>
      <c r="X10" s="237">
        <v>51223.4</v>
      </c>
      <c r="Y10" s="237">
        <v>2099.91</v>
      </c>
      <c r="Z10" s="237">
        <v>0</v>
      </c>
      <c r="AA10" s="237">
        <v>0</v>
      </c>
      <c r="AB10" s="237">
        <v>0</v>
      </c>
      <c r="AC10" s="237">
        <v>0</v>
      </c>
      <c r="AD10" s="237">
        <v>0</v>
      </c>
      <c r="AE10" s="237">
        <v>0</v>
      </c>
      <c r="AF10" s="237">
        <v>0</v>
      </c>
      <c r="AG10" s="237">
        <v>0</v>
      </c>
      <c r="AH10" s="237">
        <v>0</v>
      </c>
      <c r="AI10" s="237">
        <v>0</v>
      </c>
      <c r="AJ10" s="237">
        <v>0</v>
      </c>
      <c r="AK10" s="237">
        <v>0</v>
      </c>
      <c r="AL10" s="237">
        <v>0</v>
      </c>
      <c r="AM10" s="237">
        <v>0</v>
      </c>
      <c r="AN10" s="237">
        <v>0</v>
      </c>
      <c r="AO10" s="237">
        <v>0</v>
      </c>
      <c r="AP10" s="237">
        <v>0</v>
      </c>
      <c r="AQ10" s="237">
        <v>0</v>
      </c>
      <c r="AR10" s="237">
        <v>0</v>
      </c>
      <c r="AS10" s="237"/>
      <c r="AT10" s="237"/>
      <c r="AU10" s="238">
        <f t="shared" si="0"/>
        <v>373264.67</v>
      </c>
      <c r="AV10" s="239">
        <f t="shared" si="1"/>
        <v>0</v>
      </c>
      <c r="AW10" s="240">
        <f t="shared" si="2"/>
        <v>2099.91</v>
      </c>
      <c r="AX10" s="241">
        <f t="shared" si="3"/>
        <v>373264.67</v>
      </c>
    </row>
    <row r="11" spans="1:50" outlineLevel="1" x14ac:dyDescent="0.25">
      <c r="A11" s="228" t="s">
        <v>729</v>
      </c>
      <c r="B11" s="243" t="s">
        <v>712</v>
      </c>
      <c r="C11" s="244"/>
      <c r="D11" s="245" t="s">
        <v>735</v>
      </c>
      <c r="E11" s="246"/>
      <c r="F11" s="247"/>
      <c r="G11" s="247"/>
      <c r="H11" s="247"/>
      <c r="I11" s="247"/>
      <c r="J11" s="248"/>
      <c r="K11" s="248"/>
      <c r="L11" s="248" t="s">
        <v>736</v>
      </c>
      <c r="M11" s="248"/>
      <c r="N11" s="249">
        <f t="shared" si="4"/>
        <v>3.9790000000000001</v>
      </c>
      <c r="O11" s="256">
        <v>3.9790000000000001</v>
      </c>
      <c r="P11" s="249">
        <f>$P$4</f>
        <v>0</v>
      </c>
      <c r="Q11" s="249" t="s">
        <v>722</v>
      </c>
      <c r="R11" s="251">
        <f>12940.15+500</f>
        <v>13440.15</v>
      </c>
      <c r="S11" s="251">
        <v>13137.43</v>
      </c>
      <c r="T11" s="251">
        <v>10896.919999999998</v>
      </c>
      <c r="U11" s="251">
        <v>8679.44</v>
      </c>
      <c r="V11" s="251">
        <v>6409.7699999999995</v>
      </c>
      <c r="W11" s="251">
        <v>4166.21</v>
      </c>
      <c r="X11" s="251">
        <v>1941.92</v>
      </c>
      <c r="Y11" s="251">
        <v>173.87</v>
      </c>
      <c r="Z11" s="251">
        <v>0</v>
      </c>
      <c r="AA11" s="251">
        <v>0</v>
      </c>
      <c r="AB11" s="251">
        <v>0</v>
      </c>
      <c r="AC11" s="251">
        <v>0</v>
      </c>
      <c r="AD11" s="251">
        <v>0</v>
      </c>
      <c r="AE11" s="251">
        <v>0</v>
      </c>
      <c r="AF11" s="251">
        <v>0</v>
      </c>
      <c r="AG11" s="251">
        <v>0</v>
      </c>
      <c r="AH11" s="251">
        <v>0</v>
      </c>
      <c r="AI11" s="251">
        <v>0</v>
      </c>
      <c r="AJ11" s="251">
        <v>0</v>
      </c>
      <c r="AK11" s="251">
        <v>0</v>
      </c>
      <c r="AL11" s="251">
        <v>0</v>
      </c>
      <c r="AM11" s="251">
        <v>0</v>
      </c>
      <c r="AN11" s="251">
        <v>0</v>
      </c>
      <c r="AO11" s="251">
        <v>0</v>
      </c>
      <c r="AP11" s="251">
        <v>0</v>
      </c>
      <c r="AQ11" s="251">
        <v>0</v>
      </c>
      <c r="AR11" s="251">
        <v>0</v>
      </c>
      <c r="AS11" s="251"/>
      <c r="AT11" s="251"/>
      <c r="AU11" s="252">
        <f t="shared" si="0"/>
        <v>58845.71</v>
      </c>
      <c r="AV11" s="239">
        <f t="shared" si="1"/>
        <v>0</v>
      </c>
      <c r="AW11" s="253">
        <f t="shared" si="2"/>
        <v>173.87</v>
      </c>
      <c r="AX11" s="254">
        <f t="shared" si="3"/>
        <v>58845.71</v>
      </c>
    </row>
    <row r="12" spans="1:50" s="228" customFormat="1" outlineLevel="1" x14ac:dyDescent="0.25">
      <c r="B12" s="229" t="s">
        <v>712</v>
      </c>
      <c r="C12" s="230">
        <v>4</v>
      </c>
      <c r="D12" s="231" t="s">
        <v>737</v>
      </c>
      <c r="E12" s="232" t="s">
        <v>738</v>
      </c>
      <c r="F12" s="233" t="s">
        <v>739</v>
      </c>
      <c r="G12" s="233" t="s">
        <v>740</v>
      </c>
      <c r="H12" s="233" t="s">
        <v>741</v>
      </c>
      <c r="I12" s="233" t="s">
        <v>718</v>
      </c>
      <c r="J12" s="234">
        <v>1925611</v>
      </c>
      <c r="K12" s="235">
        <v>996030</v>
      </c>
      <c r="L12" s="235"/>
      <c r="M12" s="235"/>
      <c r="N12" s="236"/>
      <c r="O12" s="236"/>
      <c r="P12" s="236"/>
      <c r="Q12" s="236" t="s">
        <v>719</v>
      </c>
      <c r="R12" s="237">
        <v>132804</v>
      </c>
      <c r="S12" s="237">
        <v>132804</v>
      </c>
      <c r="T12" s="237">
        <v>132804</v>
      </c>
      <c r="U12" s="237">
        <v>132804</v>
      </c>
      <c r="V12" s="237">
        <v>132804</v>
      </c>
      <c r="W12" s="237">
        <v>132804</v>
      </c>
      <c r="X12" s="237">
        <v>132804</v>
      </c>
      <c r="Y12" s="237">
        <v>66402</v>
      </c>
      <c r="Z12" s="237">
        <v>0</v>
      </c>
      <c r="AA12" s="237">
        <v>0</v>
      </c>
      <c r="AB12" s="237">
        <v>0</v>
      </c>
      <c r="AC12" s="237">
        <v>0</v>
      </c>
      <c r="AD12" s="237">
        <v>0</v>
      </c>
      <c r="AE12" s="237">
        <v>0</v>
      </c>
      <c r="AF12" s="237">
        <v>0</v>
      </c>
      <c r="AG12" s="237">
        <v>0</v>
      </c>
      <c r="AH12" s="237">
        <v>0</v>
      </c>
      <c r="AI12" s="237">
        <v>0</v>
      </c>
      <c r="AJ12" s="237">
        <v>0</v>
      </c>
      <c r="AK12" s="237">
        <v>0</v>
      </c>
      <c r="AL12" s="237">
        <v>0</v>
      </c>
      <c r="AM12" s="237">
        <v>0</v>
      </c>
      <c r="AN12" s="237">
        <v>0</v>
      </c>
      <c r="AO12" s="237">
        <v>0</v>
      </c>
      <c r="AP12" s="237">
        <v>0</v>
      </c>
      <c r="AQ12" s="237">
        <v>0</v>
      </c>
      <c r="AR12" s="237">
        <v>0</v>
      </c>
      <c r="AS12" s="237"/>
      <c r="AT12" s="237"/>
      <c r="AU12" s="238">
        <f t="shared" si="0"/>
        <v>996030</v>
      </c>
      <c r="AV12" s="239">
        <f t="shared" si="1"/>
        <v>0</v>
      </c>
      <c r="AW12" s="240">
        <f t="shared" si="2"/>
        <v>66402</v>
      </c>
      <c r="AX12" s="241">
        <f t="shared" si="3"/>
        <v>996030</v>
      </c>
    </row>
    <row r="13" spans="1:50" outlineLevel="1" x14ac:dyDescent="0.25">
      <c r="B13" s="243" t="s">
        <v>712</v>
      </c>
      <c r="C13" s="244"/>
      <c r="D13" s="245" t="s">
        <v>742</v>
      </c>
      <c r="E13" s="246"/>
      <c r="F13" s="247"/>
      <c r="G13" s="247"/>
      <c r="H13" s="247"/>
      <c r="I13" s="247"/>
      <c r="J13" s="248"/>
      <c r="K13" s="248"/>
      <c r="L13" s="248" t="s">
        <v>743</v>
      </c>
      <c r="M13" s="248"/>
      <c r="N13" s="249">
        <f t="shared" si="4"/>
        <v>3.9729999999999999</v>
      </c>
      <c r="O13" s="249">
        <v>3.9729999999999999</v>
      </c>
      <c r="P13" s="249">
        <f>$P$4</f>
        <v>0</v>
      </c>
      <c r="Q13" s="249" t="s">
        <v>722</v>
      </c>
      <c r="R13" s="251">
        <f>33089.38+1500</f>
        <v>34589.379999999997</v>
      </c>
      <c r="S13" s="251">
        <f>SUM(S12:$AR12)*$N13/100</f>
        <v>34295.968979999998</v>
      </c>
      <c r="T13" s="251">
        <f>SUM(T12:$AR12)*$N13/100</f>
        <v>29019.666059999996</v>
      </c>
      <c r="U13" s="251">
        <f>SUM(U12:$AR12)*$N13/100</f>
        <v>23743.363139999998</v>
      </c>
      <c r="V13" s="251">
        <f>SUM(V12:$AR12)*$N13/100</f>
        <v>18467.060219999999</v>
      </c>
      <c r="W13" s="251">
        <f>SUM(W12:$AR12)*$N13/100</f>
        <v>13190.757299999999</v>
      </c>
      <c r="X13" s="251">
        <f>SUM(X12:$AR12)*$N13/100</f>
        <v>7914.4543799999992</v>
      </c>
      <c r="Y13" s="251">
        <f>SUM(Y12:$AR12)*$N13/100</f>
        <v>2638.15146</v>
      </c>
      <c r="Z13" s="251">
        <v>0</v>
      </c>
      <c r="AA13" s="251">
        <v>0</v>
      </c>
      <c r="AB13" s="251">
        <v>0</v>
      </c>
      <c r="AC13" s="251">
        <v>0</v>
      </c>
      <c r="AD13" s="251">
        <v>0</v>
      </c>
      <c r="AE13" s="251">
        <v>0</v>
      </c>
      <c r="AF13" s="251">
        <v>0</v>
      </c>
      <c r="AG13" s="251">
        <v>0</v>
      </c>
      <c r="AH13" s="251">
        <v>0</v>
      </c>
      <c r="AI13" s="251">
        <v>0</v>
      </c>
      <c r="AJ13" s="251">
        <v>0</v>
      </c>
      <c r="AK13" s="251">
        <v>0</v>
      </c>
      <c r="AL13" s="251">
        <v>0</v>
      </c>
      <c r="AM13" s="251">
        <v>0</v>
      </c>
      <c r="AN13" s="251">
        <v>0</v>
      </c>
      <c r="AO13" s="251">
        <v>0</v>
      </c>
      <c r="AP13" s="251">
        <v>0</v>
      </c>
      <c r="AQ13" s="251">
        <v>0</v>
      </c>
      <c r="AR13" s="251">
        <v>0</v>
      </c>
      <c r="AS13" s="251"/>
      <c r="AT13" s="251"/>
      <c r="AU13" s="252">
        <f t="shared" si="0"/>
        <v>163858.80153999999</v>
      </c>
      <c r="AV13" s="239">
        <f t="shared" si="1"/>
        <v>0</v>
      </c>
      <c r="AW13" s="253">
        <f t="shared" si="2"/>
        <v>2638.15146</v>
      </c>
      <c r="AX13" s="254">
        <f t="shared" si="3"/>
        <v>163858.80153999999</v>
      </c>
    </row>
    <row r="14" spans="1:50" s="228" customFormat="1" outlineLevel="1" x14ac:dyDescent="0.25">
      <c r="B14" s="229" t="s">
        <v>712</v>
      </c>
      <c r="C14" s="230">
        <v>5</v>
      </c>
      <c r="D14" s="231" t="s">
        <v>737</v>
      </c>
      <c r="E14" s="232" t="s">
        <v>744</v>
      </c>
      <c r="F14" s="233" t="s">
        <v>745</v>
      </c>
      <c r="G14" s="233" t="s">
        <v>746</v>
      </c>
      <c r="H14" s="233" t="s">
        <v>747</v>
      </c>
      <c r="I14" s="233" t="s">
        <v>718</v>
      </c>
      <c r="J14" s="234">
        <v>154450.12</v>
      </c>
      <c r="K14" s="235">
        <v>81158</v>
      </c>
      <c r="L14" s="235"/>
      <c r="M14" s="235"/>
      <c r="N14" s="236"/>
      <c r="O14" s="236"/>
      <c r="P14" s="236"/>
      <c r="Q14" s="236" t="s">
        <v>719</v>
      </c>
      <c r="R14" s="237">
        <v>10472</v>
      </c>
      <c r="S14" s="237">
        <v>10472</v>
      </c>
      <c r="T14" s="237">
        <v>10472</v>
      </c>
      <c r="U14" s="237">
        <v>10472</v>
      </c>
      <c r="V14" s="237">
        <v>10472</v>
      </c>
      <c r="W14" s="237">
        <v>10472</v>
      </c>
      <c r="X14" s="237">
        <v>10472</v>
      </c>
      <c r="Y14" s="237">
        <v>7854</v>
      </c>
      <c r="Z14" s="237">
        <v>0</v>
      </c>
      <c r="AA14" s="237">
        <v>0</v>
      </c>
      <c r="AB14" s="237">
        <v>0</v>
      </c>
      <c r="AC14" s="237">
        <v>0</v>
      </c>
      <c r="AD14" s="237">
        <v>0</v>
      </c>
      <c r="AE14" s="237">
        <v>0</v>
      </c>
      <c r="AF14" s="237">
        <v>0</v>
      </c>
      <c r="AG14" s="237">
        <v>0</v>
      </c>
      <c r="AH14" s="237">
        <v>0</v>
      </c>
      <c r="AI14" s="237">
        <v>0</v>
      </c>
      <c r="AJ14" s="237">
        <v>0</v>
      </c>
      <c r="AK14" s="237">
        <v>0</v>
      </c>
      <c r="AL14" s="237">
        <v>0</v>
      </c>
      <c r="AM14" s="237">
        <v>0</v>
      </c>
      <c r="AN14" s="237">
        <v>0</v>
      </c>
      <c r="AO14" s="237">
        <v>0</v>
      </c>
      <c r="AP14" s="237">
        <v>0</v>
      </c>
      <c r="AQ14" s="237">
        <v>0</v>
      </c>
      <c r="AR14" s="237">
        <v>0</v>
      </c>
      <c r="AS14" s="237"/>
      <c r="AT14" s="237"/>
      <c r="AU14" s="238">
        <f t="shared" si="0"/>
        <v>81158</v>
      </c>
      <c r="AV14" s="239">
        <f t="shared" si="1"/>
        <v>0</v>
      </c>
      <c r="AW14" s="240">
        <f t="shared" si="2"/>
        <v>7854</v>
      </c>
      <c r="AX14" s="241">
        <f t="shared" si="3"/>
        <v>81158</v>
      </c>
    </row>
    <row r="15" spans="1:50" outlineLevel="1" x14ac:dyDescent="0.25">
      <c r="B15" s="243" t="s">
        <v>712</v>
      </c>
      <c r="C15" s="244"/>
      <c r="D15" s="245" t="s">
        <v>748</v>
      </c>
      <c r="E15" s="246"/>
      <c r="F15" s="247"/>
      <c r="G15" s="247"/>
      <c r="H15" s="247"/>
      <c r="I15" s="247"/>
      <c r="J15" s="248"/>
      <c r="K15" s="248"/>
      <c r="L15" s="248" t="s">
        <v>749</v>
      </c>
      <c r="M15" s="248"/>
      <c r="N15" s="249">
        <f t="shared" si="4"/>
        <v>3.6560000000000001</v>
      </c>
      <c r="O15" s="249">
        <v>3.6560000000000001</v>
      </c>
      <c r="P15" s="249">
        <f>$P$4</f>
        <v>0</v>
      </c>
      <c r="Q15" s="249" t="s">
        <v>722</v>
      </c>
      <c r="R15" s="251">
        <v>2678.4</v>
      </c>
      <c r="S15" s="251">
        <f>SUM(S14:$AR14)*$N15/100</f>
        <v>2584.2801600000003</v>
      </c>
      <c r="T15" s="251">
        <f>SUM(T14:$AR14)*$N15/100</f>
        <v>2201.4238400000004</v>
      </c>
      <c r="U15" s="251">
        <f>SUM(U14:$AR14)*$N15/100</f>
        <v>1818.5675200000001</v>
      </c>
      <c r="V15" s="251">
        <f>SUM(V14:$AR14)*$N15/100</f>
        <v>1435.7112</v>
      </c>
      <c r="W15" s="251">
        <f>SUM(W14:$AR14)*$N15/100</f>
        <v>1052.8548799999999</v>
      </c>
      <c r="X15" s="251">
        <f>SUM(X14:$AR14)*$N15/100</f>
        <v>669.99856</v>
      </c>
      <c r="Y15" s="251">
        <f>SUM(Y14:$AR14)*$N15/100</f>
        <v>287.14224000000002</v>
      </c>
      <c r="Z15" s="251">
        <v>0</v>
      </c>
      <c r="AA15" s="251">
        <v>0</v>
      </c>
      <c r="AB15" s="251">
        <v>0</v>
      </c>
      <c r="AC15" s="251">
        <v>0</v>
      </c>
      <c r="AD15" s="251">
        <v>0</v>
      </c>
      <c r="AE15" s="251">
        <v>0</v>
      </c>
      <c r="AF15" s="251">
        <v>0</v>
      </c>
      <c r="AG15" s="251">
        <v>0</v>
      </c>
      <c r="AH15" s="251">
        <v>0</v>
      </c>
      <c r="AI15" s="251">
        <v>0</v>
      </c>
      <c r="AJ15" s="251">
        <v>0</v>
      </c>
      <c r="AK15" s="251">
        <v>0</v>
      </c>
      <c r="AL15" s="251">
        <v>0</v>
      </c>
      <c r="AM15" s="251">
        <v>0</v>
      </c>
      <c r="AN15" s="251">
        <v>0</v>
      </c>
      <c r="AO15" s="251">
        <v>0</v>
      </c>
      <c r="AP15" s="251">
        <v>0</v>
      </c>
      <c r="AQ15" s="251">
        <v>0</v>
      </c>
      <c r="AR15" s="251">
        <v>0</v>
      </c>
      <c r="AS15" s="251"/>
      <c r="AT15" s="251"/>
      <c r="AU15" s="252">
        <f t="shared" si="0"/>
        <v>12728.3784</v>
      </c>
      <c r="AV15" s="239">
        <f t="shared" si="1"/>
        <v>0</v>
      </c>
      <c r="AW15" s="253">
        <f t="shared" si="2"/>
        <v>287.14224000000002</v>
      </c>
      <c r="AX15" s="254">
        <f t="shared" si="3"/>
        <v>12728.3784</v>
      </c>
    </row>
    <row r="16" spans="1:50" s="228" customFormat="1" outlineLevel="1" x14ac:dyDescent="0.25">
      <c r="B16" s="229" t="s">
        <v>712</v>
      </c>
      <c r="C16" s="230">
        <v>6</v>
      </c>
      <c r="D16" s="231" t="s">
        <v>750</v>
      </c>
      <c r="E16" s="232" t="s">
        <v>751</v>
      </c>
      <c r="F16" s="233" t="s">
        <v>752</v>
      </c>
      <c r="G16" s="233" t="s">
        <v>753</v>
      </c>
      <c r="H16" s="233" t="s">
        <v>754</v>
      </c>
      <c r="I16" s="233" t="s">
        <v>718</v>
      </c>
      <c r="J16" s="234">
        <v>11123368</v>
      </c>
      <c r="K16" s="235">
        <v>8929624</v>
      </c>
      <c r="L16" s="235"/>
      <c r="M16" s="235"/>
      <c r="N16" s="236"/>
      <c r="O16" s="236"/>
      <c r="P16" s="236"/>
      <c r="Q16" s="236" t="s">
        <v>719</v>
      </c>
      <c r="R16" s="237">
        <v>379984</v>
      </c>
      <c r="S16" s="237">
        <v>379984</v>
      </c>
      <c r="T16" s="237">
        <v>379984</v>
      </c>
      <c r="U16" s="237">
        <v>379984</v>
      </c>
      <c r="V16" s="237">
        <v>379984</v>
      </c>
      <c r="W16" s="237">
        <v>379984</v>
      </c>
      <c r="X16" s="237">
        <v>379984</v>
      </c>
      <c r="Y16" s="237">
        <v>379984</v>
      </c>
      <c r="Z16" s="237">
        <v>379984</v>
      </c>
      <c r="AA16" s="237">
        <v>379984</v>
      </c>
      <c r="AB16" s="237">
        <v>379984</v>
      </c>
      <c r="AC16" s="237">
        <v>379984</v>
      </c>
      <c r="AD16" s="237">
        <v>379984</v>
      </c>
      <c r="AE16" s="237">
        <v>379984</v>
      </c>
      <c r="AF16" s="237">
        <v>379984</v>
      </c>
      <c r="AG16" s="237">
        <v>379984</v>
      </c>
      <c r="AH16" s="237">
        <v>379984</v>
      </c>
      <c r="AI16" s="237">
        <v>379984</v>
      </c>
      <c r="AJ16" s="237">
        <v>379984</v>
      </c>
      <c r="AK16" s="237">
        <v>379984</v>
      </c>
      <c r="AL16" s="237">
        <v>379984</v>
      </c>
      <c r="AM16" s="237">
        <v>379984</v>
      </c>
      <c r="AN16" s="237">
        <v>379984</v>
      </c>
      <c r="AO16" s="237">
        <v>189992</v>
      </c>
      <c r="AP16" s="237">
        <v>0</v>
      </c>
      <c r="AQ16" s="237">
        <v>0</v>
      </c>
      <c r="AR16" s="237">
        <v>0</v>
      </c>
      <c r="AS16" s="237"/>
      <c r="AT16" s="237"/>
      <c r="AU16" s="238">
        <f t="shared" si="0"/>
        <v>8929624</v>
      </c>
      <c r="AV16" s="239">
        <f t="shared" si="1"/>
        <v>0</v>
      </c>
      <c r="AW16" s="240">
        <f t="shared" si="2"/>
        <v>6269736</v>
      </c>
      <c r="AX16" s="241">
        <f t="shared" si="3"/>
        <v>8929624</v>
      </c>
    </row>
    <row r="17" spans="2:50" outlineLevel="1" x14ac:dyDescent="0.25">
      <c r="B17" s="243" t="s">
        <v>712</v>
      </c>
      <c r="C17" s="244"/>
      <c r="D17" s="245" t="s">
        <v>755</v>
      </c>
      <c r="E17" s="246"/>
      <c r="F17" s="247"/>
      <c r="G17" s="247"/>
      <c r="H17" s="247"/>
      <c r="I17" s="247"/>
      <c r="J17" s="248"/>
      <c r="K17" s="248"/>
      <c r="L17" s="248" t="s">
        <v>756</v>
      </c>
      <c r="M17" s="248"/>
      <c r="N17" s="249">
        <f t="shared" si="4"/>
        <v>3.55</v>
      </c>
      <c r="O17" s="250">
        <v>3.55</v>
      </c>
      <c r="P17" s="249">
        <f>$P$4</f>
        <v>0</v>
      </c>
      <c r="Q17" s="249" t="s">
        <v>722</v>
      </c>
      <c r="R17" s="251">
        <f>292298.79+10000</f>
        <v>302298.78999999998</v>
      </c>
      <c r="S17" s="251">
        <f>SUM(S16:$AR16)*$N17/100</f>
        <v>303512.21999999997</v>
      </c>
      <c r="T17" s="251">
        <f>SUM(T16:$AR16)*$N17/100</f>
        <v>290022.78799999994</v>
      </c>
      <c r="U17" s="251">
        <f>SUM(U16:$AR16)*$N17/100</f>
        <v>276533.35599999997</v>
      </c>
      <c r="V17" s="251">
        <f>SUM(V16:$AR16)*$N17/100</f>
        <v>263043.924</v>
      </c>
      <c r="W17" s="251">
        <f>SUM(W16:$AR16)*$N17/100</f>
        <v>249554.492</v>
      </c>
      <c r="X17" s="251">
        <f>SUM(X16:$AR16)*$N17/100</f>
        <v>236065.06</v>
      </c>
      <c r="Y17" s="251">
        <f>SUM(Y16:$AR16)*$N17/100</f>
        <v>222575.628</v>
      </c>
      <c r="Z17" s="251">
        <f>SUM(Z16:$AR16)*$N17/100</f>
        <v>209086.19599999997</v>
      </c>
      <c r="AA17" s="251">
        <f>SUM(AA16:$AR16)*$N17/100</f>
        <v>195596.764</v>
      </c>
      <c r="AB17" s="251">
        <f>SUM(AB16:$AR16)*$N17/100</f>
        <v>182107.33199999999</v>
      </c>
      <c r="AC17" s="251">
        <f>SUM(AC16:$AR16)*$N17/100</f>
        <v>168617.9</v>
      </c>
      <c r="AD17" s="251">
        <f>SUM(AD16:$AR16)*$N17/100</f>
        <v>155128.46799999999</v>
      </c>
      <c r="AE17" s="251">
        <f>SUM(AE16:$AR16)*$N17/100</f>
        <v>141639.03599999999</v>
      </c>
      <c r="AF17" s="251">
        <f>SUM(AF16:$AR16)*$N17/100</f>
        <v>128149.60399999999</v>
      </c>
      <c r="AG17" s="251">
        <f>SUM(AG16:$AR16)*$N17/100</f>
        <v>114660.17199999999</v>
      </c>
      <c r="AH17" s="251">
        <f>SUM(AH16:$AR16)*$N17/100</f>
        <v>101170.74</v>
      </c>
      <c r="AI17" s="251">
        <f>SUM(AI16:$AR16)*$N17/100</f>
        <v>87681.30799999999</v>
      </c>
      <c r="AJ17" s="251">
        <f>SUM(AJ16:$AR16)*$N17/100</f>
        <v>74191.875999999989</v>
      </c>
      <c r="AK17" s="251">
        <f>SUM(AK16:$AR16)*$N17/100</f>
        <v>60702.443999999996</v>
      </c>
      <c r="AL17" s="251">
        <f>SUM(AL16:$AR16)*$N17/100</f>
        <v>47213.012000000002</v>
      </c>
      <c r="AM17" s="251">
        <f>SUM(AM16:$AR16)*$N17/100</f>
        <v>33723.58</v>
      </c>
      <c r="AN17" s="251">
        <f>SUM(AN16:$AR16)*$N17/100</f>
        <v>20234.147999999997</v>
      </c>
      <c r="AO17" s="251">
        <f>SUM(AO16:$AR16)*$N17/100</f>
        <v>6744.7159999999994</v>
      </c>
      <c r="AP17" s="251">
        <v>0</v>
      </c>
      <c r="AQ17" s="251">
        <v>0</v>
      </c>
      <c r="AR17" s="251">
        <v>0</v>
      </c>
      <c r="AS17" s="251"/>
      <c r="AT17" s="251"/>
      <c r="AU17" s="252">
        <f t="shared" si="0"/>
        <v>3870253.554</v>
      </c>
      <c r="AV17" s="239">
        <f t="shared" si="1"/>
        <v>0</v>
      </c>
      <c r="AW17" s="253">
        <f t="shared" si="2"/>
        <v>1949222.9240000001</v>
      </c>
      <c r="AX17" s="254">
        <f t="shared" si="3"/>
        <v>3870253.554</v>
      </c>
    </row>
    <row r="18" spans="2:50" s="228" customFormat="1" outlineLevel="1" x14ac:dyDescent="0.25">
      <c r="B18" s="229" t="s">
        <v>757</v>
      </c>
      <c r="C18" s="230">
        <v>7</v>
      </c>
      <c r="D18" s="231" t="s">
        <v>758</v>
      </c>
      <c r="E18" s="232" t="s">
        <v>759</v>
      </c>
      <c r="F18" s="233" t="s">
        <v>760</v>
      </c>
      <c r="G18" s="233" t="s">
        <v>761</v>
      </c>
      <c r="H18" s="233" t="s">
        <v>762</v>
      </c>
      <c r="I18" s="233" t="s">
        <v>718</v>
      </c>
      <c r="J18" s="234">
        <v>484935.32</v>
      </c>
      <c r="K18" s="235">
        <v>269134</v>
      </c>
      <c r="L18" s="235"/>
      <c r="M18" s="235"/>
      <c r="N18" s="236"/>
      <c r="O18" s="236"/>
      <c r="P18" s="236"/>
      <c r="Q18" s="236" t="s">
        <v>719</v>
      </c>
      <c r="R18" s="237">
        <v>20312</v>
      </c>
      <c r="S18" s="237">
        <v>20312</v>
      </c>
      <c r="T18" s="237">
        <v>20312</v>
      </c>
      <c r="U18" s="237">
        <v>20312</v>
      </c>
      <c r="V18" s="237">
        <v>20312</v>
      </c>
      <c r="W18" s="237">
        <v>20312</v>
      </c>
      <c r="X18" s="237">
        <v>20312</v>
      </c>
      <c r="Y18" s="237">
        <v>20312</v>
      </c>
      <c r="Z18" s="237">
        <v>20312</v>
      </c>
      <c r="AA18" s="237">
        <v>20312</v>
      </c>
      <c r="AB18" s="237">
        <v>20312</v>
      </c>
      <c r="AC18" s="237">
        <v>20312</v>
      </c>
      <c r="AD18" s="237">
        <v>20312</v>
      </c>
      <c r="AE18" s="237">
        <v>5078</v>
      </c>
      <c r="AF18" s="237">
        <v>0</v>
      </c>
      <c r="AG18" s="237">
        <v>0</v>
      </c>
      <c r="AH18" s="237">
        <v>0</v>
      </c>
      <c r="AI18" s="237">
        <v>0</v>
      </c>
      <c r="AJ18" s="237">
        <v>0</v>
      </c>
      <c r="AK18" s="237">
        <v>0</v>
      </c>
      <c r="AL18" s="237">
        <v>0</v>
      </c>
      <c r="AM18" s="237">
        <v>0</v>
      </c>
      <c r="AN18" s="237">
        <v>0</v>
      </c>
      <c r="AO18" s="237">
        <v>0</v>
      </c>
      <c r="AP18" s="237">
        <v>0</v>
      </c>
      <c r="AQ18" s="237">
        <v>0</v>
      </c>
      <c r="AR18" s="237">
        <v>0</v>
      </c>
      <c r="AS18" s="237"/>
      <c r="AT18" s="237"/>
      <c r="AU18" s="238">
        <f t="shared" si="0"/>
        <v>269134</v>
      </c>
      <c r="AV18" s="239">
        <f t="shared" si="1"/>
        <v>0</v>
      </c>
      <c r="AW18" s="240">
        <f t="shared" si="2"/>
        <v>126950</v>
      </c>
      <c r="AX18" s="241">
        <f t="shared" si="3"/>
        <v>269134</v>
      </c>
    </row>
    <row r="19" spans="2:50" outlineLevel="1" x14ac:dyDescent="0.25">
      <c r="B19" s="243" t="s">
        <v>757</v>
      </c>
      <c r="C19" s="244"/>
      <c r="D19" s="245" t="s">
        <v>763</v>
      </c>
      <c r="E19" s="246"/>
      <c r="F19" s="247"/>
      <c r="G19" s="247"/>
      <c r="H19" s="247"/>
      <c r="I19" s="247"/>
      <c r="J19" s="248"/>
      <c r="K19" s="248"/>
      <c r="L19" s="248" t="s">
        <v>764</v>
      </c>
      <c r="M19" s="248"/>
      <c r="N19" s="249">
        <f t="shared" si="4"/>
        <v>3.55</v>
      </c>
      <c r="O19" s="250">
        <v>3.55</v>
      </c>
      <c r="P19" s="249">
        <f>$P$4</f>
        <v>0</v>
      </c>
      <c r="Q19" s="249" t="s">
        <v>722</v>
      </c>
      <c r="R19" s="251">
        <f>8183.02+1000</f>
        <v>9183.02</v>
      </c>
      <c r="S19" s="251">
        <f>SUM(S18:$AR18)*$N19/100</f>
        <v>8833.1810000000005</v>
      </c>
      <c r="T19" s="251">
        <f>SUM(T18:$AR18)*$N19/100</f>
        <v>8112.1049999999996</v>
      </c>
      <c r="U19" s="251">
        <f>SUM(U18:$AR18)*$N19/100</f>
        <v>7391.0289999999986</v>
      </c>
      <c r="V19" s="251">
        <f>SUM(V18:$AR18)*$N19/100</f>
        <v>6669.9529999999995</v>
      </c>
      <c r="W19" s="251">
        <f>SUM(W18:$AR18)*$N19/100</f>
        <v>5948.8769999999995</v>
      </c>
      <c r="X19" s="251">
        <f>SUM(X18:$AR18)*$N19/100</f>
        <v>5227.8009999999995</v>
      </c>
      <c r="Y19" s="251">
        <f>SUM(Y18:$AR18)*$N19/100</f>
        <v>4506.7250000000004</v>
      </c>
      <c r="Z19" s="251">
        <f>SUM(Z18:$AR18)*$N19/100</f>
        <v>3785.6489999999994</v>
      </c>
      <c r="AA19" s="251">
        <f>SUM(AA18:$AR18)*$N19/100</f>
        <v>3064.5729999999999</v>
      </c>
      <c r="AB19" s="251">
        <f>SUM(AB18:$AR18)*$N19/100</f>
        <v>2343.4969999999998</v>
      </c>
      <c r="AC19" s="251">
        <f>SUM(AC18:$AR18)*$N19/100</f>
        <v>1622.421</v>
      </c>
      <c r="AD19" s="251">
        <f>SUM(AD18:$AR18)*$N19/100</f>
        <v>901.34500000000003</v>
      </c>
      <c r="AE19" s="251">
        <f>SUM(AE18:$AR18)*$N19/100</f>
        <v>180.26899999999998</v>
      </c>
      <c r="AF19" s="251">
        <v>0</v>
      </c>
      <c r="AG19" s="251">
        <v>0</v>
      </c>
      <c r="AH19" s="251">
        <v>0</v>
      </c>
      <c r="AI19" s="251">
        <v>0</v>
      </c>
      <c r="AJ19" s="251">
        <v>0</v>
      </c>
      <c r="AK19" s="251">
        <v>0</v>
      </c>
      <c r="AL19" s="251">
        <v>0</v>
      </c>
      <c r="AM19" s="251">
        <v>0</v>
      </c>
      <c r="AN19" s="251">
        <v>0</v>
      </c>
      <c r="AO19" s="251">
        <v>0</v>
      </c>
      <c r="AP19" s="251">
        <v>0</v>
      </c>
      <c r="AQ19" s="251">
        <v>0</v>
      </c>
      <c r="AR19" s="251">
        <v>0</v>
      </c>
      <c r="AS19" s="251"/>
      <c r="AT19" s="251"/>
      <c r="AU19" s="252">
        <f t="shared" si="0"/>
        <v>67770.444999999992</v>
      </c>
      <c r="AV19" s="239">
        <f t="shared" si="1"/>
        <v>0</v>
      </c>
      <c r="AW19" s="253">
        <f t="shared" si="2"/>
        <v>16404.478999999999</v>
      </c>
      <c r="AX19" s="254">
        <f t="shared" si="3"/>
        <v>67770.445000000007</v>
      </c>
    </row>
    <row r="20" spans="2:50" s="228" customFormat="1" outlineLevel="1" x14ac:dyDescent="0.25">
      <c r="B20" s="229" t="s">
        <v>757</v>
      </c>
      <c r="C20" s="230">
        <v>8</v>
      </c>
      <c r="D20" s="231" t="s">
        <v>765</v>
      </c>
      <c r="E20" s="232" t="s">
        <v>766</v>
      </c>
      <c r="F20" s="233" t="s">
        <v>767</v>
      </c>
      <c r="G20" s="233" t="s">
        <v>768</v>
      </c>
      <c r="H20" s="233" t="s">
        <v>769</v>
      </c>
      <c r="I20" s="233" t="s">
        <v>718</v>
      </c>
      <c r="J20" s="234">
        <v>278611.39</v>
      </c>
      <c r="K20" s="235">
        <v>195426</v>
      </c>
      <c r="L20" s="235"/>
      <c r="M20" s="235"/>
      <c r="N20" s="236"/>
      <c r="O20" s="236"/>
      <c r="P20" s="236"/>
      <c r="Q20" s="236" t="s">
        <v>719</v>
      </c>
      <c r="R20" s="237">
        <v>14476</v>
      </c>
      <c r="S20" s="237">
        <v>14476</v>
      </c>
      <c r="T20" s="237">
        <v>14476</v>
      </c>
      <c r="U20" s="237">
        <v>14476</v>
      </c>
      <c r="V20" s="237">
        <v>14476</v>
      </c>
      <c r="W20" s="237">
        <v>14476</v>
      </c>
      <c r="X20" s="237">
        <v>14476</v>
      </c>
      <c r="Y20" s="237">
        <v>14476</v>
      </c>
      <c r="Z20" s="237">
        <v>14476</v>
      </c>
      <c r="AA20" s="237">
        <v>14476</v>
      </c>
      <c r="AB20" s="237">
        <v>14476</v>
      </c>
      <c r="AC20" s="237">
        <v>14476</v>
      </c>
      <c r="AD20" s="237">
        <v>14476</v>
      </c>
      <c r="AE20" s="237">
        <v>7238</v>
      </c>
      <c r="AF20" s="237">
        <v>0</v>
      </c>
      <c r="AG20" s="237">
        <v>0</v>
      </c>
      <c r="AH20" s="237">
        <v>0</v>
      </c>
      <c r="AI20" s="237">
        <v>0</v>
      </c>
      <c r="AJ20" s="237">
        <v>0</v>
      </c>
      <c r="AK20" s="237">
        <v>0</v>
      </c>
      <c r="AL20" s="237">
        <v>0</v>
      </c>
      <c r="AM20" s="237">
        <v>0</v>
      </c>
      <c r="AN20" s="237">
        <v>0</v>
      </c>
      <c r="AO20" s="237">
        <v>0</v>
      </c>
      <c r="AP20" s="237">
        <v>0</v>
      </c>
      <c r="AQ20" s="237">
        <v>0</v>
      </c>
      <c r="AR20" s="237">
        <v>0</v>
      </c>
      <c r="AS20" s="237"/>
      <c r="AT20" s="237"/>
      <c r="AU20" s="238">
        <f t="shared" si="0"/>
        <v>195426</v>
      </c>
      <c r="AV20" s="239">
        <f t="shared" si="1"/>
        <v>0</v>
      </c>
      <c r="AW20" s="240">
        <f t="shared" si="2"/>
        <v>94094</v>
      </c>
      <c r="AX20" s="241">
        <f t="shared" si="3"/>
        <v>195426</v>
      </c>
    </row>
    <row r="21" spans="2:50" outlineLevel="1" x14ac:dyDescent="0.25">
      <c r="B21" s="243" t="s">
        <v>757</v>
      </c>
      <c r="C21" s="244"/>
      <c r="D21" s="245" t="s">
        <v>770</v>
      </c>
      <c r="E21" s="246"/>
      <c r="F21" s="247"/>
      <c r="G21" s="247"/>
      <c r="H21" s="247"/>
      <c r="I21" s="247"/>
      <c r="J21" s="248"/>
      <c r="K21" s="248"/>
      <c r="L21" s="248" t="s">
        <v>771</v>
      </c>
      <c r="M21" s="248"/>
      <c r="N21" s="249">
        <f t="shared" si="4"/>
        <v>4.0149999999999997</v>
      </c>
      <c r="O21" s="249">
        <v>4.0149999999999997</v>
      </c>
      <c r="P21" s="249">
        <f>$P$4</f>
        <v>0</v>
      </c>
      <c r="Q21" s="249" t="s">
        <v>722</v>
      </c>
      <c r="R21" s="251">
        <f>6626.61+1000</f>
        <v>7626.61</v>
      </c>
      <c r="S21" s="251">
        <f>SUM(S20:$AR20)*$N21/100</f>
        <v>7265.1424999999999</v>
      </c>
      <c r="T21" s="251">
        <f>SUM(T20:$AR20)*$N21/100</f>
        <v>6683.9310999999998</v>
      </c>
      <c r="U21" s="251">
        <f>SUM(U20:$AR20)*$N21/100</f>
        <v>6102.7196999999996</v>
      </c>
      <c r="V21" s="251">
        <f>SUM(V20:$AR20)*$N21/100</f>
        <v>5521.5082999999995</v>
      </c>
      <c r="W21" s="251">
        <f>SUM(W20:$AR20)*$N21/100</f>
        <v>4940.2968999999994</v>
      </c>
      <c r="X21" s="251">
        <f>SUM(X20:$AR20)*$N21/100</f>
        <v>4359.0855000000001</v>
      </c>
      <c r="Y21" s="251">
        <f>SUM(Y20:$AR20)*$N21/100</f>
        <v>3777.8740999999995</v>
      </c>
      <c r="Z21" s="251">
        <f>SUM(Z20:$AR20)*$N21/100</f>
        <v>3196.6626999999994</v>
      </c>
      <c r="AA21" s="251">
        <f>SUM(AA20:$AR20)*$N21/100</f>
        <v>2615.4512999999997</v>
      </c>
      <c r="AB21" s="251">
        <f>SUM(AB20:$AR20)*$N21/100</f>
        <v>2034.2398999999998</v>
      </c>
      <c r="AC21" s="251">
        <f>SUM(AC20:$AR20)*$N21/100</f>
        <v>1453.0284999999997</v>
      </c>
      <c r="AD21" s="251">
        <f>SUM(AD20:$AR20)*$N21/100</f>
        <v>871.81709999999987</v>
      </c>
      <c r="AE21" s="251">
        <f>SUM(AE20:$AR20)*$N21/100</f>
        <v>290.60569999999996</v>
      </c>
      <c r="AF21" s="251">
        <v>0</v>
      </c>
      <c r="AG21" s="251">
        <v>0</v>
      </c>
      <c r="AH21" s="251">
        <v>0</v>
      </c>
      <c r="AI21" s="251">
        <v>0</v>
      </c>
      <c r="AJ21" s="251">
        <v>0</v>
      </c>
      <c r="AK21" s="251">
        <v>0</v>
      </c>
      <c r="AL21" s="251">
        <v>0</v>
      </c>
      <c r="AM21" s="251">
        <v>0</v>
      </c>
      <c r="AN21" s="251">
        <v>0</v>
      </c>
      <c r="AO21" s="251">
        <v>0</v>
      </c>
      <c r="AP21" s="251">
        <v>0</v>
      </c>
      <c r="AQ21" s="251">
        <v>0</v>
      </c>
      <c r="AR21" s="251">
        <v>0</v>
      </c>
      <c r="AS21" s="251"/>
      <c r="AT21" s="251"/>
      <c r="AU21" s="252">
        <f t="shared" si="0"/>
        <v>56738.973300000005</v>
      </c>
      <c r="AV21" s="239">
        <f t="shared" si="1"/>
        <v>0</v>
      </c>
      <c r="AW21" s="253">
        <f t="shared" si="2"/>
        <v>14239.6793</v>
      </c>
      <c r="AX21" s="254">
        <f t="shared" si="3"/>
        <v>56738.973299999998</v>
      </c>
    </row>
    <row r="22" spans="2:50" s="228" customFormat="1" outlineLevel="1" x14ac:dyDescent="0.25">
      <c r="B22" s="229" t="s">
        <v>757</v>
      </c>
      <c r="C22" s="230">
        <v>9</v>
      </c>
      <c r="D22" s="231" t="s">
        <v>772</v>
      </c>
      <c r="E22" s="232" t="s">
        <v>773</v>
      </c>
      <c r="F22" s="233" t="s">
        <v>774</v>
      </c>
      <c r="G22" s="233" t="s">
        <v>768</v>
      </c>
      <c r="H22" s="233" t="s">
        <v>775</v>
      </c>
      <c r="I22" s="233" t="s">
        <v>718</v>
      </c>
      <c r="J22" s="234">
        <v>55899</v>
      </c>
      <c r="K22" s="235">
        <v>4472</v>
      </c>
      <c r="L22" s="235"/>
      <c r="M22" s="235"/>
      <c r="N22" s="236"/>
      <c r="O22" s="236"/>
      <c r="P22" s="236"/>
      <c r="Q22" s="236" t="s">
        <v>719</v>
      </c>
      <c r="R22" s="237">
        <v>4472</v>
      </c>
      <c r="S22" s="237">
        <v>0</v>
      </c>
      <c r="T22" s="237">
        <v>0</v>
      </c>
      <c r="U22" s="237">
        <v>0</v>
      </c>
      <c r="V22" s="237">
        <v>0</v>
      </c>
      <c r="W22" s="237">
        <v>0</v>
      </c>
      <c r="X22" s="237">
        <v>0</v>
      </c>
      <c r="Y22" s="237">
        <v>0</v>
      </c>
      <c r="Z22" s="237">
        <v>0</v>
      </c>
      <c r="AA22" s="237">
        <v>0</v>
      </c>
      <c r="AB22" s="237">
        <v>0</v>
      </c>
      <c r="AC22" s="237">
        <v>0</v>
      </c>
      <c r="AD22" s="237">
        <v>0</v>
      </c>
      <c r="AE22" s="237">
        <v>0</v>
      </c>
      <c r="AF22" s="237">
        <v>0</v>
      </c>
      <c r="AG22" s="237">
        <v>0</v>
      </c>
      <c r="AH22" s="237">
        <v>0</v>
      </c>
      <c r="AI22" s="237">
        <v>0</v>
      </c>
      <c r="AJ22" s="237">
        <v>0</v>
      </c>
      <c r="AK22" s="237">
        <v>0</v>
      </c>
      <c r="AL22" s="237">
        <v>0</v>
      </c>
      <c r="AM22" s="237">
        <v>0</v>
      </c>
      <c r="AN22" s="237">
        <v>0</v>
      </c>
      <c r="AO22" s="237">
        <v>0</v>
      </c>
      <c r="AP22" s="237">
        <v>0</v>
      </c>
      <c r="AQ22" s="237">
        <v>0</v>
      </c>
      <c r="AR22" s="237">
        <v>0</v>
      </c>
      <c r="AS22" s="237"/>
      <c r="AT22" s="237"/>
      <c r="AU22" s="238">
        <f t="shared" si="0"/>
        <v>4472</v>
      </c>
      <c r="AV22" s="239">
        <f t="shared" si="1"/>
        <v>0</v>
      </c>
      <c r="AW22" s="240">
        <f t="shared" si="2"/>
        <v>0</v>
      </c>
      <c r="AX22" s="241">
        <f t="shared" si="3"/>
        <v>4472</v>
      </c>
    </row>
    <row r="23" spans="2:50" outlineLevel="1" x14ac:dyDescent="0.25">
      <c r="B23" s="243" t="s">
        <v>757</v>
      </c>
      <c r="C23" s="244"/>
      <c r="D23" s="245" t="s">
        <v>776</v>
      </c>
      <c r="E23" s="246"/>
      <c r="F23" s="247"/>
      <c r="G23" s="247"/>
      <c r="H23" s="247"/>
      <c r="I23" s="247"/>
      <c r="J23" s="248"/>
      <c r="K23" s="248"/>
      <c r="L23" s="248" t="s">
        <v>771</v>
      </c>
      <c r="M23" s="248"/>
      <c r="N23" s="249">
        <f t="shared" si="4"/>
        <v>4.0149999999999997</v>
      </c>
      <c r="O23" s="249">
        <v>4.0149999999999997</v>
      </c>
      <c r="P23" s="249">
        <f>$P$4</f>
        <v>0</v>
      </c>
      <c r="Q23" s="249" t="s">
        <v>722</v>
      </c>
      <c r="R23" s="251">
        <v>113</v>
      </c>
      <c r="S23" s="251">
        <v>0</v>
      </c>
      <c r="T23" s="251">
        <v>0</v>
      </c>
      <c r="U23" s="251">
        <v>0</v>
      </c>
      <c r="V23" s="251">
        <v>0</v>
      </c>
      <c r="W23" s="251">
        <v>0</v>
      </c>
      <c r="X23" s="251">
        <v>0</v>
      </c>
      <c r="Y23" s="251">
        <v>0</v>
      </c>
      <c r="Z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c r="AO23" s="251">
        <v>0</v>
      </c>
      <c r="AP23" s="251">
        <v>0</v>
      </c>
      <c r="AQ23" s="251">
        <v>0</v>
      </c>
      <c r="AR23" s="251">
        <v>0</v>
      </c>
      <c r="AS23" s="251"/>
      <c r="AT23" s="251"/>
      <c r="AU23" s="252">
        <f t="shared" si="0"/>
        <v>113</v>
      </c>
      <c r="AV23" s="239">
        <f t="shared" si="1"/>
        <v>0</v>
      </c>
      <c r="AW23" s="253">
        <f t="shared" si="2"/>
        <v>0</v>
      </c>
      <c r="AX23" s="254">
        <f t="shared" si="3"/>
        <v>113</v>
      </c>
    </row>
    <row r="24" spans="2:50" s="228" customFormat="1" outlineLevel="1" x14ac:dyDescent="0.25">
      <c r="B24" s="229" t="s">
        <v>757</v>
      </c>
      <c r="C24" s="230">
        <v>10</v>
      </c>
      <c r="D24" s="231" t="s">
        <v>777</v>
      </c>
      <c r="E24" s="232" t="s">
        <v>778</v>
      </c>
      <c r="F24" s="233" t="s">
        <v>779</v>
      </c>
      <c r="G24" s="233" t="s">
        <v>768</v>
      </c>
      <c r="H24" s="233" t="s">
        <v>780</v>
      </c>
      <c r="I24" s="233" t="s">
        <v>718</v>
      </c>
      <c r="J24" s="234">
        <v>49472</v>
      </c>
      <c r="K24" s="235">
        <v>12580</v>
      </c>
      <c r="L24" s="235"/>
      <c r="M24" s="235"/>
      <c r="N24" s="236"/>
      <c r="O24" s="236"/>
      <c r="P24" s="236"/>
      <c r="Q24" s="236" t="s">
        <v>719</v>
      </c>
      <c r="R24" s="237">
        <v>1480</v>
      </c>
      <c r="S24" s="237">
        <v>1480</v>
      </c>
      <c r="T24" s="237">
        <v>1480</v>
      </c>
      <c r="U24" s="237">
        <v>1480</v>
      </c>
      <c r="V24" s="237">
        <v>1480</v>
      </c>
      <c r="W24" s="237">
        <v>1480</v>
      </c>
      <c r="X24" s="237">
        <v>1480</v>
      </c>
      <c r="Y24" s="237">
        <v>1480</v>
      </c>
      <c r="Z24" s="237">
        <v>740</v>
      </c>
      <c r="AA24" s="237">
        <v>0</v>
      </c>
      <c r="AB24" s="237">
        <v>0</v>
      </c>
      <c r="AC24" s="237">
        <v>0</v>
      </c>
      <c r="AD24" s="237">
        <v>0</v>
      </c>
      <c r="AE24" s="237">
        <v>0</v>
      </c>
      <c r="AF24" s="237">
        <v>0</v>
      </c>
      <c r="AG24" s="237">
        <v>0</v>
      </c>
      <c r="AH24" s="237">
        <v>0</v>
      </c>
      <c r="AI24" s="237">
        <v>0</v>
      </c>
      <c r="AJ24" s="237">
        <v>0</v>
      </c>
      <c r="AK24" s="237">
        <v>0</v>
      </c>
      <c r="AL24" s="237">
        <v>0</v>
      </c>
      <c r="AM24" s="237">
        <v>0</v>
      </c>
      <c r="AN24" s="237">
        <v>0</v>
      </c>
      <c r="AO24" s="237">
        <v>0</v>
      </c>
      <c r="AP24" s="237">
        <v>0</v>
      </c>
      <c r="AQ24" s="237">
        <v>0</v>
      </c>
      <c r="AR24" s="237">
        <v>0</v>
      </c>
      <c r="AS24" s="237"/>
      <c r="AT24" s="237"/>
      <c r="AU24" s="238">
        <f t="shared" si="0"/>
        <v>12580</v>
      </c>
      <c r="AV24" s="239">
        <f t="shared" si="1"/>
        <v>0</v>
      </c>
      <c r="AW24" s="240">
        <f t="shared" si="2"/>
        <v>2220</v>
      </c>
      <c r="AX24" s="241">
        <f t="shared" si="3"/>
        <v>12580</v>
      </c>
    </row>
    <row r="25" spans="2:50" outlineLevel="1" x14ac:dyDescent="0.25">
      <c r="B25" s="243" t="s">
        <v>757</v>
      </c>
      <c r="C25" s="244"/>
      <c r="D25" s="245" t="s">
        <v>781</v>
      </c>
      <c r="E25" s="246"/>
      <c r="F25" s="247"/>
      <c r="G25" s="247"/>
      <c r="H25" s="247"/>
      <c r="I25" s="247"/>
      <c r="J25" s="248"/>
      <c r="K25" s="248"/>
      <c r="L25" s="248" t="s">
        <v>771</v>
      </c>
      <c r="M25" s="248"/>
      <c r="N25" s="249">
        <f t="shared" si="4"/>
        <v>4.0149999999999997</v>
      </c>
      <c r="O25" s="249">
        <v>4.0149999999999997</v>
      </c>
      <c r="P25" s="249">
        <f>$P$4</f>
        <v>0</v>
      </c>
      <c r="Q25" s="249" t="s">
        <v>722</v>
      </c>
      <c r="R25" s="251">
        <f>424+50</f>
        <v>474</v>
      </c>
      <c r="S25" s="251">
        <f>SUM(S24:$AR24)*$N25/100</f>
        <v>445.66500000000002</v>
      </c>
      <c r="T25" s="251">
        <f>SUM(T24:$AR24)*$N25/100</f>
        <v>386.24299999999994</v>
      </c>
      <c r="U25" s="251">
        <f>SUM(U24:$AR24)*$N25/100</f>
        <v>326.82099999999997</v>
      </c>
      <c r="V25" s="251">
        <f>SUM(V24:$AR24)*$N25/100</f>
        <v>267.399</v>
      </c>
      <c r="W25" s="251">
        <f>SUM(W24:$AR24)*$N25/100</f>
        <v>207.97699999999998</v>
      </c>
      <c r="X25" s="251">
        <f>SUM(X24:$AR24)*$N25/100</f>
        <v>148.55499999999998</v>
      </c>
      <c r="Y25" s="251">
        <f>SUM(Y24:$AR24)*$N25/100</f>
        <v>89.132999999999996</v>
      </c>
      <c r="Z25" s="251">
        <f>SUM(Z24:$AR24)*$N25/100</f>
        <v>29.710999999999999</v>
      </c>
      <c r="AA25" s="251">
        <v>0</v>
      </c>
      <c r="AB25" s="251">
        <v>0</v>
      </c>
      <c r="AC25" s="251">
        <v>0</v>
      </c>
      <c r="AD25" s="251">
        <v>0</v>
      </c>
      <c r="AE25" s="251">
        <v>0</v>
      </c>
      <c r="AF25" s="251">
        <v>0</v>
      </c>
      <c r="AG25" s="251">
        <v>0</v>
      </c>
      <c r="AH25" s="251">
        <v>0</v>
      </c>
      <c r="AI25" s="251">
        <v>0</v>
      </c>
      <c r="AJ25" s="251">
        <v>0</v>
      </c>
      <c r="AK25" s="251">
        <v>0</v>
      </c>
      <c r="AL25" s="251">
        <v>0</v>
      </c>
      <c r="AM25" s="251">
        <v>0</v>
      </c>
      <c r="AN25" s="251">
        <v>0</v>
      </c>
      <c r="AO25" s="251">
        <v>0</v>
      </c>
      <c r="AP25" s="251">
        <v>0</v>
      </c>
      <c r="AQ25" s="251">
        <v>0</v>
      </c>
      <c r="AR25" s="251">
        <v>0</v>
      </c>
      <c r="AS25" s="251"/>
      <c r="AT25" s="251"/>
      <c r="AU25" s="252">
        <f t="shared" si="0"/>
        <v>2375.503999999999</v>
      </c>
      <c r="AV25" s="239">
        <f t="shared" si="1"/>
        <v>0</v>
      </c>
      <c r="AW25" s="253">
        <f t="shared" si="2"/>
        <v>118.84399999999999</v>
      </c>
      <c r="AX25" s="254">
        <f t="shared" si="3"/>
        <v>2375.5039999999995</v>
      </c>
    </row>
    <row r="26" spans="2:50" s="228" customFormat="1" outlineLevel="1" x14ac:dyDescent="0.25">
      <c r="B26" s="229" t="s">
        <v>757</v>
      </c>
      <c r="C26" s="230">
        <v>11</v>
      </c>
      <c r="D26" s="231" t="s">
        <v>782</v>
      </c>
      <c r="E26" s="232" t="s">
        <v>783</v>
      </c>
      <c r="F26" s="233" t="s">
        <v>784</v>
      </c>
      <c r="G26" s="233" t="s">
        <v>768</v>
      </c>
      <c r="H26" s="233" t="s">
        <v>769</v>
      </c>
      <c r="I26" s="233" t="s">
        <v>718</v>
      </c>
      <c r="J26" s="234">
        <v>238897.15</v>
      </c>
      <c r="K26" s="235">
        <v>143100</v>
      </c>
      <c r="L26" s="235"/>
      <c r="M26" s="235"/>
      <c r="N26" s="236"/>
      <c r="O26" s="236"/>
      <c r="P26" s="236"/>
      <c r="Q26" s="236" t="s">
        <v>719</v>
      </c>
      <c r="R26" s="237">
        <v>10600</v>
      </c>
      <c r="S26" s="237">
        <v>10600</v>
      </c>
      <c r="T26" s="237">
        <v>10600</v>
      </c>
      <c r="U26" s="237">
        <v>10600</v>
      </c>
      <c r="V26" s="237">
        <v>10600</v>
      </c>
      <c r="W26" s="237">
        <v>10600</v>
      </c>
      <c r="X26" s="237">
        <v>10600</v>
      </c>
      <c r="Y26" s="237">
        <v>10600</v>
      </c>
      <c r="Z26" s="237">
        <v>10600</v>
      </c>
      <c r="AA26" s="237">
        <v>10600</v>
      </c>
      <c r="AB26" s="237">
        <v>10600</v>
      </c>
      <c r="AC26" s="237">
        <v>10600</v>
      </c>
      <c r="AD26" s="237">
        <v>10600</v>
      </c>
      <c r="AE26" s="237">
        <v>5300</v>
      </c>
      <c r="AF26" s="237">
        <v>0</v>
      </c>
      <c r="AG26" s="237">
        <v>0</v>
      </c>
      <c r="AH26" s="237">
        <v>0</v>
      </c>
      <c r="AI26" s="237">
        <v>0</v>
      </c>
      <c r="AJ26" s="237">
        <v>0</v>
      </c>
      <c r="AK26" s="237">
        <v>0</v>
      </c>
      <c r="AL26" s="237">
        <v>0</v>
      </c>
      <c r="AM26" s="237">
        <v>0</v>
      </c>
      <c r="AN26" s="237">
        <v>0</v>
      </c>
      <c r="AO26" s="237">
        <v>0</v>
      </c>
      <c r="AP26" s="237">
        <v>0</v>
      </c>
      <c r="AQ26" s="237">
        <v>0</v>
      </c>
      <c r="AR26" s="237">
        <v>0</v>
      </c>
      <c r="AS26" s="237"/>
      <c r="AT26" s="237"/>
      <c r="AU26" s="238">
        <f t="shared" si="0"/>
        <v>143100</v>
      </c>
      <c r="AV26" s="239">
        <f t="shared" si="1"/>
        <v>0</v>
      </c>
      <c r="AW26" s="240">
        <f t="shared" si="2"/>
        <v>68900</v>
      </c>
      <c r="AX26" s="241">
        <f t="shared" si="3"/>
        <v>143100</v>
      </c>
    </row>
    <row r="27" spans="2:50" outlineLevel="1" x14ac:dyDescent="0.25">
      <c r="B27" s="243" t="s">
        <v>757</v>
      </c>
      <c r="C27" s="244"/>
      <c r="D27" s="245" t="s">
        <v>785</v>
      </c>
      <c r="E27" s="246"/>
      <c r="F27" s="247"/>
      <c r="G27" s="247"/>
      <c r="H27" s="247"/>
      <c r="I27" s="247"/>
      <c r="J27" s="248"/>
      <c r="K27" s="248"/>
      <c r="L27" s="248" t="s">
        <v>771</v>
      </c>
      <c r="M27" s="248"/>
      <c r="N27" s="249">
        <f t="shared" si="4"/>
        <v>3.55</v>
      </c>
      <c r="O27" s="250">
        <v>3.55</v>
      </c>
      <c r="P27" s="249">
        <f>$P$4</f>
        <v>0</v>
      </c>
      <c r="Q27" s="249" t="s">
        <v>722</v>
      </c>
      <c r="R27" s="251">
        <v>4852.3</v>
      </c>
      <c r="S27" s="251">
        <f>SUM(S26:$AR26)*$N27/100</f>
        <v>4703.75</v>
      </c>
      <c r="T27" s="251">
        <f>SUM(T26:$AR26)*$N27/100</f>
        <v>4327.45</v>
      </c>
      <c r="U27" s="251">
        <f>SUM(U26:$AR26)*$N27/100</f>
        <v>3951.15</v>
      </c>
      <c r="V27" s="251">
        <f>SUM(V26:$AR26)*$N27/100</f>
        <v>3574.85</v>
      </c>
      <c r="W27" s="251">
        <f>SUM(W26:$AR26)*$N27/100</f>
        <v>3198.55</v>
      </c>
      <c r="X27" s="251">
        <f>SUM(X26:$AR26)*$N27/100</f>
        <v>2822.25</v>
      </c>
      <c r="Y27" s="251">
        <f>SUM(Y26:$AR26)*$N27/100</f>
        <v>2445.9499999999998</v>
      </c>
      <c r="Z27" s="251">
        <f>SUM(Z26:$AR26)*$N27/100</f>
        <v>2069.65</v>
      </c>
      <c r="AA27" s="251">
        <f>SUM(AA26:$AR26)*$N27/100</f>
        <v>1693.35</v>
      </c>
      <c r="AB27" s="251">
        <f>SUM(AB26:$AR26)*$N27/100</f>
        <v>1317.05</v>
      </c>
      <c r="AC27" s="251">
        <f>SUM(AC26:$AR26)*$N27/100</f>
        <v>940.75</v>
      </c>
      <c r="AD27" s="251">
        <f>SUM(AD26:$AR26)*$N27/100</f>
        <v>564.45000000000005</v>
      </c>
      <c r="AE27" s="251">
        <f>SUM(AE26:$AR26)*$N27/100</f>
        <v>188.15</v>
      </c>
      <c r="AF27" s="251">
        <v>0</v>
      </c>
      <c r="AG27" s="251">
        <v>0</v>
      </c>
      <c r="AH27" s="251">
        <v>0</v>
      </c>
      <c r="AI27" s="251">
        <v>0</v>
      </c>
      <c r="AJ27" s="251">
        <v>0</v>
      </c>
      <c r="AK27" s="251">
        <v>0</v>
      </c>
      <c r="AL27" s="251">
        <v>0</v>
      </c>
      <c r="AM27" s="251">
        <v>0</v>
      </c>
      <c r="AN27" s="251">
        <v>0</v>
      </c>
      <c r="AO27" s="251">
        <v>0</v>
      </c>
      <c r="AP27" s="251">
        <v>0</v>
      </c>
      <c r="AQ27" s="251">
        <v>0</v>
      </c>
      <c r="AR27" s="251">
        <v>0</v>
      </c>
      <c r="AS27" s="251"/>
      <c r="AT27" s="251"/>
      <c r="AU27" s="252">
        <f t="shared" si="0"/>
        <v>36649.65</v>
      </c>
      <c r="AV27" s="239">
        <f t="shared" si="1"/>
        <v>0</v>
      </c>
      <c r="AW27" s="253">
        <f t="shared" si="2"/>
        <v>9219.35</v>
      </c>
      <c r="AX27" s="254">
        <f t="shared" si="3"/>
        <v>36649.65</v>
      </c>
    </row>
    <row r="28" spans="2:50" s="261" customFormat="1" outlineLevel="1" x14ac:dyDescent="0.25">
      <c r="B28" s="257" t="s">
        <v>757</v>
      </c>
      <c r="C28" s="258">
        <v>12</v>
      </c>
      <c r="D28" s="259" t="s">
        <v>786</v>
      </c>
      <c r="E28" s="232" t="s">
        <v>787</v>
      </c>
      <c r="F28" s="232" t="s">
        <v>788</v>
      </c>
      <c r="G28" s="232" t="s">
        <v>789</v>
      </c>
      <c r="H28" s="232" t="s">
        <v>790</v>
      </c>
      <c r="I28" s="232" t="s">
        <v>718</v>
      </c>
      <c r="J28" s="234">
        <v>34291</v>
      </c>
      <c r="K28" s="235">
        <v>12418</v>
      </c>
      <c r="L28" s="235"/>
      <c r="M28" s="235"/>
      <c r="N28" s="236"/>
      <c r="O28" s="236"/>
      <c r="P28" s="236"/>
      <c r="Q28" s="236" t="s">
        <v>719</v>
      </c>
      <c r="R28" s="237">
        <v>3548</v>
      </c>
      <c r="S28" s="237">
        <v>3548</v>
      </c>
      <c r="T28" s="237">
        <v>3548</v>
      </c>
      <c r="U28" s="237">
        <v>1774</v>
      </c>
      <c r="V28" s="237">
        <v>0</v>
      </c>
      <c r="W28" s="237">
        <v>0</v>
      </c>
      <c r="X28" s="237">
        <v>0</v>
      </c>
      <c r="Y28" s="237">
        <v>0</v>
      </c>
      <c r="Z28" s="237">
        <v>0</v>
      </c>
      <c r="AA28" s="237">
        <v>0</v>
      </c>
      <c r="AB28" s="237">
        <v>0</v>
      </c>
      <c r="AC28" s="237">
        <v>0</v>
      </c>
      <c r="AD28" s="237">
        <v>0</v>
      </c>
      <c r="AE28" s="237">
        <v>0</v>
      </c>
      <c r="AF28" s="237">
        <v>0</v>
      </c>
      <c r="AG28" s="237">
        <v>0</v>
      </c>
      <c r="AH28" s="237">
        <v>0</v>
      </c>
      <c r="AI28" s="237">
        <v>0</v>
      </c>
      <c r="AJ28" s="237">
        <v>0</v>
      </c>
      <c r="AK28" s="237">
        <v>0</v>
      </c>
      <c r="AL28" s="237">
        <v>0</v>
      </c>
      <c r="AM28" s="237">
        <v>0</v>
      </c>
      <c r="AN28" s="237">
        <v>0</v>
      </c>
      <c r="AO28" s="237">
        <v>0</v>
      </c>
      <c r="AP28" s="237">
        <v>0</v>
      </c>
      <c r="AQ28" s="237">
        <v>0</v>
      </c>
      <c r="AR28" s="237">
        <v>0</v>
      </c>
      <c r="AS28" s="237"/>
      <c r="AT28" s="237"/>
      <c r="AU28" s="241">
        <f t="shared" si="0"/>
        <v>12418</v>
      </c>
      <c r="AV28" s="260">
        <f t="shared" si="1"/>
        <v>0</v>
      </c>
      <c r="AW28" s="240">
        <f t="shared" si="2"/>
        <v>0</v>
      </c>
      <c r="AX28" s="241">
        <f t="shared" si="3"/>
        <v>12418</v>
      </c>
    </row>
    <row r="29" spans="2:50" s="210" customFormat="1" outlineLevel="1" x14ac:dyDescent="0.25">
      <c r="B29" s="262" t="s">
        <v>757</v>
      </c>
      <c r="C29" s="263"/>
      <c r="D29" s="264" t="s">
        <v>791</v>
      </c>
      <c r="E29" s="246"/>
      <c r="F29" s="246"/>
      <c r="G29" s="246"/>
      <c r="H29" s="246"/>
      <c r="I29" s="246"/>
      <c r="J29" s="248"/>
      <c r="K29" s="248"/>
      <c r="L29" s="248" t="s">
        <v>792</v>
      </c>
      <c r="M29" s="248"/>
      <c r="N29" s="249">
        <f t="shared" si="4"/>
        <v>3.9790000000000001</v>
      </c>
      <c r="O29" s="249">
        <v>3.9790000000000001</v>
      </c>
      <c r="P29" s="249">
        <f>$P$4</f>
        <v>0</v>
      </c>
      <c r="Q29" s="249" t="s">
        <v>722</v>
      </c>
      <c r="R29" s="251">
        <v>423.15999999999997</v>
      </c>
      <c r="S29" s="251">
        <f>SUM(S28:$AR28)*$N29/100</f>
        <v>352.93730000000005</v>
      </c>
      <c r="T29" s="251">
        <f>SUM(T28:$AR28)*$N29/100</f>
        <v>211.76238000000001</v>
      </c>
      <c r="U29" s="251">
        <f>SUM(U28:$AR28)*$N29/100</f>
        <v>70.587460000000007</v>
      </c>
      <c r="V29" s="251">
        <v>0</v>
      </c>
      <c r="W29" s="251">
        <v>0</v>
      </c>
      <c r="X29" s="251">
        <v>0</v>
      </c>
      <c r="Y29" s="251">
        <v>0</v>
      </c>
      <c r="Z29" s="251">
        <v>0</v>
      </c>
      <c r="AA29" s="251">
        <v>0</v>
      </c>
      <c r="AB29" s="251">
        <v>0</v>
      </c>
      <c r="AC29" s="251">
        <v>0</v>
      </c>
      <c r="AD29" s="251">
        <v>0</v>
      </c>
      <c r="AE29" s="251">
        <v>0</v>
      </c>
      <c r="AF29" s="251">
        <v>0</v>
      </c>
      <c r="AG29" s="251">
        <v>0</v>
      </c>
      <c r="AH29" s="251">
        <v>0</v>
      </c>
      <c r="AI29" s="251">
        <v>0</v>
      </c>
      <c r="AJ29" s="251">
        <v>0</v>
      </c>
      <c r="AK29" s="251">
        <v>0</v>
      </c>
      <c r="AL29" s="251">
        <v>0</v>
      </c>
      <c r="AM29" s="251">
        <v>0</v>
      </c>
      <c r="AN29" s="251">
        <v>0</v>
      </c>
      <c r="AO29" s="251">
        <v>0</v>
      </c>
      <c r="AP29" s="251">
        <v>0</v>
      </c>
      <c r="AQ29" s="251">
        <v>0</v>
      </c>
      <c r="AR29" s="251">
        <v>0</v>
      </c>
      <c r="AS29" s="251"/>
      <c r="AT29" s="251"/>
      <c r="AU29" s="254">
        <f t="shared" si="0"/>
        <v>1058.44714</v>
      </c>
      <c r="AV29" s="260">
        <f t="shared" si="1"/>
        <v>0</v>
      </c>
      <c r="AW29" s="253">
        <f t="shared" si="2"/>
        <v>0</v>
      </c>
      <c r="AX29" s="254">
        <f t="shared" si="3"/>
        <v>1058.44714</v>
      </c>
    </row>
    <row r="30" spans="2:50" s="228" customFormat="1" outlineLevel="1" x14ac:dyDescent="0.25">
      <c r="B30" s="229" t="s">
        <v>757</v>
      </c>
      <c r="C30" s="230">
        <v>13</v>
      </c>
      <c r="D30" s="231" t="s">
        <v>793</v>
      </c>
      <c r="E30" s="232" t="s">
        <v>794</v>
      </c>
      <c r="F30" s="233" t="s">
        <v>795</v>
      </c>
      <c r="G30" s="233" t="s">
        <v>796</v>
      </c>
      <c r="H30" s="233" t="s">
        <v>797</v>
      </c>
      <c r="I30" s="233" t="s">
        <v>718</v>
      </c>
      <c r="J30" s="234">
        <v>2609698.31</v>
      </c>
      <c r="K30" s="235">
        <v>2232939</v>
      </c>
      <c r="L30" s="235"/>
      <c r="M30" s="235"/>
      <c r="N30" s="236"/>
      <c r="O30" s="236"/>
      <c r="P30" s="236"/>
      <c r="Q30" s="236" t="s">
        <v>719</v>
      </c>
      <c r="R30" s="237">
        <v>94200</v>
      </c>
      <c r="S30" s="237">
        <v>94200</v>
      </c>
      <c r="T30" s="237">
        <v>94200</v>
      </c>
      <c r="U30" s="237">
        <v>94200</v>
      </c>
      <c r="V30" s="237">
        <v>94200</v>
      </c>
      <c r="W30" s="237">
        <v>94200</v>
      </c>
      <c r="X30" s="237">
        <v>94200</v>
      </c>
      <c r="Y30" s="237">
        <v>94200</v>
      </c>
      <c r="Z30" s="237">
        <v>94200</v>
      </c>
      <c r="AA30" s="237">
        <v>94200</v>
      </c>
      <c r="AB30" s="237">
        <v>94200</v>
      </c>
      <c r="AC30" s="237">
        <v>94200</v>
      </c>
      <c r="AD30" s="237">
        <v>94200</v>
      </c>
      <c r="AE30" s="237">
        <v>94200</v>
      </c>
      <c r="AF30" s="237">
        <v>94200</v>
      </c>
      <c r="AG30" s="237">
        <v>94200</v>
      </c>
      <c r="AH30" s="237">
        <v>94200</v>
      </c>
      <c r="AI30" s="237">
        <v>94200</v>
      </c>
      <c r="AJ30" s="237">
        <v>94200</v>
      </c>
      <c r="AK30" s="237">
        <v>94200</v>
      </c>
      <c r="AL30" s="237">
        <v>94200</v>
      </c>
      <c r="AM30" s="237">
        <v>94200</v>
      </c>
      <c r="AN30" s="237">
        <v>94200</v>
      </c>
      <c r="AO30" s="237">
        <v>66339.31</v>
      </c>
      <c r="AP30" s="237">
        <v>0</v>
      </c>
      <c r="AQ30" s="237">
        <v>0</v>
      </c>
      <c r="AR30" s="237">
        <v>0</v>
      </c>
      <c r="AS30" s="237"/>
      <c r="AT30" s="237"/>
      <c r="AU30" s="238">
        <f t="shared" si="0"/>
        <v>2232939.31</v>
      </c>
      <c r="AV30" s="239">
        <f t="shared" si="1"/>
        <v>0</v>
      </c>
      <c r="AW30" s="240">
        <f t="shared" si="2"/>
        <v>1573539.31</v>
      </c>
      <c r="AX30" s="241">
        <f t="shared" si="3"/>
        <v>2232939.31</v>
      </c>
    </row>
    <row r="31" spans="2:50" outlineLevel="1" x14ac:dyDescent="0.25">
      <c r="B31" s="243" t="s">
        <v>757</v>
      </c>
      <c r="C31" s="244"/>
      <c r="D31" s="245" t="s">
        <v>798</v>
      </c>
      <c r="E31" s="246"/>
      <c r="F31" s="247"/>
      <c r="G31" s="247"/>
      <c r="H31" s="247"/>
      <c r="I31" s="247"/>
      <c r="J31" s="248"/>
      <c r="K31" s="248"/>
      <c r="L31" s="248" t="s">
        <v>799</v>
      </c>
      <c r="M31" s="248"/>
      <c r="N31" s="249">
        <f t="shared" si="4"/>
        <v>3.55</v>
      </c>
      <c r="O31" s="250">
        <v>3.55</v>
      </c>
      <c r="P31" s="249">
        <f>$P$4</f>
        <v>0</v>
      </c>
      <c r="Q31" s="249" t="s">
        <v>722</v>
      </c>
      <c r="R31" s="251">
        <v>77502.47</v>
      </c>
      <c r="S31" s="251">
        <f>SUM(S30:$AR30)*$N31/100</f>
        <v>75925.245504999999</v>
      </c>
      <c r="T31" s="251">
        <f>SUM(T30:$AR30)*$N31/100</f>
        <v>72581.145504999993</v>
      </c>
      <c r="U31" s="251">
        <f>SUM(U30:$AR30)*$N31/100</f>
        <v>69237.045505000002</v>
      </c>
      <c r="V31" s="251">
        <f>SUM(V30:$AR30)*$N31/100</f>
        <v>65892.945504999996</v>
      </c>
      <c r="W31" s="251">
        <f>SUM(W30:$AR30)*$N31/100</f>
        <v>62548.845504999998</v>
      </c>
      <c r="X31" s="251">
        <f>SUM(X30:$AR30)*$N31/100</f>
        <v>59204.745504999999</v>
      </c>
      <c r="Y31" s="251">
        <f>SUM(Y30:$AR30)*$N31/100</f>
        <v>55860.645505</v>
      </c>
      <c r="Z31" s="251">
        <f>SUM(Z30:$AR30)*$N31/100</f>
        <v>52516.545505000002</v>
      </c>
      <c r="AA31" s="251">
        <f>SUM(AA30:$AR30)*$N31/100</f>
        <v>49172.445504999996</v>
      </c>
      <c r="AB31" s="251">
        <f>SUM(AB30:$AR30)*$N31/100</f>
        <v>45828.345504999998</v>
      </c>
      <c r="AC31" s="251">
        <f>SUM(AC30:$AR30)*$N31/100</f>
        <v>42484.245504999999</v>
      </c>
      <c r="AD31" s="251">
        <f>SUM(AD30:$AR30)*$N31/100</f>
        <v>39140.145505</v>
      </c>
      <c r="AE31" s="251">
        <f>SUM(AE30:$AR30)*$N31/100</f>
        <v>35796.045505000002</v>
      </c>
      <c r="AF31" s="251">
        <f>SUM(AF30:$AR30)*$N31/100</f>
        <v>32451.945505</v>
      </c>
      <c r="AG31" s="251">
        <f>SUM(AG30:$AR30)*$N31/100</f>
        <v>29107.845504999998</v>
      </c>
      <c r="AH31" s="251">
        <f>SUM(AH30:$AR30)*$N31/100</f>
        <v>25763.745504999999</v>
      </c>
      <c r="AI31" s="251">
        <f>SUM(AI30:$AR30)*$N31/100</f>
        <v>22419.645505</v>
      </c>
      <c r="AJ31" s="251">
        <f>SUM(AJ30:$AR30)*$N31/100</f>
        <v>19075.545505000002</v>
      </c>
      <c r="AK31" s="251">
        <f>SUM(AK30:$AR30)*$N31/100</f>
        <v>15731.445505</v>
      </c>
      <c r="AL31" s="251">
        <f>SUM(AL30:$AR30)*$N31/100</f>
        <v>12387.345504999999</v>
      </c>
      <c r="AM31" s="251">
        <f>SUM(AM30:$AR30)*$N31/100</f>
        <v>9043.245504999999</v>
      </c>
      <c r="AN31" s="251">
        <f>SUM(AN30:$AR30)*$N31/100</f>
        <v>5699.1455050000004</v>
      </c>
      <c r="AO31" s="251">
        <f>SUM(AO30:$AR30)*$N31/100</f>
        <v>2355.045505</v>
      </c>
      <c r="AP31" s="251">
        <v>0</v>
      </c>
      <c r="AQ31" s="251">
        <v>0</v>
      </c>
      <c r="AR31" s="251">
        <v>0</v>
      </c>
      <c r="AS31" s="251"/>
      <c r="AT31" s="251"/>
      <c r="AU31" s="252">
        <f t="shared" si="0"/>
        <v>977725.81661500002</v>
      </c>
      <c r="AV31" s="239">
        <f t="shared" si="1"/>
        <v>0</v>
      </c>
      <c r="AW31" s="253">
        <f t="shared" si="2"/>
        <v>494833.37358499999</v>
      </c>
      <c r="AX31" s="254">
        <f t="shared" si="3"/>
        <v>977725.8166149999</v>
      </c>
    </row>
    <row r="32" spans="2:50" s="228" customFormat="1" outlineLevel="1" x14ac:dyDescent="0.25">
      <c r="B32" s="229" t="s">
        <v>757</v>
      </c>
      <c r="C32" s="230">
        <v>14</v>
      </c>
      <c r="D32" s="231" t="s">
        <v>800</v>
      </c>
      <c r="E32" s="232" t="s">
        <v>801</v>
      </c>
      <c r="F32" s="233" t="s">
        <v>802</v>
      </c>
      <c r="G32" s="233" t="s">
        <v>796</v>
      </c>
      <c r="H32" s="233" t="s">
        <v>797</v>
      </c>
      <c r="I32" s="233" t="s">
        <v>718</v>
      </c>
      <c r="J32" s="234">
        <v>3496295</v>
      </c>
      <c r="K32" s="235">
        <v>2992405</v>
      </c>
      <c r="L32" s="235"/>
      <c r="M32" s="235"/>
      <c r="N32" s="236"/>
      <c r="O32" s="236"/>
      <c r="P32" s="236"/>
      <c r="Q32" s="236" t="s">
        <v>719</v>
      </c>
      <c r="R32" s="237">
        <v>125996</v>
      </c>
      <c r="S32" s="237">
        <v>125996</v>
      </c>
      <c r="T32" s="237">
        <v>125996</v>
      </c>
      <c r="U32" s="237">
        <v>125996</v>
      </c>
      <c r="V32" s="237">
        <v>125996</v>
      </c>
      <c r="W32" s="237">
        <v>125996</v>
      </c>
      <c r="X32" s="237">
        <v>125996</v>
      </c>
      <c r="Y32" s="237">
        <v>125996</v>
      </c>
      <c r="Z32" s="237">
        <v>125996</v>
      </c>
      <c r="AA32" s="237">
        <v>125996</v>
      </c>
      <c r="AB32" s="237">
        <v>125996</v>
      </c>
      <c r="AC32" s="237">
        <v>125996</v>
      </c>
      <c r="AD32" s="237">
        <v>125996</v>
      </c>
      <c r="AE32" s="237">
        <v>125996</v>
      </c>
      <c r="AF32" s="237">
        <v>125996</v>
      </c>
      <c r="AG32" s="237">
        <v>125996</v>
      </c>
      <c r="AH32" s="237">
        <v>125996</v>
      </c>
      <c r="AI32" s="237">
        <v>125996</v>
      </c>
      <c r="AJ32" s="237">
        <v>125996</v>
      </c>
      <c r="AK32" s="237">
        <v>125996</v>
      </c>
      <c r="AL32" s="237">
        <v>125996</v>
      </c>
      <c r="AM32" s="237">
        <v>125996</v>
      </c>
      <c r="AN32" s="237">
        <v>125996</v>
      </c>
      <c r="AO32" s="237">
        <v>94497</v>
      </c>
      <c r="AP32" s="237">
        <v>0</v>
      </c>
      <c r="AQ32" s="237">
        <v>0</v>
      </c>
      <c r="AR32" s="237">
        <v>0</v>
      </c>
      <c r="AS32" s="237"/>
      <c r="AT32" s="237"/>
      <c r="AU32" s="238">
        <f t="shared" si="0"/>
        <v>2992405</v>
      </c>
      <c r="AV32" s="239">
        <f t="shared" si="1"/>
        <v>0</v>
      </c>
      <c r="AW32" s="240">
        <f t="shared" si="2"/>
        <v>2110433</v>
      </c>
      <c r="AX32" s="241">
        <f t="shared" si="3"/>
        <v>2992405</v>
      </c>
    </row>
    <row r="33" spans="2:50" outlineLevel="1" x14ac:dyDescent="0.25">
      <c r="B33" s="243" t="s">
        <v>757</v>
      </c>
      <c r="C33" s="244"/>
      <c r="D33" s="245" t="s">
        <v>803</v>
      </c>
      <c r="E33" s="246"/>
      <c r="F33" s="247"/>
      <c r="G33" s="247"/>
      <c r="H33" s="247"/>
      <c r="I33" s="247"/>
      <c r="J33" s="248"/>
      <c r="K33" s="248"/>
      <c r="L33" s="248" t="s">
        <v>799</v>
      </c>
      <c r="M33" s="248"/>
      <c r="N33" s="249">
        <f t="shared" si="4"/>
        <v>3.55</v>
      </c>
      <c r="O33" s="250">
        <v>3.55</v>
      </c>
      <c r="P33" s="249">
        <f>$P$4</f>
        <v>0</v>
      </c>
      <c r="Q33" s="249" t="s">
        <v>722</v>
      </c>
      <c r="R33" s="251">
        <v>103863.72</v>
      </c>
      <c r="S33" s="251">
        <f>SUM(S32:$AR32)*$N33/100</f>
        <v>101757.51949999999</v>
      </c>
      <c r="T33" s="251">
        <f>SUM(T32:$AR32)*$N33/100</f>
        <v>97284.661500000002</v>
      </c>
      <c r="U33" s="251">
        <f>SUM(U32:$AR32)*$N33/100</f>
        <v>92811.803499999995</v>
      </c>
      <c r="V33" s="251">
        <f>SUM(V32:$AR32)*$N33/100</f>
        <v>88338.945499999987</v>
      </c>
      <c r="W33" s="251">
        <f>SUM(W32:$AR32)*$N33/100</f>
        <v>83866.087499999994</v>
      </c>
      <c r="X33" s="251">
        <f>SUM(X32:$AR32)*$N33/100</f>
        <v>79393.229499999987</v>
      </c>
      <c r="Y33" s="251">
        <f>SUM(Y32:$AR32)*$N33/100</f>
        <v>74920.371499999994</v>
      </c>
      <c r="Z33" s="251">
        <f>SUM(Z32:$AR32)*$N33/100</f>
        <v>70447.513500000001</v>
      </c>
      <c r="AA33" s="251">
        <f>SUM(AA32:$AR32)*$N33/100</f>
        <v>65974.655499999993</v>
      </c>
      <c r="AB33" s="251">
        <f>SUM(AB32:$AR32)*$N33/100</f>
        <v>61501.797500000001</v>
      </c>
      <c r="AC33" s="251">
        <f>SUM(AC32:$AR32)*$N33/100</f>
        <v>57028.939499999993</v>
      </c>
      <c r="AD33" s="251">
        <f>SUM(AD32:$AR32)*$N33/100</f>
        <v>52556.081499999993</v>
      </c>
      <c r="AE33" s="251">
        <f>SUM(AE32:$AR32)*$N33/100</f>
        <v>48083.223499999993</v>
      </c>
      <c r="AF33" s="251">
        <f>SUM(AF32:$AR32)*$N33/100</f>
        <v>43610.3655</v>
      </c>
      <c r="AG33" s="251">
        <f>SUM(AG32:$AR32)*$N33/100</f>
        <v>39137.5075</v>
      </c>
      <c r="AH33" s="251">
        <f>SUM(AH32:$AR32)*$N33/100</f>
        <v>34664.6495</v>
      </c>
      <c r="AI33" s="251">
        <f>SUM(AI32:$AR32)*$N33/100</f>
        <v>30191.791499999999</v>
      </c>
      <c r="AJ33" s="251">
        <f>SUM(AJ32:$AR32)*$N33/100</f>
        <v>25718.933499999999</v>
      </c>
      <c r="AK33" s="251">
        <f>SUM(AK32:$AR32)*$N33/100</f>
        <v>21246.075499999999</v>
      </c>
      <c r="AL33" s="251">
        <f>SUM(AL32:$AR32)*$N33/100</f>
        <v>16773.217499999999</v>
      </c>
      <c r="AM33" s="251">
        <f>SUM(AM32:$AR32)*$N33/100</f>
        <v>12300.359499999999</v>
      </c>
      <c r="AN33" s="251">
        <f>SUM(AN32:$AR32)*$N33/100</f>
        <v>7827.5014999999994</v>
      </c>
      <c r="AO33" s="251">
        <f>SUM(AO32:$AR32)*$N33/100</f>
        <v>3354.6434999999997</v>
      </c>
      <c r="AP33" s="251">
        <v>0</v>
      </c>
      <c r="AQ33" s="251">
        <v>0</v>
      </c>
      <c r="AR33" s="251">
        <v>0</v>
      </c>
      <c r="AS33" s="251"/>
      <c r="AT33" s="251"/>
      <c r="AU33" s="252">
        <f t="shared" si="0"/>
        <v>1312653.5945000004</v>
      </c>
      <c r="AV33" s="239">
        <f t="shared" si="1"/>
        <v>0</v>
      </c>
      <c r="AW33" s="253">
        <f t="shared" si="2"/>
        <v>665337.62750000018</v>
      </c>
      <c r="AX33" s="254">
        <f t="shared" si="3"/>
        <v>1312653.5945000001</v>
      </c>
    </row>
    <row r="34" spans="2:50" s="228" customFormat="1" outlineLevel="1" x14ac:dyDescent="0.25">
      <c r="B34" s="229" t="s">
        <v>757</v>
      </c>
      <c r="C34" s="230">
        <v>15</v>
      </c>
      <c r="D34" s="231" t="s">
        <v>765</v>
      </c>
      <c r="E34" s="232" t="s">
        <v>804</v>
      </c>
      <c r="F34" s="233" t="s">
        <v>805</v>
      </c>
      <c r="G34" s="233" t="s">
        <v>806</v>
      </c>
      <c r="H34" s="233" t="s">
        <v>807</v>
      </c>
      <c r="I34" s="233" t="s">
        <v>718</v>
      </c>
      <c r="J34" s="234">
        <v>190122</v>
      </c>
      <c r="K34" s="235">
        <v>134084</v>
      </c>
      <c r="L34" s="235"/>
      <c r="M34" s="235"/>
      <c r="N34" s="236"/>
      <c r="O34" s="236"/>
      <c r="P34" s="236"/>
      <c r="Q34" s="236" t="s">
        <v>719</v>
      </c>
      <c r="R34" s="237">
        <v>9752</v>
      </c>
      <c r="S34" s="237">
        <v>9752</v>
      </c>
      <c r="T34" s="237">
        <v>9752</v>
      </c>
      <c r="U34" s="237">
        <v>9752</v>
      </c>
      <c r="V34" s="237">
        <v>9752</v>
      </c>
      <c r="W34" s="237">
        <v>9752</v>
      </c>
      <c r="X34" s="237">
        <v>9752</v>
      </c>
      <c r="Y34" s="237">
        <v>9752</v>
      </c>
      <c r="Z34" s="237">
        <v>9752</v>
      </c>
      <c r="AA34" s="237">
        <v>9752</v>
      </c>
      <c r="AB34" s="237">
        <v>9752</v>
      </c>
      <c r="AC34" s="237">
        <v>9752</v>
      </c>
      <c r="AD34" s="237">
        <v>9752</v>
      </c>
      <c r="AE34" s="237">
        <v>7308</v>
      </c>
      <c r="AF34" s="237">
        <v>0</v>
      </c>
      <c r="AG34" s="237">
        <v>0</v>
      </c>
      <c r="AH34" s="237">
        <v>0</v>
      </c>
      <c r="AI34" s="237">
        <v>0</v>
      </c>
      <c r="AJ34" s="237">
        <v>0</v>
      </c>
      <c r="AK34" s="237">
        <v>0</v>
      </c>
      <c r="AL34" s="237">
        <v>0</v>
      </c>
      <c r="AM34" s="237">
        <v>0</v>
      </c>
      <c r="AN34" s="237">
        <v>0</v>
      </c>
      <c r="AO34" s="237">
        <v>0</v>
      </c>
      <c r="AP34" s="237">
        <v>0</v>
      </c>
      <c r="AQ34" s="237">
        <v>0</v>
      </c>
      <c r="AR34" s="237">
        <v>0</v>
      </c>
      <c r="AS34" s="237"/>
      <c r="AT34" s="237"/>
      <c r="AU34" s="238">
        <f t="shared" si="0"/>
        <v>134084</v>
      </c>
      <c r="AV34" s="239">
        <f t="shared" si="1"/>
        <v>0</v>
      </c>
      <c r="AW34" s="240">
        <f t="shared" si="2"/>
        <v>65820</v>
      </c>
      <c r="AX34" s="241">
        <f t="shared" si="3"/>
        <v>134084</v>
      </c>
    </row>
    <row r="35" spans="2:50" outlineLevel="1" x14ac:dyDescent="0.25">
      <c r="B35" s="243" t="s">
        <v>757</v>
      </c>
      <c r="C35" s="244"/>
      <c r="D35" s="245" t="s">
        <v>808</v>
      </c>
      <c r="E35" s="246"/>
      <c r="F35" s="247"/>
      <c r="G35" s="247"/>
      <c r="H35" s="247"/>
      <c r="I35" s="247"/>
      <c r="J35" s="248"/>
      <c r="K35" s="248"/>
      <c r="L35" s="248" t="s">
        <v>809</v>
      </c>
      <c r="M35" s="248"/>
      <c r="N35" s="249">
        <f t="shared" si="4"/>
        <v>3.55</v>
      </c>
      <c r="O35" s="250">
        <v>3.55</v>
      </c>
      <c r="P35" s="249">
        <f>$P$4</f>
        <v>0</v>
      </c>
      <c r="Q35" s="249" t="s">
        <v>722</v>
      </c>
      <c r="R35" s="251">
        <v>4416.17</v>
      </c>
      <c r="S35" s="251">
        <f>SUM(S34:$AR34)*$N35/100</f>
        <v>4413.7860000000001</v>
      </c>
      <c r="T35" s="251">
        <f>SUM(T34:$AR34)*$N35/100</f>
        <v>4067.59</v>
      </c>
      <c r="U35" s="251">
        <f>SUM(U34:$AR34)*$N35/100</f>
        <v>3721.3939999999998</v>
      </c>
      <c r="V35" s="251">
        <f>SUM(V34:$AR34)*$N35/100</f>
        <v>3375.1979999999999</v>
      </c>
      <c r="W35" s="251">
        <f>SUM(W34:$AR34)*$N35/100</f>
        <v>3029.002</v>
      </c>
      <c r="X35" s="251">
        <f>SUM(X34:$AR34)*$N35/100</f>
        <v>2682.8059999999996</v>
      </c>
      <c r="Y35" s="251">
        <f>SUM(Y34:$AR34)*$N35/100</f>
        <v>2336.61</v>
      </c>
      <c r="Z35" s="251">
        <f>SUM(Z34:$AR34)*$N35/100</f>
        <v>1990.414</v>
      </c>
      <c r="AA35" s="251">
        <f>SUM(AA34:$AR34)*$N35/100</f>
        <v>1644.2179999999998</v>
      </c>
      <c r="AB35" s="251">
        <f>SUM(AB34:$AR34)*$N35/100</f>
        <v>1298.0219999999999</v>
      </c>
      <c r="AC35" s="251">
        <f>SUM(AC34:$AR34)*$N35/100</f>
        <v>951.82599999999991</v>
      </c>
      <c r="AD35" s="251">
        <f>SUM(AD34:$AR34)*$N35/100</f>
        <v>605.63</v>
      </c>
      <c r="AE35" s="251">
        <f>SUM(AE34:$AR34)*$N35/100</f>
        <v>259.43399999999997</v>
      </c>
      <c r="AF35" s="251">
        <v>0</v>
      </c>
      <c r="AG35" s="251">
        <v>0</v>
      </c>
      <c r="AH35" s="251">
        <v>0</v>
      </c>
      <c r="AI35" s="251">
        <v>0</v>
      </c>
      <c r="AJ35" s="251">
        <v>0</v>
      </c>
      <c r="AK35" s="251">
        <v>0</v>
      </c>
      <c r="AL35" s="251">
        <v>0</v>
      </c>
      <c r="AM35" s="251">
        <v>0</v>
      </c>
      <c r="AN35" s="251">
        <v>0</v>
      </c>
      <c r="AO35" s="251">
        <v>0</v>
      </c>
      <c r="AP35" s="251">
        <v>0</v>
      </c>
      <c r="AQ35" s="251">
        <v>0</v>
      </c>
      <c r="AR35" s="251">
        <v>0</v>
      </c>
      <c r="AS35" s="251"/>
      <c r="AT35" s="251"/>
      <c r="AU35" s="252">
        <f t="shared" si="0"/>
        <v>34792.1</v>
      </c>
      <c r="AV35" s="239">
        <f t="shared" si="1"/>
        <v>0</v>
      </c>
      <c r="AW35" s="253">
        <f t="shared" si="2"/>
        <v>9086.1539999999986</v>
      </c>
      <c r="AX35" s="254">
        <f t="shared" si="3"/>
        <v>34792.1</v>
      </c>
    </row>
    <row r="36" spans="2:50" s="228" customFormat="1" outlineLevel="1" collapsed="1" x14ac:dyDescent="0.25">
      <c r="B36" s="229" t="s">
        <v>757</v>
      </c>
      <c r="C36" s="230">
        <v>16</v>
      </c>
      <c r="D36" s="231" t="s">
        <v>810</v>
      </c>
      <c r="E36" s="232" t="s">
        <v>811</v>
      </c>
      <c r="F36" s="233" t="s">
        <v>812</v>
      </c>
      <c r="G36" s="233" t="s">
        <v>813</v>
      </c>
      <c r="H36" s="233" t="s">
        <v>807</v>
      </c>
      <c r="I36" s="233" t="s">
        <v>718</v>
      </c>
      <c r="J36" s="234">
        <v>177076.43</v>
      </c>
      <c r="K36" s="235">
        <v>126500</v>
      </c>
      <c r="L36" s="235"/>
      <c r="M36" s="235"/>
      <c r="N36" s="236"/>
      <c r="O36" s="265"/>
      <c r="P36" s="236"/>
      <c r="Q36" s="236" t="s">
        <v>719</v>
      </c>
      <c r="R36" s="237">
        <v>9200</v>
      </c>
      <c r="S36" s="237">
        <v>9200</v>
      </c>
      <c r="T36" s="237">
        <v>9200</v>
      </c>
      <c r="U36" s="237">
        <v>9200</v>
      </c>
      <c r="V36" s="237">
        <v>9200</v>
      </c>
      <c r="W36" s="237">
        <v>9200</v>
      </c>
      <c r="X36" s="237">
        <v>9200</v>
      </c>
      <c r="Y36" s="237">
        <v>9200</v>
      </c>
      <c r="Z36" s="237">
        <v>9200</v>
      </c>
      <c r="AA36" s="237">
        <v>9200</v>
      </c>
      <c r="AB36" s="237">
        <v>9200</v>
      </c>
      <c r="AC36" s="237">
        <v>9200</v>
      </c>
      <c r="AD36" s="237">
        <v>9200</v>
      </c>
      <c r="AE36" s="237">
        <v>6900</v>
      </c>
      <c r="AF36" s="237">
        <v>0</v>
      </c>
      <c r="AG36" s="237">
        <v>0</v>
      </c>
      <c r="AH36" s="237">
        <v>0</v>
      </c>
      <c r="AI36" s="237">
        <v>0</v>
      </c>
      <c r="AJ36" s="237">
        <v>0</v>
      </c>
      <c r="AK36" s="237">
        <v>0</v>
      </c>
      <c r="AL36" s="237">
        <v>0</v>
      </c>
      <c r="AM36" s="237">
        <v>0</v>
      </c>
      <c r="AN36" s="237">
        <v>0</v>
      </c>
      <c r="AO36" s="237">
        <v>0</v>
      </c>
      <c r="AP36" s="237">
        <v>0</v>
      </c>
      <c r="AQ36" s="237">
        <v>0</v>
      </c>
      <c r="AR36" s="237">
        <v>0</v>
      </c>
      <c r="AS36" s="237"/>
      <c r="AT36" s="237"/>
      <c r="AU36" s="238">
        <f t="shared" si="0"/>
        <v>126500</v>
      </c>
      <c r="AV36" s="239">
        <f t="shared" si="1"/>
        <v>0</v>
      </c>
      <c r="AW36" s="240">
        <f t="shared" si="2"/>
        <v>62100</v>
      </c>
      <c r="AX36" s="241">
        <f t="shared" si="3"/>
        <v>126500</v>
      </c>
    </row>
    <row r="37" spans="2:50" outlineLevel="1" x14ac:dyDescent="0.25">
      <c r="B37" s="243" t="s">
        <v>757</v>
      </c>
      <c r="C37" s="244"/>
      <c r="D37" s="245" t="s">
        <v>814</v>
      </c>
      <c r="E37" s="246"/>
      <c r="F37" s="247"/>
      <c r="G37" s="247"/>
      <c r="H37" s="247"/>
      <c r="I37" s="247"/>
      <c r="J37" s="248"/>
      <c r="K37" s="248"/>
      <c r="L37" s="248" t="s">
        <v>815</v>
      </c>
      <c r="M37" s="248"/>
      <c r="N37" s="249">
        <f t="shared" si="4"/>
        <v>3.5819999999999999</v>
      </c>
      <c r="O37" s="256">
        <v>3.5819999999999999</v>
      </c>
      <c r="P37" s="249">
        <f>$P$4</f>
        <v>0</v>
      </c>
      <c r="Q37" s="249" t="s">
        <v>722</v>
      </c>
      <c r="R37" s="251">
        <f>4180.61+500</f>
        <v>4680.6099999999997</v>
      </c>
      <c r="S37" s="251">
        <f>SUM(S36:$AR36)*$N37/100</f>
        <v>4201.6859999999997</v>
      </c>
      <c r="T37" s="251">
        <f>SUM(T36:$AR36)*$N37/100</f>
        <v>3872.1420000000003</v>
      </c>
      <c r="U37" s="251">
        <f>SUM(U36:$AR36)*$N37/100</f>
        <v>3542.598</v>
      </c>
      <c r="V37" s="251">
        <f>SUM(V36:$AR36)*$N37/100</f>
        <v>3213.0539999999996</v>
      </c>
      <c r="W37" s="251">
        <f>SUM(W36:$AR36)*$N37/100</f>
        <v>2883.51</v>
      </c>
      <c r="X37" s="251">
        <f>SUM(X36:$AR36)*$N37/100</f>
        <v>2553.9659999999999</v>
      </c>
      <c r="Y37" s="251">
        <f>SUM(Y36:$AR36)*$N37/100</f>
        <v>2224.422</v>
      </c>
      <c r="Z37" s="251">
        <f>SUM(Z36:$AR36)*$N37/100</f>
        <v>1894.8779999999999</v>
      </c>
      <c r="AA37" s="251">
        <f>SUM(AA36:$AR36)*$N37/100</f>
        <v>1565.3339999999998</v>
      </c>
      <c r="AB37" s="251">
        <f>SUM(AB36:$AR36)*$N37/100</f>
        <v>1235.79</v>
      </c>
      <c r="AC37" s="251">
        <f>SUM(AC36:$AR36)*$N37/100</f>
        <v>906.24599999999987</v>
      </c>
      <c r="AD37" s="251">
        <f>SUM(AD36:$AR36)*$N37/100</f>
        <v>576.702</v>
      </c>
      <c r="AE37" s="251">
        <f>SUM(AE36:$AR36)*$N37/100</f>
        <v>247.15799999999999</v>
      </c>
      <c r="AF37" s="251">
        <v>0</v>
      </c>
      <c r="AG37" s="251">
        <v>0</v>
      </c>
      <c r="AH37" s="251">
        <v>0</v>
      </c>
      <c r="AI37" s="251">
        <v>0</v>
      </c>
      <c r="AJ37" s="251">
        <v>0</v>
      </c>
      <c r="AK37" s="251">
        <v>0</v>
      </c>
      <c r="AL37" s="251">
        <v>0</v>
      </c>
      <c r="AM37" s="251">
        <v>0</v>
      </c>
      <c r="AN37" s="251">
        <v>0</v>
      </c>
      <c r="AO37" s="251">
        <v>0</v>
      </c>
      <c r="AP37" s="251">
        <v>0</v>
      </c>
      <c r="AQ37" s="251">
        <v>0</v>
      </c>
      <c r="AR37" s="251">
        <v>0</v>
      </c>
      <c r="AS37" s="251"/>
      <c r="AT37" s="251"/>
      <c r="AU37" s="252">
        <f t="shared" si="0"/>
        <v>33598.095999999998</v>
      </c>
      <c r="AV37" s="239">
        <f t="shared" si="1"/>
        <v>0</v>
      </c>
      <c r="AW37" s="253">
        <f t="shared" si="2"/>
        <v>8650.5299999999988</v>
      </c>
      <c r="AX37" s="254">
        <f t="shared" si="3"/>
        <v>33598.095999999998</v>
      </c>
    </row>
    <row r="38" spans="2:50" s="228" customFormat="1" outlineLevel="1" collapsed="1" x14ac:dyDescent="0.25">
      <c r="B38" s="229" t="s">
        <v>712</v>
      </c>
      <c r="C38" s="230">
        <v>17</v>
      </c>
      <c r="D38" s="231" t="s">
        <v>816</v>
      </c>
      <c r="E38" s="232" t="s">
        <v>817</v>
      </c>
      <c r="F38" s="233" t="s">
        <v>818</v>
      </c>
      <c r="G38" s="233" t="s">
        <v>813</v>
      </c>
      <c r="H38" s="233" t="s">
        <v>819</v>
      </c>
      <c r="I38" s="233" t="s">
        <v>718</v>
      </c>
      <c r="J38" s="234">
        <v>1174139.99</v>
      </c>
      <c r="K38" s="235">
        <v>708540</v>
      </c>
      <c r="L38" s="235"/>
      <c r="M38" s="235"/>
      <c r="N38" s="236"/>
      <c r="O38" s="236"/>
      <c r="P38" s="236"/>
      <c r="Q38" s="236" t="s">
        <v>719</v>
      </c>
      <c r="R38" s="237">
        <v>80976</v>
      </c>
      <c r="S38" s="237">
        <v>80976</v>
      </c>
      <c r="T38" s="237">
        <v>80976</v>
      </c>
      <c r="U38" s="237">
        <v>80976</v>
      </c>
      <c r="V38" s="237">
        <v>80976</v>
      </c>
      <c r="W38" s="237">
        <v>80976</v>
      </c>
      <c r="X38" s="237">
        <v>80976</v>
      </c>
      <c r="Y38" s="237">
        <v>80976</v>
      </c>
      <c r="Z38" s="237">
        <v>60731.990000000005</v>
      </c>
      <c r="AA38" s="237">
        <v>0</v>
      </c>
      <c r="AB38" s="237">
        <v>0</v>
      </c>
      <c r="AC38" s="237">
        <v>0</v>
      </c>
      <c r="AD38" s="237">
        <v>0</v>
      </c>
      <c r="AE38" s="237">
        <v>0</v>
      </c>
      <c r="AF38" s="237">
        <v>0</v>
      </c>
      <c r="AG38" s="237">
        <v>0</v>
      </c>
      <c r="AH38" s="237">
        <v>0</v>
      </c>
      <c r="AI38" s="237">
        <v>0</v>
      </c>
      <c r="AJ38" s="237">
        <v>0</v>
      </c>
      <c r="AK38" s="237">
        <v>0</v>
      </c>
      <c r="AL38" s="237">
        <v>0</v>
      </c>
      <c r="AM38" s="237">
        <v>0</v>
      </c>
      <c r="AN38" s="237">
        <v>0</v>
      </c>
      <c r="AO38" s="237">
        <v>0</v>
      </c>
      <c r="AP38" s="237">
        <v>0</v>
      </c>
      <c r="AQ38" s="237">
        <v>0</v>
      </c>
      <c r="AR38" s="237">
        <v>0</v>
      </c>
      <c r="AS38" s="237"/>
      <c r="AT38" s="237"/>
      <c r="AU38" s="238">
        <f t="shared" si="0"/>
        <v>708539.99</v>
      </c>
      <c r="AV38" s="239">
        <f t="shared" si="1"/>
        <v>0</v>
      </c>
      <c r="AW38" s="240">
        <f t="shared" si="2"/>
        <v>141707.99</v>
      </c>
      <c r="AX38" s="241">
        <f t="shared" si="3"/>
        <v>708539.99</v>
      </c>
    </row>
    <row r="39" spans="2:50" outlineLevel="1" x14ac:dyDescent="0.25">
      <c r="B39" s="243" t="s">
        <v>712</v>
      </c>
      <c r="C39" s="244"/>
      <c r="D39" s="245"/>
      <c r="E39" s="246"/>
      <c r="F39" s="247"/>
      <c r="G39" s="247"/>
      <c r="H39" s="247"/>
      <c r="I39" s="247"/>
      <c r="J39" s="248"/>
      <c r="K39" s="248"/>
      <c r="L39" s="248" t="s">
        <v>820</v>
      </c>
      <c r="M39" s="248"/>
      <c r="N39" s="249">
        <f t="shared" si="4"/>
        <v>3.5819999999999999</v>
      </c>
      <c r="O39" s="256">
        <v>3.5819999999999999</v>
      </c>
      <c r="P39" s="249">
        <f>$P$4</f>
        <v>0</v>
      </c>
      <c r="Q39" s="249" t="s">
        <v>722</v>
      </c>
      <c r="R39" s="251">
        <v>23280.369999999995</v>
      </c>
      <c r="S39" s="251">
        <f>SUM(S38:$AR38)*$N39/100</f>
        <v>22479.342121799997</v>
      </c>
      <c r="T39" s="251">
        <f>SUM(T38:$AR38)*$N39/100</f>
        <v>19578.7818018</v>
      </c>
      <c r="U39" s="251">
        <f>SUM(U38:$AR38)*$N39/100</f>
        <v>16678.221481799999</v>
      </c>
      <c r="V39" s="251">
        <f>SUM(V38:$AR38)*$N39/100</f>
        <v>13777.661161799999</v>
      </c>
      <c r="W39" s="251">
        <f>SUM(W38:$AR38)*$N39/100</f>
        <v>10877.1008418</v>
      </c>
      <c r="X39" s="251">
        <f>SUM(X38:$AR38)*$N39/100</f>
        <v>7976.5405217999987</v>
      </c>
      <c r="Y39" s="251">
        <f>SUM(Y38:$AR38)*$N39/100</f>
        <v>5075.9802017999991</v>
      </c>
      <c r="Z39" s="251">
        <f>SUM(Z38:$AR38)*$N39/100</f>
        <v>2175.4198818</v>
      </c>
      <c r="AA39" s="251">
        <v>0</v>
      </c>
      <c r="AB39" s="251">
        <v>0</v>
      </c>
      <c r="AC39" s="251">
        <v>0</v>
      </c>
      <c r="AD39" s="251">
        <v>0</v>
      </c>
      <c r="AE39" s="251">
        <v>0</v>
      </c>
      <c r="AF39" s="251">
        <v>0</v>
      </c>
      <c r="AG39" s="251">
        <v>0</v>
      </c>
      <c r="AH39" s="251">
        <v>0</v>
      </c>
      <c r="AI39" s="251">
        <v>0</v>
      </c>
      <c r="AJ39" s="251">
        <v>0</v>
      </c>
      <c r="AK39" s="251">
        <v>0</v>
      </c>
      <c r="AL39" s="251">
        <v>0</v>
      </c>
      <c r="AM39" s="251">
        <v>0</v>
      </c>
      <c r="AN39" s="251">
        <v>0</v>
      </c>
      <c r="AO39" s="251">
        <v>0</v>
      </c>
      <c r="AP39" s="251">
        <v>0</v>
      </c>
      <c r="AQ39" s="251">
        <v>0</v>
      </c>
      <c r="AR39" s="251">
        <v>0</v>
      </c>
      <c r="AS39" s="251"/>
      <c r="AT39" s="251"/>
      <c r="AU39" s="252">
        <f t="shared" si="0"/>
        <v>121899.4180144</v>
      </c>
      <c r="AV39" s="239">
        <f t="shared" si="1"/>
        <v>0</v>
      </c>
      <c r="AW39" s="253">
        <f t="shared" si="2"/>
        <v>7251.4000835999996</v>
      </c>
      <c r="AX39" s="254">
        <f t="shared" si="3"/>
        <v>121899.4180144</v>
      </c>
    </row>
    <row r="40" spans="2:50" s="228" customFormat="1" outlineLevel="1" collapsed="1" x14ac:dyDescent="0.25">
      <c r="B40" s="229" t="s">
        <v>712</v>
      </c>
      <c r="C40" s="230">
        <v>18</v>
      </c>
      <c r="D40" s="231" t="s">
        <v>821</v>
      </c>
      <c r="E40" s="232" t="s">
        <v>822</v>
      </c>
      <c r="F40" s="233" t="s">
        <v>823</v>
      </c>
      <c r="G40" s="233" t="s">
        <v>824</v>
      </c>
      <c r="H40" s="233" t="s">
        <v>825</v>
      </c>
      <c r="I40" s="233" t="s">
        <v>718</v>
      </c>
      <c r="J40" s="234">
        <v>388132.51</v>
      </c>
      <c r="K40" s="235">
        <v>146130</v>
      </c>
      <c r="L40" s="235"/>
      <c r="M40" s="235"/>
      <c r="N40" s="236"/>
      <c r="O40" s="236"/>
      <c r="P40" s="236"/>
      <c r="Q40" s="236" t="s">
        <v>719</v>
      </c>
      <c r="R40" s="237">
        <v>38968</v>
      </c>
      <c r="S40" s="237">
        <v>38968</v>
      </c>
      <c r="T40" s="237">
        <v>38968</v>
      </c>
      <c r="U40" s="237">
        <v>29226</v>
      </c>
      <c r="V40" s="237">
        <v>0</v>
      </c>
      <c r="W40" s="237">
        <v>0</v>
      </c>
      <c r="X40" s="237">
        <v>0</v>
      </c>
      <c r="Y40" s="237">
        <v>0</v>
      </c>
      <c r="Z40" s="237">
        <v>0</v>
      </c>
      <c r="AA40" s="237">
        <v>0</v>
      </c>
      <c r="AB40" s="237">
        <v>0</v>
      </c>
      <c r="AC40" s="237">
        <v>0</v>
      </c>
      <c r="AD40" s="237">
        <v>0</v>
      </c>
      <c r="AE40" s="237">
        <v>0</v>
      </c>
      <c r="AF40" s="237">
        <v>0</v>
      </c>
      <c r="AG40" s="237">
        <v>0</v>
      </c>
      <c r="AH40" s="237">
        <v>0</v>
      </c>
      <c r="AI40" s="237">
        <v>0</v>
      </c>
      <c r="AJ40" s="237">
        <v>0</v>
      </c>
      <c r="AK40" s="237">
        <v>0</v>
      </c>
      <c r="AL40" s="237">
        <v>0</v>
      </c>
      <c r="AM40" s="237">
        <v>0</v>
      </c>
      <c r="AN40" s="237">
        <v>0</v>
      </c>
      <c r="AO40" s="237">
        <v>0</v>
      </c>
      <c r="AP40" s="237">
        <v>0</v>
      </c>
      <c r="AQ40" s="237">
        <v>0</v>
      </c>
      <c r="AR40" s="237">
        <v>0</v>
      </c>
      <c r="AS40" s="237"/>
      <c r="AT40" s="237"/>
      <c r="AU40" s="238">
        <f t="shared" si="0"/>
        <v>146130</v>
      </c>
      <c r="AV40" s="239">
        <f t="shared" si="1"/>
        <v>0</v>
      </c>
      <c r="AW40" s="240">
        <f t="shared" si="2"/>
        <v>0</v>
      </c>
      <c r="AX40" s="241">
        <f t="shared" si="3"/>
        <v>146130</v>
      </c>
    </row>
    <row r="41" spans="2:50" outlineLevel="1" x14ac:dyDescent="0.25">
      <c r="B41" s="243" t="s">
        <v>712</v>
      </c>
      <c r="C41" s="244"/>
      <c r="D41" s="245"/>
      <c r="E41" s="246"/>
      <c r="F41" s="247"/>
      <c r="G41" s="247"/>
      <c r="H41" s="247"/>
      <c r="I41" s="247"/>
      <c r="J41" s="248"/>
      <c r="K41" s="248"/>
      <c r="L41" s="248" t="s">
        <v>826</v>
      </c>
      <c r="M41" s="248"/>
      <c r="N41" s="249">
        <f t="shared" si="4"/>
        <v>3.2730000000000001</v>
      </c>
      <c r="O41" s="256">
        <v>3.2730000000000001</v>
      </c>
      <c r="P41" s="249">
        <f>$P$4</f>
        <v>0</v>
      </c>
      <c r="Q41" s="249" t="s">
        <v>722</v>
      </c>
      <c r="R41" s="251">
        <v>4303.3499999999995</v>
      </c>
      <c r="S41" s="251">
        <f>SUM(S40:$AR40)*$N41/100</f>
        <v>3507.4122600000001</v>
      </c>
      <c r="T41" s="251">
        <f>SUM(T40:$AR40)*$N41/100</f>
        <v>2231.9896199999998</v>
      </c>
      <c r="U41" s="251">
        <f>SUM(U40:$AR40)*$N41/100</f>
        <v>956.56698000000006</v>
      </c>
      <c r="V41" s="251">
        <v>0</v>
      </c>
      <c r="W41" s="251">
        <v>0</v>
      </c>
      <c r="X41" s="251">
        <v>0</v>
      </c>
      <c r="Y41" s="251">
        <v>0</v>
      </c>
      <c r="Z41" s="251">
        <v>0</v>
      </c>
      <c r="AA41" s="251">
        <v>0</v>
      </c>
      <c r="AB41" s="251">
        <v>0</v>
      </c>
      <c r="AC41" s="251">
        <v>0</v>
      </c>
      <c r="AD41" s="251">
        <v>0</v>
      </c>
      <c r="AE41" s="251">
        <v>0</v>
      </c>
      <c r="AF41" s="251">
        <v>0</v>
      </c>
      <c r="AG41" s="251">
        <v>0</v>
      </c>
      <c r="AH41" s="251">
        <v>0</v>
      </c>
      <c r="AI41" s="251">
        <v>0</v>
      </c>
      <c r="AJ41" s="251">
        <v>0</v>
      </c>
      <c r="AK41" s="251">
        <v>0</v>
      </c>
      <c r="AL41" s="251">
        <v>0</v>
      </c>
      <c r="AM41" s="251">
        <v>0</v>
      </c>
      <c r="AN41" s="251">
        <v>0</v>
      </c>
      <c r="AO41" s="251">
        <v>0</v>
      </c>
      <c r="AP41" s="251">
        <v>0</v>
      </c>
      <c r="AQ41" s="251">
        <v>0</v>
      </c>
      <c r="AR41" s="251">
        <v>0</v>
      </c>
      <c r="AS41" s="251"/>
      <c r="AT41" s="251"/>
      <c r="AU41" s="252">
        <f t="shared" si="0"/>
        <v>10999.318859999999</v>
      </c>
      <c r="AV41" s="239">
        <f t="shared" si="1"/>
        <v>0</v>
      </c>
      <c r="AW41" s="253">
        <f t="shared" si="2"/>
        <v>0</v>
      </c>
      <c r="AX41" s="254">
        <f t="shared" si="3"/>
        <v>10999.318859999999</v>
      </c>
    </row>
    <row r="42" spans="2:50" s="228" customFormat="1" outlineLevel="1" x14ac:dyDescent="0.25">
      <c r="B42" s="229" t="s">
        <v>757</v>
      </c>
      <c r="C42" s="230">
        <v>19</v>
      </c>
      <c r="D42" s="231" t="s">
        <v>765</v>
      </c>
      <c r="E42" s="232" t="s">
        <v>827</v>
      </c>
      <c r="F42" s="233" t="s">
        <v>828</v>
      </c>
      <c r="G42" s="233" t="s">
        <v>829</v>
      </c>
      <c r="H42" s="233" t="s">
        <v>830</v>
      </c>
      <c r="I42" s="233" t="s">
        <v>718</v>
      </c>
      <c r="J42" s="234">
        <v>160577.24</v>
      </c>
      <c r="K42" s="235">
        <v>115304</v>
      </c>
      <c r="L42" s="235"/>
      <c r="M42" s="235"/>
      <c r="N42" s="236"/>
      <c r="O42" s="236"/>
      <c r="P42" s="236"/>
      <c r="Q42" s="236" t="s">
        <v>719</v>
      </c>
      <c r="R42" s="237">
        <v>8236</v>
      </c>
      <c r="S42" s="237">
        <v>8236</v>
      </c>
      <c r="T42" s="237">
        <v>8236</v>
      </c>
      <c r="U42" s="237">
        <v>8236</v>
      </c>
      <c r="V42" s="237">
        <v>8236</v>
      </c>
      <c r="W42" s="237">
        <v>8236</v>
      </c>
      <c r="X42" s="237">
        <v>8236</v>
      </c>
      <c r="Y42" s="237">
        <v>8236</v>
      </c>
      <c r="Z42" s="237">
        <v>8236</v>
      </c>
      <c r="AA42" s="237">
        <v>8236</v>
      </c>
      <c r="AB42" s="237">
        <v>8236</v>
      </c>
      <c r="AC42" s="237">
        <v>8236</v>
      </c>
      <c r="AD42" s="237">
        <v>8236</v>
      </c>
      <c r="AE42" s="237">
        <v>8236</v>
      </c>
      <c r="AF42" s="237">
        <v>0</v>
      </c>
      <c r="AG42" s="237">
        <v>0</v>
      </c>
      <c r="AH42" s="237">
        <v>0</v>
      </c>
      <c r="AI42" s="237">
        <v>0</v>
      </c>
      <c r="AJ42" s="237">
        <v>0</v>
      </c>
      <c r="AK42" s="237">
        <v>0</v>
      </c>
      <c r="AL42" s="237">
        <v>0</v>
      </c>
      <c r="AM42" s="237">
        <v>0</v>
      </c>
      <c r="AN42" s="237">
        <v>0</v>
      </c>
      <c r="AO42" s="237">
        <v>0</v>
      </c>
      <c r="AP42" s="237">
        <v>0</v>
      </c>
      <c r="AQ42" s="237">
        <v>0</v>
      </c>
      <c r="AR42" s="237">
        <v>0</v>
      </c>
      <c r="AS42" s="237"/>
      <c r="AT42" s="237"/>
      <c r="AU42" s="238">
        <f t="shared" si="0"/>
        <v>115304</v>
      </c>
      <c r="AV42" s="239">
        <f t="shared" si="1"/>
        <v>0</v>
      </c>
      <c r="AW42" s="240">
        <f t="shared" si="2"/>
        <v>57652</v>
      </c>
      <c r="AX42" s="241">
        <f t="shared" si="3"/>
        <v>115304</v>
      </c>
    </row>
    <row r="43" spans="2:50" outlineLevel="1" x14ac:dyDescent="0.25">
      <c r="B43" s="243" t="s">
        <v>757</v>
      </c>
      <c r="C43" s="244"/>
      <c r="D43" s="245" t="s">
        <v>831</v>
      </c>
      <c r="E43" s="246"/>
      <c r="F43" s="247"/>
      <c r="G43" s="247"/>
      <c r="H43" s="247"/>
      <c r="I43" s="247"/>
      <c r="J43" s="248"/>
      <c r="K43" s="248"/>
      <c r="L43" s="248" t="s">
        <v>832</v>
      </c>
      <c r="M43" s="248"/>
      <c r="N43" s="249">
        <f t="shared" si="4"/>
        <v>3.077</v>
      </c>
      <c r="O43" s="256">
        <v>3.077</v>
      </c>
      <c r="P43" s="249">
        <f>$P$4</f>
        <v>0</v>
      </c>
      <c r="Q43" s="249" t="s">
        <v>722</v>
      </c>
      <c r="R43" s="251">
        <v>3432.35</v>
      </c>
      <c r="S43" s="251">
        <f>SUM(S42:$AR42)*$N43/100</f>
        <v>3294.48236</v>
      </c>
      <c r="T43" s="251">
        <f>SUM(T42:$AR42)*$N43/100</f>
        <v>3041.0606400000001</v>
      </c>
      <c r="U43" s="251">
        <f>SUM(U42:$AR42)*$N43/100</f>
        <v>2787.6389199999999</v>
      </c>
      <c r="V43" s="251">
        <f>SUM(V42:$AR42)*$N43/100</f>
        <v>2534.2172</v>
      </c>
      <c r="W43" s="251">
        <f>SUM(W42:$AR42)*$N43/100</f>
        <v>2280.7954800000002</v>
      </c>
      <c r="X43" s="251">
        <f>SUM(X42:$AR42)*$N43/100</f>
        <v>2027.3737599999999</v>
      </c>
      <c r="Y43" s="251">
        <f>SUM(Y42:$AR42)*$N43/100</f>
        <v>1773.9520399999999</v>
      </c>
      <c r="Z43" s="251">
        <f>SUM(Z42:$AR42)*$N43/100</f>
        <v>1520.5303200000001</v>
      </c>
      <c r="AA43" s="251">
        <f>SUM(AA42:$AR42)*$N43/100</f>
        <v>1267.1086</v>
      </c>
      <c r="AB43" s="251">
        <f>SUM(AB42:$AR42)*$N43/100</f>
        <v>1013.68688</v>
      </c>
      <c r="AC43" s="251">
        <f>SUM(AC42:$AR42)*$N43/100</f>
        <v>760.26516000000004</v>
      </c>
      <c r="AD43" s="251">
        <f>SUM(AD42:$AR42)*$N43/100</f>
        <v>506.84343999999999</v>
      </c>
      <c r="AE43" s="251">
        <f>SUM(AE42:$AR42)*$N43/100</f>
        <v>253.42171999999999</v>
      </c>
      <c r="AF43" s="251">
        <v>0</v>
      </c>
      <c r="AG43" s="251">
        <v>0</v>
      </c>
      <c r="AH43" s="251">
        <v>0</v>
      </c>
      <c r="AI43" s="251">
        <v>0</v>
      </c>
      <c r="AJ43" s="251">
        <v>0</v>
      </c>
      <c r="AK43" s="251">
        <v>0</v>
      </c>
      <c r="AL43" s="251">
        <v>0</v>
      </c>
      <c r="AM43" s="251">
        <v>0</v>
      </c>
      <c r="AN43" s="251">
        <v>0</v>
      </c>
      <c r="AO43" s="251">
        <v>0</v>
      </c>
      <c r="AP43" s="251">
        <v>0</v>
      </c>
      <c r="AQ43" s="251">
        <v>0</v>
      </c>
      <c r="AR43" s="251">
        <v>0</v>
      </c>
      <c r="AS43" s="251"/>
      <c r="AT43" s="251"/>
      <c r="AU43" s="252">
        <f t="shared" si="0"/>
        <v>26493.72652</v>
      </c>
      <c r="AV43" s="239">
        <f t="shared" si="1"/>
        <v>0</v>
      </c>
      <c r="AW43" s="253">
        <f t="shared" si="2"/>
        <v>7095.8081599999996</v>
      </c>
      <c r="AX43" s="254">
        <f t="shared" si="3"/>
        <v>26493.72652</v>
      </c>
    </row>
    <row r="44" spans="2:50" s="228" customFormat="1" outlineLevel="1" x14ac:dyDescent="0.25">
      <c r="B44" s="229" t="s">
        <v>757</v>
      </c>
      <c r="C44" s="230">
        <v>20</v>
      </c>
      <c r="D44" s="231" t="s">
        <v>833</v>
      </c>
      <c r="E44" s="232" t="s">
        <v>834</v>
      </c>
      <c r="F44" s="233" t="s">
        <v>835</v>
      </c>
      <c r="G44" s="233" t="s">
        <v>836</v>
      </c>
      <c r="H44" s="233" t="s">
        <v>837</v>
      </c>
      <c r="I44" s="233" t="s">
        <v>718</v>
      </c>
      <c r="J44" s="234">
        <v>131127</v>
      </c>
      <c r="K44" s="235">
        <v>94192</v>
      </c>
      <c r="L44" s="235"/>
      <c r="M44" s="235"/>
      <c r="N44" s="236"/>
      <c r="O44" s="236"/>
      <c r="P44" s="236"/>
      <c r="Q44" s="236" t="s">
        <v>719</v>
      </c>
      <c r="R44" s="237">
        <v>6728</v>
      </c>
      <c r="S44" s="237">
        <v>6728</v>
      </c>
      <c r="T44" s="237">
        <v>6728</v>
      </c>
      <c r="U44" s="237">
        <v>6728</v>
      </c>
      <c r="V44" s="237">
        <v>6728</v>
      </c>
      <c r="W44" s="237">
        <v>6728</v>
      </c>
      <c r="X44" s="237">
        <v>6728</v>
      </c>
      <c r="Y44" s="237">
        <v>6728</v>
      </c>
      <c r="Z44" s="237">
        <v>6728</v>
      </c>
      <c r="AA44" s="237">
        <v>6728</v>
      </c>
      <c r="AB44" s="237">
        <v>6728</v>
      </c>
      <c r="AC44" s="237">
        <v>6728</v>
      </c>
      <c r="AD44" s="237">
        <v>6728</v>
      </c>
      <c r="AE44" s="237">
        <v>6728</v>
      </c>
      <c r="AF44" s="237">
        <v>0</v>
      </c>
      <c r="AG44" s="237">
        <v>0</v>
      </c>
      <c r="AH44" s="237">
        <v>0</v>
      </c>
      <c r="AI44" s="237">
        <v>0</v>
      </c>
      <c r="AJ44" s="237">
        <v>0</v>
      </c>
      <c r="AK44" s="237">
        <v>0</v>
      </c>
      <c r="AL44" s="237">
        <v>0</v>
      </c>
      <c r="AM44" s="237">
        <v>0</v>
      </c>
      <c r="AN44" s="237">
        <v>0</v>
      </c>
      <c r="AO44" s="237">
        <v>0</v>
      </c>
      <c r="AP44" s="237">
        <v>0</v>
      </c>
      <c r="AQ44" s="237">
        <v>0</v>
      </c>
      <c r="AR44" s="237">
        <v>0</v>
      </c>
      <c r="AS44" s="237"/>
      <c r="AT44" s="237"/>
      <c r="AU44" s="238">
        <f t="shared" si="0"/>
        <v>94192</v>
      </c>
      <c r="AV44" s="239">
        <f t="shared" si="1"/>
        <v>0</v>
      </c>
      <c r="AW44" s="240">
        <f t="shared" si="2"/>
        <v>47096</v>
      </c>
      <c r="AX44" s="241">
        <f t="shared" si="3"/>
        <v>94192</v>
      </c>
    </row>
    <row r="45" spans="2:50" outlineLevel="1" x14ac:dyDescent="0.25">
      <c r="B45" s="243" t="s">
        <v>757</v>
      </c>
      <c r="C45" s="244"/>
      <c r="D45" s="245" t="s">
        <v>838</v>
      </c>
      <c r="E45" s="246"/>
      <c r="F45" s="247"/>
      <c r="G45" s="247"/>
      <c r="H45" s="247"/>
      <c r="I45" s="247"/>
      <c r="J45" s="248"/>
      <c r="K45" s="248"/>
      <c r="L45" s="248" t="s">
        <v>839</v>
      </c>
      <c r="M45" s="248"/>
      <c r="N45" s="249">
        <f t="shared" si="4"/>
        <v>3.077</v>
      </c>
      <c r="O45" s="256">
        <v>3.077</v>
      </c>
      <c r="P45" s="249">
        <f>$P$4</f>
        <v>0</v>
      </c>
      <c r="Q45" s="249" t="s">
        <v>722</v>
      </c>
      <c r="R45" s="251">
        <v>2825.9</v>
      </c>
      <c r="S45" s="251">
        <f>SUM(S44:$AR44)*$N45/100</f>
        <v>2691.26728</v>
      </c>
      <c r="T45" s="251">
        <f>SUM(T44:$AR44)*$N45/100</f>
        <v>2484.2467200000001</v>
      </c>
      <c r="U45" s="251">
        <f>SUM(U44:$AR44)*$N45/100</f>
        <v>2277.2261600000002</v>
      </c>
      <c r="V45" s="251">
        <f>SUM(V44:$AR44)*$N45/100</f>
        <v>2070.2055999999998</v>
      </c>
      <c r="W45" s="251">
        <f>SUM(W44:$AR44)*$N45/100</f>
        <v>1863.1850399999998</v>
      </c>
      <c r="X45" s="251">
        <f>SUM(X44:$AR44)*$N45/100</f>
        <v>1656.1644800000001</v>
      </c>
      <c r="Y45" s="251">
        <f>SUM(Y44:$AR44)*$N45/100</f>
        <v>1449.14392</v>
      </c>
      <c r="Z45" s="251">
        <f>SUM(Z44:$AR44)*$N45/100</f>
        <v>1242.12336</v>
      </c>
      <c r="AA45" s="251">
        <f>SUM(AA44:$AR44)*$N45/100</f>
        <v>1035.1027999999999</v>
      </c>
      <c r="AB45" s="251">
        <f>SUM(AB44:$AR44)*$N45/100</f>
        <v>828.08224000000007</v>
      </c>
      <c r="AC45" s="251">
        <f>SUM(AC44:$AR44)*$N45/100</f>
        <v>621.06168000000002</v>
      </c>
      <c r="AD45" s="251">
        <f>SUM(AD44:$AR44)*$N45/100</f>
        <v>414.04112000000003</v>
      </c>
      <c r="AE45" s="251">
        <f>SUM(AE44:$AR44)*$N45/100</f>
        <v>207.02056000000002</v>
      </c>
      <c r="AF45" s="251">
        <v>0</v>
      </c>
      <c r="AG45" s="251">
        <v>0</v>
      </c>
      <c r="AH45" s="251">
        <v>0</v>
      </c>
      <c r="AI45" s="251">
        <v>0</v>
      </c>
      <c r="AJ45" s="251">
        <v>0</v>
      </c>
      <c r="AK45" s="251">
        <v>0</v>
      </c>
      <c r="AL45" s="251">
        <v>0</v>
      </c>
      <c r="AM45" s="251">
        <v>0</v>
      </c>
      <c r="AN45" s="251">
        <v>0</v>
      </c>
      <c r="AO45" s="251">
        <v>0</v>
      </c>
      <c r="AP45" s="251">
        <v>0</v>
      </c>
      <c r="AQ45" s="251">
        <v>0</v>
      </c>
      <c r="AR45" s="251">
        <v>0</v>
      </c>
      <c r="AS45" s="251"/>
      <c r="AT45" s="251"/>
      <c r="AU45" s="252">
        <f t="shared" si="0"/>
        <v>21664.770960000002</v>
      </c>
      <c r="AV45" s="239">
        <f t="shared" si="1"/>
        <v>0</v>
      </c>
      <c r="AW45" s="253">
        <f t="shared" si="2"/>
        <v>5796.575679999999</v>
      </c>
      <c r="AX45" s="254">
        <f t="shared" si="3"/>
        <v>21664.770959999998</v>
      </c>
    </row>
    <row r="46" spans="2:50" s="228" customFormat="1" outlineLevel="1" x14ac:dyDescent="0.25">
      <c r="B46" s="229" t="s">
        <v>757</v>
      </c>
      <c r="C46" s="230">
        <v>21</v>
      </c>
      <c r="D46" s="231" t="s">
        <v>840</v>
      </c>
      <c r="E46" s="232" t="s">
        <v>841</v>
      </c>
      <c r="F46" s="233" t="s">
        <v>842</v>
      </c>
      <c r="G46" s="233" t="s">
        <v>843</v>
      </c>
      <c r="H46" s="233" t="s">
        <v>844</v>
      </c>
      <c r="I46" s="233" t="s">
        <v>718</v>
      </c>
      <c r="J46" s="234">
        <v>5678344.2000000002</v>
      </c>
      <c r="K46" s="235">
        <v>2636868</v>
      </c>
      <c r="L46" s="235"/>
      <c r="M46" s="235"/>
      <c r="N46" s="236"/>
      <c r="O46" s="236"/>
      <c r="P46" s="236"/>
      <c r="Q46" s="236" t="s">
        <v>719</v>
      </c>
      <c r="R46" s="237">
        <v>363420</v>
      </c>
      <c r="S46" s="237">
        <v>344336</v>
      </c>
      <c r="T46" s="237">
        <v>314856</v>
      </c>
      <c r="U46" s="237">
        <v>305080</v>
      </c>
      <c r="V46" s="237">
        <v>279984</v>
      </c>
      <c r="W46" s="237">
        <v>252100</v>
      </c>
      <c r="X46" s="237">
        <v>243352</v>
      </c>
      <c r="Y46" s="237">
        <v>243352</v>
      </c>
      <c r="Z46" s="237">
        <v>243352</v>
      </c>
      <c r="AA46" s="237">
        <v>33356</v>
      </c>
      <c r="AB46" s="237">
        <v>13680</v>
      </c>
      <c r="AC46" s="237">
        <v>0</v>
      </c>
      <c r="AD46" s="237">
        <v>0</v>
      </c>
      <c r="AE46" s="237">
        <v>0</v>
      </c>
      <c r="AF46" s="237">
        <v>0</v>
      </c>
      <c r="AG46" s="237">
        <v>0</v>
      </c>
      <c r="AH46" s="237">
        <v>0</v>
      </c>
      <c r="AI46" s="237">
        <v>0</v>
      </c>
      <c r="AJ46" s="237">
        <v>0</v>
      </c>
      <c r="AK46" s="237">
        <v>0</v>
      </c>
      <c r="AL46" s="237">
        <v>0</v>
      </c>
      <c r="AM46" s="237">
        <v>0</v>
      </c>
      <c r="AN46" s="237">
        <v>0</v>
      </c>
      <c r="AO46" s="237">
        <v>0</v>
      </c>
      <c r="AP46" s="237">
        <v>0</v>
      </c>
      <c r="AQ46" s="237">
        <v>0</v>
      </c>
      <c r="AR46" s="237">
        <v>0</v>
      </c>
      <c r="AS46" s="237"/>
      <c r="AT46" s="237"/>
      <c r="AU46" s="238">
        <f t="shared" si="0"/>
        <v>2636868</v>
      </c>
      <c r="AV46" s="239">
        <f t="shared" si="1"/>
        <v>0</v>
      </c>
      <c r="AW46" s="240">
        <f t="shared" si="2"/>
        <v>533740</v>
      </c>
      <c r="AX46" s="241">
        <f t="shared" si="3"/>
        <v>2636868</v>
      </c>
    </row>
    <row r="47" spans="2:50" outlineLevel="1" x14ac:dyDescent="0.25">
      <c r="B47" s="243" t="s">
        <v>757</v>
      </c>
      <c r="C47" s="244"/>
      <c r="D47" s="245" t="s">
        <v>845</v>
      </c>
      <c r="E47" s="246"/>
      <c r="F47" s="247"/>
      <c r="G47" s="247"/>
      <c r="H47" s="247"/>
      <c r="I47" s="247"/>
      <c r="J47" s="248"/>
      <c r="K47" s="248"/>
      <c r="L47" s="248" t="s">
        <v>846</v>
      </c>
      <c r="M47" s="248"/>
      <c r="N47" s="249">
        <f t="shared" si="4"/>
        <v>3.55</v>
      </c>
      <c r="O47" s="250">
        <v>3.55</v>
      </c>
      <c r="P47" s="249">
        <f>$P$4</f>
        <v>0</v>
      </c>
      <c r="Q47" s="249" t="s">
        <v>722</v>
      </c>
      <c r="R47" s="251">
        <v>82456.03</v>
      </c>
      <c r="S47" s="251">
        <f>SUM(S46:$AR46)*$N47/100</f>
        <v>80707.403999999995</v>
      </c>
      <c r="T47" s="251">
        <f>SUM(T46:$AR46)*$N47/100</f>
        <v>68483.475999999995</v>
      </c>
      <c r="U47" s="251">
        <f>SUM(U46:$AR46)*$N47/100</f>
        <v>57306.087999999996</v>
      </c>
      <c r="V47" s="251">
        <f>SUM(V46:$AR46)*$N47/100</f>
        <v>46475.748</v>
      </c>
      <c r="W47" s="251">
        <f>SUM(W46:$AR46)*$N47/100</f>
        <v>36536.315999999999</v>
      </c>
      <c r="X47" s="251">
        <f>SUM(X46:$AR46)*$N47/100</f>
        <v>27586.766</v>
      </c>
      <c r="Y47" s="251">
        <f>SUM(Y46:$AR46)*$N47/100</f>
        <v>18947.77</v>
      </c>
      <c r="Z47" s="251">
        <f>SUM(Z46:$AR46)*$N47/100</f>
        <v>10308.773999999999</v>
      </c>
      <c r="AA47" s="251">
        <f>SUM(AA46:$AR46)*$N47/100</f>
        <v>1669.7779999999998</v>
      </c>
      <c r="AB47" s="251">
        <f>SUM(AB46:$AR46)*$N47/100</f>
        <v>485.64</v>
      </c>
      <c r="AC47" s="251">
        <v>0</v>
      </c>
      <c r="AD47" s="251">
        <v>0</v>
      </c>
      <c r="AE47" s="251">
        <v>0</v>
      </c>
      <c r="AF47" s="251">
        <v>0</v>
      </c>
      <c r="AG47" s="251">
        <v>0</v>
      </c>
      <c r="AH47" s="251">
        <v>0</v>
      </c>
      <c r="AI47" s="251">
        <v>0</v>
      </c>
      <c r="AJ47" s="251">
        <v>0</v>
      </c>
      <c r="AK47" s="251">
        <v>0</v>
      </c>
      <c r="AL47" s="251">
        <v>0</v>
      </c>
      <c r="AM47" s="251">
        <v>0</v>
      </c>
      <c r="AN47" s="251">
        <v>0</v>
      </c>
      <c r="AO47" s="251">
        <v>0</v>
      </c>
      <c r="AP47" s="251">
        <v>0</v>
      </c>
      <c r="AQ47" s="251">
        <v>0</v>
      </c>
      <c r="AR47" s="251">
        <v>0</v>
      </c>
      <c r="AS47" s="251"/>
      <c r="AT47" s="251"/>
      <c r="AU47" s="252">
        <f t="shared" si="0"/>
        <v>430963.79000000004</v>
      </c>
      <c r="AV47" s="239">
        <f t="shared" si="1"/>
        <v>0</v>
      </c>
      <c r="AW47" s="253">
        <f t="shared" si="2"/>
        <v>31411.962</v>
      </c>
      <c r="AX47" s="254">
        <f t="shared" si="3"/>
        <v>430963.79000000004</v>
      </c>
    </row>
    <row r="48" spans="2:50" s="228" customFormat="1" outlineLevel="1" x14ac:dyDescent="0.25">
      <c r="B48" s="229" t="s">
        <v>757</v>
      </c>
      <c r="C48" s="230">
        <v>22</v>
      </c>
      <c r="D48" s="231" t="s">
        <v>847</v>
      </c>
      <c r="E48" s="232" t="s">
        <v>848</v>
      </c>
      <c r="F48" s="233" t="s">
        <v>849</v>
      </c>
      <c r="G48" s="233" t="s">
        <v>850</v>
      </c>
      <c r="H48" s="233" t="s">
        <v>851</v>
      </c>
      <c r="I48" s="233" t="s">
        <v>718</v>
      </c>
      <c r="J48" s="234">
        <v>117517</v>
      </c>
      <c r="K48" s="235">
        <v>8211</v>
      </c>
      <c r="L48" s="235"/>
      <c r="M48" s="235"/>
      <c r="N48" s="236"/>
      <c r="O48" s="236"/>
      <c r="P48" s="236"/>
      <c r="Q48" s="236" t="s">
        <v>719</v>
      </c>
      <c r="R48" s="237">
        <v>1932</v>
      </c>
      <c r="S48" s="237">
        <v>1932</v>
      </c>
      <c r="T48" s="237">
        <v>1932</v>
      </c>
      <c r="U48" s="237">
        <v>1932</v>
      </c>
      <c r="V48" s="237">
        <v>483</v>
      </c>
      <c r="W48" s="237">
        <v>0</v>
      </c>
      <c r="X48" s="237">
        <v>0</v>
      </c>
      <c r="Y48" s="237">
        <v>0</v>
      </c>
      <c r="Z48" s="237">
        <v>0</v>
      </c>
      <c r="AA48" s="237">
        <v>0</v>
      </c>
      <c r="AB48" s="237">
        <v>0</v>
      </c>
      <c r="AC48" s="237">
        <v>0</v>
      </c>
      <c r="AD48" s="237">
        <v>0</v>
      </c>
      <c r="AE48" s="237">
        <v>0</v>
      </c>
      <c r="AF48" s="237">
        <v>0</v>
      </c>
      <c r="AG48" s="237">
        <v>0</v>
      </c>
      <c r="AH48" s="237">
        <v>0</v>
      </c>
      <c r="AI48" s="237">
        <v>0</v>
      </c>
      <c r="AJ48" s="237">
        <v>0</v>
      </c>
      <c r="AK48" s="237">
        <v>0</v>
      </c>
      <c r="AL48" s="237">
        <v>0</v>
      </c>
      <c r="AM48" s="237">
        <v>0</v>
      </c>
      <c r="AN48" s="237">
        <v>0</v>
      </c>
      <c r="AO48" s="237">
        <v>0</v>
      </c>
      <c r="AP48" s="237">
        <v>0</v>
      </c>
      <c r="AQ48" s="237">
        <v>0</v>
      </c>
      <c r="AR48" s="237">
        <v>0</v>
      </c>
      <c r="AS48" s="237"/>
      <c r="AT48" s="237"/>
      <c r="AU48" s="238">
        <f t="shared" si="0"/>
        <v>8211</v>
      </c>
      <c r="AV48" s="239">
        <f t="shared" si="1"/>
        <v>0</v>
      </c>
      <c r="AW48" s="240">
        <f t="shared" si="2"/>
        <v>0</v>
      </c>
      <c r="AX48" s="241">
        <f t="shared" si="3"/>
        <v>8211</v>
      </c>
    </row>
    <row r="49" spans="1:50" outlineLevel="1" x14ac:dyDescent="0.25">
      <c r="B49" s="243" t="s">
        <v>757</v>
      </c>
      <c r="C49" s="244"/>
      <c r="D49" s="245" t="s">
        <v>852</v>
      </c>
      <c r="E49" s="246"/>
      <c r="F49" s="247"/>
      <c r="G49" s="247"/>
      <c r="H49" s="247"/>
      <c r="I49" s="247"/>
      <c r="J49" s="248"/>
      <c r="K49" s="248"/>
      <c r="L49" s="248" t="s">
        <v>853</v>
      </c>
      <c r="M49" s="248"/>
      <c r="N49" s="249">
        <f t="shared" si="4"/>
        <v>4.0549999999999997</v>
      </c>
      <c r="O49" s="249">
        <v>4.0549999999999997</v>
      </c>
      <c r="P49" s="249">
        <f>$P$4</f>
        <v>0</v>
      </c>
      <c r="Q49" s="249" t="s">
        <v>722</v>
      </c>
      <c r="R49" s="251">
        <f>256+50</f>
        <v>306</v>
      </c>
      <c r="S49" s="251">
        <f>SUM(S48:$AR48)*$N49/100</f>
        <v>254.61344999999997</v>
      </c>
      <c r="T49" s="251">
        <f>SUM(T48:$AR48)*$N49/100</f>
        <v>176.27085</v>
      </c>
      <c r="U49" s="251">
        <f>SUM(U48:$AR48)*$N49/100</f>
        <v>97.928249999999991</v>
      </c>
      <c r="V49" s="251">
        <f>SUM(V48:$AR48)*$N49/100</f>
        <v>19.585649999999998</v>
      </c>
      <c r="W49" s="251">
        <v>0</v>
      </c>
      <c r="X49" s="251">
        <v>0</v>
      </c>
      <c r="Y49" s="251">
        <v>0</v>
      </c>
      <c r="Z49" s="251">
        <v>0</v>
      </c>
      <c r="AA49" s="251">
        <v>0</v>
      </c>
      <c r="AB49" s="251">
        <v>0</v>
      </c>
      <c r="AC49" s="251">
        <v>0</v>
      </c>
      <c r="AD49" s="251">
        <v>0</v>
      </c>
      <c r="AE49" s="251">
        <v>0</v>
      </c>
      <c r="AF49" s="251">
        <v>0</v>
      </c>
      <c r="AG49" s="251">
        <v>0</v>
      </c>
      <c r="AH49" s="251">
        <v>0</v>
      </c>
      <c r="AI49" s="251">
        <v>0</v>
      </c>
      <c r="AJ49" s="251">
        <v>0</v>
      </c>
      <c r="AK49" s="251">
        <v>0</v>
      </c>
      <c r="AL49" s="251">
        <v>0</v>
      </c>
      <c r="AM49" s="251">
        <v>0</v>
      </c>
      <c r="AN49" s="251">
        <v>0</v>
      </c>
      <c r="AO49" s="251">
        <v>0</v>
      </c>
      <c r="AP49" s="251">
        <v>0</v>
      </c>
      <c r="AQ49" s="251">
        <v>0</v>
      </c>
      <c r="AR49" s="251">
        <v>0</v>
      </c>
      <c r="AS49" s="251"/>
      <c r="AT49" s="251"/>
      <c r="AU49" s="252">
        <f t="shared" si="0"/>
        <v>854.39819999999986</v>
      </c>
      <c r="AV49" s="239">
        <f t="shared" si="1"/>
        <v>0</v>
      </c>
      <c r="AW49" s="253">
        <f t="shared" si="2"/>
        <v>0</v>
      </c>
      <c r="AX49" s="254">
        <f t="shared" si="3"/>
        <v>854.39819999999986</v>
      </c>
    </row>
    <row r="50" spans="1:50" s="228" customFormat="1" outlineLevel="1" x14ac:dyDescent="0.25">
      <c r="B50" s="229" t="s">
        <v>757</v>
      </c>
      <c r="C50" s="230">
        <v>23</v>
      </c>
      <c r="D50" s="231" t="s">
        <v>854</v>
      </c>
      <c r="E50" s="232" t="s">
        <v>855</v>
      </c>
      <c r="F50" s="233" t="s">
        <v>856</v>
      </c>
      <c r="G50" s="233" t="s">
        <v>857</v>
      </c>
      <c r="H50" s="233" t="s">
        <v>858</v>
      </c>
      <c r="I50" s="233" t="s">
        <v>718</v>
      </c>
      <c r="J50" s="234">
        <v>2227434</v>
      </c>
      <c r="K50" s="235">
        <v>1725780</v>
      </c>
      <c r="L50" s="235"/>
      <c r="M50" s="235"/>
      <c r="N50" s="236"/>
      <c r="O50" s="236"/>
      <c r="P50" s="236"/>
      <c r="Q50" s="236" t="s">
        <v>719</v>
      </c>
      <c r="R50" s="237">
        <v>70440</v>
      </c>
      <c r="S50" s="237">
        <v>70440</v>
      </c>
      <c r="T50" s="237">
        <v>70440</v>
      </c>
      <c r="U50" s="237">
        <v>70440</v>
      </c>
      <c r="V50" s="237">
        <v>70440</v>
      </c>
      <c r="W50" s="237">
        <v>70440</v>
      </c>
      <c r="X50" s="237">
        <v>70440</v>
      </c>
      <c r="Y50" s="237">
        <v>70440</v>
      </c>
      <c r="Z50" s="237">
        <v>70440</v>
      </c>
      <c r="AA50" s="237">
        <v>70440</v>
      </c>
      <c r="AB50" s="237">
        <v>70440</v>
      </c>
      <c r="AC50" s="237">
        <v>70440</v>
      </c>
      <c r="AD50" s="237">
        <v>70440</v>
      </c>
      <c r="AE50" s="237">
        <v>70440</v>
      </c>
      <c r="AF50" s="237">
        <v>70440</v>
      </c>
      <c r="AG50" s="237">
        <v>70440</v>
      </c>
      <c r="AH50" s="237">
        <v>70440</v>
      </c>
      <c r="AI50" s="237">
        <v>70440</v>
      </c>
      <c r="AJ50" s="237">
        <v>70440</v>
      </c>
      <c r="AK50" s="237">
        <v>70440</v>
      </c>
      <c r="AL50" s="237">
        <v>70440</v>
      </c>
      <c r="AM50" s="237">
        <v>70440</v>
      </c>
      <c r="AN50" s="237">
        <v>70440</v>
      </c>
      <c r="AO50" s="237">
        <v>70440</v>
      </c>
      <c r="AP50" s="237">
        <v>35220</v>
      </c>
      <c r="AQ50" s="237">
        <v>0</v>
      </c>
      <c r="AR50" s="237">
        <v>0</v>
      </c>
      <c r="AS50" s="237"/>
      <c r="AT50" s="237"/>
      <c r="AU50" s="238">
        <f t="shared" si="0"/>
        <v>1725780</v>
      </c>
      <c r="AV50" s="239">
        <f t="shared" si="1"/>
        <v>0</v>
      </c>
      <c r="AW50" s="240">
        <f t="shared" si="2"/>
        <v>1232700</v>
      </c>
      <c r="AX50" s="241">
        <f t="shared" si="3"/>
        <v>1725780</v>
      </c>
    </row>
    <row r="51" spans="1:50" outlineLevel="1" x14ac:dyDescent="0.25">
      <c r="B51" s="243" t="s">
        <v>757</v>
      </c>
      <c r="C51" s="244"/>
      <c r="D51" s="245" t="s">
        <v>859</v>
      </c>
      <c r="E51" s="246"/>
      <c r="F51" s="247"/>
      <c r="G51" s="247"/>
      <c r="H51" s="247"/>
      <c r="I51" s="247"/>
      <c r="J51" s="248"/>
      <c r="K51" s="248"/>
      <c r="L51" s="248" t="s">
        <v>860</v>
      </c>
      <c r="M51" s="248"/>
      <c r="N51" s="249">
        <f t="shared" si="4"/>
        <v>3.55</v>
      </c>
      <c r="O51" s="250">
        <v>3.55</v>
      </c>
      <c r="P51" s="249">
        <f>$P$4</f>
        <v>0</v>
      </c>
      <c r="Q51" s="249" t="s">
        <v>722</v>
      </c>
      <c r="R51" s="251">
        <v>59120.9</v>
      </c>
      <c r="S51" s="251">
        <f>SUM(S50:$AR50)*$N51/100</f>
        <v>58764.57</v>
      </c>
      <c r="T51" s="251">
        <f>SUM(T50:$AR50)*$N51/100</f>
        <v>56263.95</v>
      </c>
      <c r="U51" s="251">
        <f>SUM(U50:$AR50)*$N51/100</f>
        <v>53763.33</v>
      </c>
      <c r="V51" s="251">
        <f>SUM(V50:$AR50)*$N51/100</f>
        <v>51262.71</v>
      </c>
      <c r="W51" s="251">
        <f>SUM(W50:$AR50)*$N51/100</f>
        <v>48762.09</v>
      </c>
      <c r="X51" s="251">
        <f>SUM(X50:$AR50)*$N51/100</f>
        <v>46261.47</v>
      </c>
      <c r="Y51" s="251">
        <f>SUM(Y50:$AR50)*$N51/100</f>
        <v>43760.85</v>
      </c>
      <c r="Z51" s="251">
        <f>SUM(Z50:$AR50)*$N51/100</f>
        <v>41260.230000000003</v>
      </c>
      <c r="AA51" s="251">
        <f>SUM(AA50:$AR50)*$N51/100</f>
        <v>38759.61</v>
      </c>
      <c r="AB51" s="251">
        <f>SUM(AB50:$AR50)*$N51/100</f>
        <v>36258.99</v>
      </c>
      <c r="AC51" s="251">
        <f>SUM(AC50:$AR50)*$N51/100</f>
        <v>33758.370000000003</v>
      </c>
      <c r="AD51" s="251">
        <f>SUM(AD50:$AR50)*$N51/100</f>
        <v>31257.75</v>
      </c>
      <c r="AE51" s="251">
        <f>SUM(AE50:$AR50)*$N51/100</f>
        <v>28757.13</v>
      </c>
      <c r="AF51" s="251">
        <f>SUM(AF50:$AR50)*$N51/100</f>
        <v>26256.51</v>
      </c>
      <c r="AG51" s="251">
        <f>SUM(AG50:$AR50)*$N51/100</f>
        <v>23755.89</v>
      </c>
      <c r="AH51" s="251">
        <f>SUM(AH50:$AR50)*$N51/100</f>
        <v>21255.27</v>
      </c>
      <c r="AI51" s="251">
        <f>SUM(AI50:$AR50)*$N51/100</f>
        <v>18754.650000000001</v>
      </c>
      <c r="AJ51" s="251">
        <f>SUM(AJ50:$AR50)*$N51/100</f>
        <v>16254.03</v>
      </c>
      <c r="AK51" s="251">
        <f>SUM(AK50:$AR50)*$N51/100</f>
        <v>13753.41</v>
      </c>
      <c r="AL51" s="251">
        <f>SUM(AL50:$AR50)*$N51/100</f>
        <v>11252.79</v>
      </c>
      <c r="AM51" s="251">
        <f>SUM(AM50:$AR50)*$N51/100</f>
        <v>8752.17</v>
      </c>
      <c r="AN51" s="251">
        <f>SUM(AN50:$AR50)*$N51/100</f>
        <v>6251.55</v>
      </c>
      <c r="AO51" s="251">
        <f>SUM(AO50:$AR50)*$N51/100</f>
        <v>3750.93</v>
      </c>
      <c r="AP51" s="251">
        <f>SUM(AP50:$AR50)*$N51/100</f>
        <v>1250.31</v>
      </c>
      <c r="AQ51" s="251">
        <v>0</v>
      </c>
      <c r="AR51" s="251">
        <v>0</v>
      </c>
      <c r="AS51" s="251"/>
      <c r="AT51" s="251"/>
      <c r="AU51" s="252">
        <f t="shared" si="0"/>
        <v>779299.46000000031</v>
      </c>
      <c r="AV51" s="239">
        <f t="shared" si="1"/>
        <v>0</v>
      </c>
      <c r="AW51" s="253">
        <f t="shared" si="2"/>
        <v>405100.44</v>
      </c>
      <c r="AX51" s="254">
        <f t="shared" si="3"/>
        <v>779299.46</v>
      </c>
    </row>
    <row r="52" spans="1:50" s="228" customFormat="1" outlineLevel="1" x14ac:dyDescent="0.25">
      <c r="B52" s="229" t="s">
        <v>712</v>
      </c>
      <c r="C52" s="230">
        <v>24</v>
      </c>
      <c r="D52" s="231" t="s">
        <v>861</v>
      </c>
      <c r="E52" s="232" t="s">
        <v>862</v>
      </c>
      <c r="F52" s="233" t="s">
        <v>863</v>
      </c>
      <c r="G52" s="233" t="s">
        <v>864</v>
      </c>
      <c r="H52" s="233" t="s">
        <v>865</v>
      </c>
      <c r="I52" s="233" t="s">
        <v>718</v>
      </c>
      <c r="J52" s="234">
        <v>531484</v>
      </c>
      <c r="K52" s="235">
        <v>357396</v>
      </c>
      <c r="L52" s="235"/>
      <c r="M52" s="235"/>
      <c r="N52" s="236"/>
      <c r="O52" s="236"/>
      <c r="P52" s="236"/>
      <c r="Q52" s="236" t="s">
        <v>719</v>
      </c>
      <c r="R52" s="237">
        <v>36656</v>
      </c>
      <c r="S52" s="237">
        <v>36656</v>
      </c>
      <c r="T52" s="237">
        <v>36656</v>
      </c>
      <c r="U52" s="237">
        <v>36656</v>
      </c>
      <c r="V52" s="237">
        <v>36656</v>
      </c>
      <c r="W52" s="237">
        <v>36656</v>
      </c>
      <c r="X52" s="237">
        <v>36656</v>
      </c>
      <c r="Y52" s="237">
        <v>36656</v>
      </c>
      <c r="Z52" s="237">
        <v>36656</v>
      </c>
      <c r="AA52" s="237">
        <v>27492</v>
      </c>
      <c r="AB52" s="237">
        <v>0</v>
      </c>
      <c r="AC52" s="237">
        <v>0</v>
      </c>
      <c r="AD52" s="237">
        <v>0</v>
      </c>
      <c r="AE52" s="237">
        <v>0</v>
      </c>
      <c r="AF52" s="237">
        <v>0</v>
      </c>
      <c r="AG52" s="237">
        <v>0</v>
      </c>
      <c r="AH52" s="237">
        <v>0</v>
      </c>
      <c r="AI52" s="237">
        <v>0</v>
      </c>
      <c r="AJ52" s="237">
        <v>0</v>
      </c>
      <c r="AK52" s="237">
        <v>0</v>
      </c>
      <c r="AL52" s="237">
        <v>0</v>
      </c>
      <c r="AM52" s="237">
        <v>0</v>
      </c>
      <c r="AN52" s="237">
        <v>0</v>
      </c>
      <c r="AO52" s="237">
        <v>0</v>
      </c>
      <c r="AP52" s="237">
        <v>0</v>
      </c>
      <c r="AQ52" s="237">
        <v>0</v>
      </c>
      <c r="AR52" s="237">
        <v>0</v>
      </c>
      <c r="AS52" s="237"/>
      <c r="AT52" s="237"/>
      <c r="AU52" s="238">
        <f t="shared" si="0"/>
        <v>357396</v>
      </c>
      <c r="AV52" s="239">
        <f t="shared" si="1"/>
        <v>0</v>
      </c>
      <c r="AW52" s="240">
        <f t="shared" si="2"/>
        <v>100804</v>
      </c>
      <c r="AX52" s="241">
        <f t="shared" si="3"/>
        <v>357396</v>
      </c>
    </row>
    <row r="53" spans="1:50" outlineLevel="1" x14ac:dyDescent="0.25">
      <c r="B53" s="243" t="s">
        <v>712</v>
      </c>
      <c r="C53" s="244"/>
      <c r="D53" s="245"/>
      <c r="E53" s="246"/>
      <c r="F53" s="247"/>
      <c r="G53" s="247"/>
      <c r="H53" s="247"/>
      <c r="I53" s="247"/>
      <c r="J53" s="248"/>
      <c r="K53" s="248"/>
      <c r="L53" s="248" t="s">
        <v>866</v>
      </c>
      <c r="M53" s="248"/>
      <c r="N53" s="249">
        <f t="shared" si="4"/>
        <v>3.2189999999999999</v>
      </c>
      <c r="O53" s="256">
        <v>3.2189999999999999</v>
      </c>
      <c r="P53" s="249">
        <f>$P$4</f>
        <v>0</v>
      </c>
      <c r="Q53" s="249" t="s">
        <v>722</v>
      </c>
      <c r="R53" s="251">
        <v>10675.21</v>
      </c>
      <c r="S53" s="251">
        <f>SUM(S52:$AR52)*$N53/100</f>
        <v>10324.6206</v>
      </c>
      <c r="T53" s="251">
        <f>SUM(T52:$AR52)*$N53/100</f>
        <v>9144.6639599999999</v>
      </c>
      <c r="U53" s="251">
        <f>SUM(U52:$AR52)*$N53/100</f>
        <v>7964.7073199999995</v>
      </c>
      <c r="V53" s="251">
        <f>SUM(V52:$AR52)*$N53/100</f>
        <v>6784.7506800000001</v>
      </c>
      <c r="W53" s="251">
        <f>SUM(W52:$AR52)*$N53/100</f>
        <v>5604.7940399999998</v>
      </c>
      <c r="X53" s="251">
        <f>SUM(X52:$AR52)*$N53/100</f>
        <v>4424.8374000000003</v>
      </c>
      <c r="Y53" s="251">
        <f>SUM(Y52:$AR52)*$N53/100</f>
        <v>3244.88076</v>
      </c>
      <c r="Z53" s="251">
        <f>SUM(Z52:$AR52)*$N53/100</f>
        <v>2064.9241199999997</v>
      </c>
      <c r="AA53" s="251">
        <f>SUM(AA52:$AR52)*$N53/100</f>
        <v>884.96747999999991</v>
      </c>
      <c r="AB53" s="251">
        <v>0</v>
      </c>
      <c r="AC53" s="251">
        <v>0</v>
      </c>
      <c r="AD53" s="251">
        <v>0</v>
      </c>
      <c r="AE53" s="251">
        <v>0</v>
      </c>
      <c r="AF53" s="251">
        <v>0</v>
      </c>
      <c r="AG53" s="251">
        <v>0</v>
      </c>
      <c r="AH53" s="251">
        <v>0</v>
      </c>
      <c r="AI53" s="251">
        <v>0</v>
      </c>
      <c r="AJ53" s="251">
        <v>0</v>
      </c>
      <c r="AK53" s="251">
        <v>0</v>
      </c>
      <c r="AL53" s="251">
        <v>0</v>
      </c>
      <c r="AM53" s="251">
        <v>0</v>
      </c>
      <c r="AN53" s="251">
        <v>0</v>
      </c>
      <c r="AO53" s="251">
        <v>0</v>
      </c>
      <c r="AP53" s="251">
        <v>0</v>
      </c>
      <c r="AQ53" s="251">
        <v>0</v>
      </c>
      <c r="AR53" s="251">
        <v>0</v>
      </c>
      <c r="AS53" s="251"/>
      <c r="AT53" s="251"/>
      <c r="AU53" s="252">
        <f t="shared" si="0"/>
        <v>61118.356359999998</v>
      </c>
      <c r="AV53" s="239">
        <f t="shared" si="1"/>
        <v>0</v>
      </c>
      <c r="AW53" s="253">
        <f t="shared" si="2"/>
        <v>6194.7723599999999</v>
      </c>
      <c r="AX53" s="254">
        <f t="shared" si="3"/>
        <v>61118.356360000005</v>
      </c>
    </row>
    <row r="54" spans="1:50" s="228" customFormat="1" outlineLevel="1" x14ac:dyDescent="0.25">
      <c r="B54" s="229" t="s">
        <v>757</v>
      </c>
      <c r="C54" s="230">
        <v>25</v>
      </c>
      <c r="D54" s="231" t="s">
        <v>867</v>
      </c>
      <c r="E54" s="232" t="s">
        <v>868</v>
      </c>
      <c r="F54" s="233" t="s">
        <v>869</v>
      </c>
      <c r="G54" s="233" t="s">
        <v>870</v>
      </c>
      <c r="H54" s="233" t="s">
        <v>871</v>
      </c>
      <c r="I54" s="233" t="s">
        <v>718</v>
      </c>
      <c r="J54" s="234">
        <v>583938.46</v>
      </c>
      <c r="K54" s="235">
        <v>473520</v>
      </c>
      <c r="L54" s="235"/>
      <c r="M54" s="235"/>
      <c r="N54" s="236"/>
      <c r="O54" s="236"/>
      <c r="P54" s="236"/>
      <c r="Q54" s="236" t="s">
        <v>719</v>
      </c>
      <c r="R54" s="237">
        <v>31568</v>
      </c>
      <c r="S54" s="237">
        <v>31568</v>
      </c>
      <c r="T54" s="237">
        <v>31568</v>
      </c>
      <c r="U54" s="237">
        <v>31568</v>
      </c>
      <c r="V54" s="237">
        <v>31568</v>
      </c>
      <c r="W54" s="237">
        <v>31568</v>
      </c>
      <c r="X54" s="237">
        <v>31568</v>
      </c>
      <c r="Y54" s="237">
        <v>31568</v>
      </c>
      <c r="Z54" s="237">
        <v>31568</v>
      </c>
      <c r="AA54" s="237">
        <v>31568</v>
      </c>
      <c r="AB54" s="237">
        <v>31568</v>
      </c>
      <c r="AC54" s="237">
        <v>31568</v>
      </c>
      <c r="AD54" s="237">
        <v>31568</v>
      </c>
      <c r="AE54" s="237">
        <v>31568</v>
      </c>
      <c r="AF54" s="237">
        <v>31568</v>
      </c>
      <c r="AG54" s="237">
        <v>0</v>
      </c>
      <c r="AH54" s="237">
        <v>0</v>
      </c>
      <c r="AI54" s="237">
        <v>0</v>
      </c>
      <c r="AJ54" s="237">
        <v>0</v>
      </c>
      <c r="AK54" s="237">
        <v>0</v>
      </c>
      <c r="AL54" s="237">
        <v>0</v>
      </c>
      <c r="AM54" s="237">
        <v>0</v>
      </c>
      <c r="AN54" s="237">
        <v>0</v>
      </c>
      <c r="AO54" s="237">
        <v>0</v>
      </c>
      <c r="AP54" s="237">
        <v>0</v>
      </c>
      <c r="AQ54" s="237">
        <v>0</v>
      </c>
      <c r="AR54" s="237">
        <v>0</v>
      </c>
      <c r="AS54" s="237"/>
      <c r="AT54" s="237"/>
      <c r="AU54" s="238">
        <f t="shared" si="0"/>
        <v>473520</v>
      </c>
      <c r="AV54" s="239">
        <f t="shared" si="1"/>
        <v>0</v>
      </c>
      <c r="AW54" s="240">
        <f t="shared" si="2"/>
        <v>252544</v>
      </c>
      <c r="AX54" s="241">
        <f t="shared" si="3"/>
        <v>473520</v>
      </c>
    </row>
    <row r="55" spans="1:50" outlineLevel="1" x14ac:dyDescent="0.25">
      <c r="B55" s="243" t="s">
        <v>757</v>
      </c>
      <c r="C55" s="244"/>
      <c r="D55" s="245"/>
      <c r="E55" s="246"/>
      <c r="F55" s="247"/>
      <c r="G55" s="247"/>
      <c r="H55" s="247"/>
      <c r="I55" s="247"/>
      <c r="J55" s="248"/>
      <c r="K55" s="248"/>
      <c r="L55" s="248" t="s">
        <v>872</v>
      </c>
      <c r="M55" s="248"/>
      <c r="N55" s="249">
        <f t="shared" si="4"/>
        <v>2.8</v>
      </c>
      <c r="O55" s="256">
        <v>2.8</v>
      </c>
      <c r="P55" s="249">
        <f>$P$4</f>
        <v>0</v>
      </c>
      <c r="Q55" s="249" t="s">
        <v>722</v>
      </c>
      <c r="R55" s="251">
        <v>13478.29</v>
      </c>
      <c r="S55" s="251">
        <f>SUM(S54:$AR54)*$N55/100</f>
        <v>12374.655999999999</v>
      </c>
      <c r="T55" s="251">
        <f>SUM(T54:$AR54)*$N55/100</f>
        <v>11490.752</v>
      </c>
      <c r="U55" s="251">
        <f>SUM(U54:$AR54)*$N55/100</f>
        <v>10606.848</v>
      </c>
      <c r="V55" s="251">
        <f>SUM(V54:$AR54)*$N55/100</f>
        <v>9722.9439999999995</v>
      </c>
      <c r="W55" s="251">
        <f>SUM(W54:$AR54)*$N55/100</f>
        <v>8839.0400000000009</v>
      </c>
      <c r="X55" s="251">
        <f>SUM(X54:$AR54)*$N55/100</f>
        <v>7955.1359999999995</v>
      </c>
      <c r="Y55" s="251">
        <f>SUM(Y54:$AR54)*$N55/100</f>
        <v>7071.232</v>
      </c>
      <c r="Z55" s="251">
        <f>SUM(Z54:$AR54)*$N55/100</f>
        <v>6187.3279999999995</v>
      </c>
      <c r="AA55" s="251">
        <f>SUM(AA54:$AR54)*$N55/100</f>
        <v>5303.424</v>
      </c>
      <c r="AB55" s="251">
        <f>SUM(AB54:$AR54)*$N55/100</f>
        <v>4419.5200000000004</v>
      </c>
      <c r="AC55" s="251">
        <f>SUM(AC54:$AR54)*$N55/100</f>
        <v>3535.616</v>
      </c>
      <c r="AD55" s="251">
        <f>SUM(AD54:$AR54)*$N55/100</f>
        <v>2651.712</v>
      </c>
      <c r="AE55" s="251">
        <f>SUM(AE54:$AR54)*$N55/100</f>
        <v>1767.808</v>
      </c>
      <c r="AF55" s="251">
        <f>SUM(AF54:$AR54)*$N55/100</f>
        <v>883.904</v>
      </c>
      <c r="AG55" s="251">
        <v>0</v>
      </c>
      <c r="AH55" s="251">
        <v>0</v>
      </c>
      <c r="AI55" s="251">
        <v>0</v>
      </c>
      <c r="AJ55" s="251">
        <v>0</v>
      </c>
      <c r="AK55" s="251">
        <v>0</v>
      </c>
      <c r="AL55" s="251">
        <v>0</v>
      </c>
      <c r="AM55" s="251">
        <v>0</v>
      </c>
      <c r="AN55" s="251">
        <v>0</v>
      </c>
      <c r="AO55" s="251">
        <v>0</v>
      </c>
      <c r="AP55" s="251">
        <v>0</v>
      </c>
      <c r="AQ55" s="251">
        <v>0</v>
      </c>
      <c r="AR55" s="251">
        <v>0</v>
      </c>
      <c r="AS55" s="251"/>
      <c r="AT55" s="251"/>
      <c r="AU55" s="252">
        <f t="shared" si="0"/>
        <v>106288.20999999999</v>
      </c>
      <c r="AV55" s="239">
        <f t="shared" si="1"/>
        <v>0</v>
      </c>
      <c r="AW55" s="253">
        <f t="shared" si="2"/>
        <v>31820.544000000002</v>
      </c>
      <c r="AX55" s="254">
        <f t="shared" si="3"/>
        <v>106288.20999999999</v>
      </c>
    </row>
    <row r="56" spans="1:50" s="228" customFormat="1" outlineLevel="1" x14ac:dyDescent="0.25">
      <c r="B56" s="229" t="s">
        <v>712</v>
      </c>
      <c r="C56" s="230">
        <v>26</v>
      </c>
      <c r="D56" s="231" t="s">
        <v>873</v>
      </c>
      <c r="E56" s="232" t="s">
        <v>874</v>
      </c>
      <c r="F56" s="233" t="s">
        <v>875</v>
      </c>
      <c r="G56" s="233" t="s">
        <v>876</v>
      </c>
      <c r="H56" s="233" t="s">
        <v>877</v>
      </c>
      <c r="I56" s="233" t="s">
        <v>718</v>
      </c>
      <c r="J56" s="234">
        <v>2556845.52</v>
      </c>
      <c r="K56" s="235">
        <v>2243904</v>
      </c>
      <c r="L56" s="235"/>
      <c r="M56" s="235"/>
      <c r="N56" s="236"/>
      <c r="O56" s="236"/>
      <c r="P56" s="236"/>
      <c r="Q56" s="236" t="s">
        <v>719</v>
      </c>
      <c r="R56" s="237">
        <v>96316</v>
      </c>
      <c r="S56" s="237">
        <v>96316</v>
      </c>
      <c r="T56" s="237">
        <v>96316</v>
      </c>
      <c r="U56" s="237">
        <v>96316</v>
      </c>
      <c r="V56" s="237">
        <v>96316</v>
      </c>
      <c r="W56" s="237">
        <v>96316</v>
      </c>
      <c r="X56" s="237">
        <v>96316</v>
      </c>
      <c r="Y56" s="237">
        <v>96316</v>
      </c>
      <c r="Z56" s="237">
        <v>96316</v>
      </c>
      <c r="AA56" s="237">
        <v>96316</v>
      </c>
      <c r="AB56" s="237">
        <v>96316</v>
      </c>
      <c r="AC56" s="237">
        <v>96316</v>
      </c>
      <c r="AD56" s="237">
        <v>96316</v>
      </c>
      <c r="AE56" s="237">
        <v>96316</v>
      </c>
      <c r="AF56" s="237">
        <v>96316</v>
      </c>
      <c r="AG56" s="237">
        <v>96316</v>
      </c>
      <c r="AH56" s="237">
        <v>96316</v>
      </c>
      <c r="AI56" s="237">
        <v>96316</v>
      </c>
      <c r="AJ56" s="237">
        <v>96316</v>
      </c>
      <c r="AK56" s="237">
        <v>96316</v>
      </c>
      <c r="AL56" s="237">
        <v>96316</v>
      </c>
      <c r="AM56" s="237">
        <v>96316</v>
      </c>
      <c r="AN56" s="237">
        <v>96316</v>
      </c>
      <c r="AO56" s="237">
        <v>28635.52</v>
      </c>
      <c r="AP56" s="237">
        <v>0</v>
      </c>
      <c r="AQ56" s="237">
        <v>0</v>
      </c>
      <c r="AR56" s="237">
        <v>0</v>
      </c>
      <c r="AS56" s="237"/>
      <c r="AT56" s="237"/>
      <c r="AU56" s="238">
        <f t="shared" si="0"/>
        <v>2243903.52</v>
      </c>
      <c r="AV56" s="239">
        <f t="shared" si="1"/>
        <v>0</v>
      </c>
      <c r="AW56" s="240">
        <f t="shared" si="2"/>
        <v>1569691.52</v>
      </c>
      <c r="AX56" s="241">
        <f t="shared" si="3"/>
        <v>2243903.52</v>
      </c>
    </row>
    <row r="57" spans="1:50" outlineLevel="1" x14ac:dyDescent="0.25">
      <c r="B57" s="243" t="s">
        <v>712</v>
      </c>
      <c r="C57" s="244"/>
      <c r="D57" s="245"/>
      <c r="E57" s="246"/>
      <c r="F57" s="247"/>
      <c r="G57" s="247"/>
      <c r="H57" s="247"/>
      <c r="I57" s="247"/>
      <c r="J57" s="248"/>
      <c r="K57" s="248"/>
      <c r="L57" s="248" t="s">
        <v>878</v>
      </c>
      <c r="M57" s="248"/>
      <c r="N57" s="249">
        <f t="shared" si="4"/>
        <v>4.55</v>
      </c>
      <c r="O57" s="250">
        <v>4.55</v>
      </c>
      <c r="P57" s="249">
        <f>$P$4</f>
        <v>0</v>
      </c>
      <c r="Q57" s="249" t="s">
        <v>722</v>
      </c>
      <c r="R57" s="251">
        <v>120601.41999999998</v>
      </c>
      <c r="S57" s="251">
        <f>SUM(S56:$AR56)*$N57/100</f>
        <v>97715.23216</v>
      </c>
      <c r="T57" s="251">
        <f>SUM(T56:$AR56)*$N57/100</f>
        <v>93332.854159999988</v>
      </c>
      <c r="U57" s="251">
        <f>SUM(U56:$AR56)*$N57/100</f>
        <v>88950.476160000006</v>
      </c>
      <c r="V57" s="251">
        <f>SUM(V56:$AR56)*$N57/100</f>
        <v>84568.098159999994</v>
      </c>
      <c r="W57" s="251">
        <f>SUM(W56:$AR56)*$N57/100</f>
        <v>80185.720159999997</v>
      </c>
      <c r="X57" s="251">
        <f>SUM(X56:$AR56)*$N57/100</f>
        <v>75803.34216</v>
      </c>
      <c r="Y57" s="251">
        <f>SUM(Y56:$AR56)*$N57/100</f>
        <v>71420.964160000003</v>
      </c>
      <c r="Z57" s="251">
        <f>SUM(Z56:$AR56)*$N57/100</f>
        <v>67038.586159999992</v>
      </c>
      <c r="AA57" s="251">
        <f>SUM(AA56:$AR56)*$N57/100</f>
        <v>62656.208159999995</v>
      </c>
      <c r="AB57" s="251">
        <f>SUM(AB56:$AR56)*$N57/100</f>
        <v>58273.830159999998</v>
      </c>
      <c r="AC57" s="251">
        <f>SUM(AC56:$AR56)*$N57/100</f>
        <v>53891.452160000001</v>
      </c>
      <c r="AD57" s="251">
        <f>SUM(AD56:$AR56)*$N57/100</f>
        <v>49509.074160000004</v>
      </c>
      <c r="AE57" s="251">
        <f>SUM(AE56:$AR56)*$N57/100</f>
        <v>45126.696159999992</v>
      </c>
      <c r="AF57" s="251">
        <f>SUM(AF56:$AR56)*$N57/100</f>
        <v>40744.318160000003</v>
      </c>
      <c r="AG57" s="251">
        <f>SUM(AG56:$AR56)*$N57/100</f>
        <v>36361.940159999998</v>
      </c>
      <c r="AH57" s="251">
        <f>SUM(AH56:$AR56)*$N57/100</f>
        <v>31979.562160000001</v>
      </c>
      <c r="AI57" s="251">
        <f>SUM(AI56:$AR56)*$N57/100</f>
        <v>27597.184160000001</v>
      </c>
      <c r="AJ57" s="251">
        <f>SUM(AJ56:$AR56)*$N57/100</f>
        <v>23214.80616</v>
      </c>
      <c r="AK57" s="251">
        <f>SUM(AK56:$AR56)*$N57/100</f>
        <v>18832.428159999999</v>
      </c>
      <c r="AL57" s="251">
        <f>SUM(AL56:$AR56)*$N57/100</f>
        <v>14450.050160000001</v>
      </c>
      <c r="AM57" s="251">
        <f>SUM(AM56:$AR56)*$N57/100</f>
        <v>10067.672159999998</v>
      </c>
      <c r="AN57" s="251">
        <f>SUM(AN56:$AR56)*$N57/100</f>
        <v>5685.2941599999995</v>
      </c>
      <c r="AO57" s="251">
        <f>SUM(AO56:$AR56)*$N57/100</f>
        <v>1302.91616</v>
      </c>
      <c r="AP57" s="251">
        <v>0</v>
      </c>
      <c r="AQ57" s="251">
        <v>0</v>
      </c>
      <c r="AR57" s="251">
        <v>0</v>
      </c>
      <c r="AS57" s="251"/>
      <c r="AT57" s="251"/>
      <c r="AU57" s="252">
        <f t="shared" si="0"/>
        <v>1259310.1256799998</v>
      </c>
      <c r="AV57" s="239">
        <f t="shared" si="1"/>
        <v>0</v>
      </c>
      <c r="AW57" s="253">
        <f t="shared" si="2"/>
        <v>618152.98271999997</v>
      </c>
      <c r="AX57" s="254">
        <f t="shared" si="3"/>
        <v>1259310.1256800001</v>
      </c>
    </row>
    <row r="58" spans="1:50" s="228" customFormat="1" outlineLevel="1" x14ac:dyDescent="0.25">
      <c r="B58" s="229" t="s">
        <v>712</v>
      </c>
      <c r="C58" s="230">
        <v>27</v>
      </c>
      <c r="D58" s="231" t="s">
        <v>879</v>
      </c>
      <c r="E58" s="232" t="s">
        <v>880</v>
      </c>
      <c r="F58" s="233" t="s">
        <v>881</v>
      </c>
      <c r="G58" s="233" t="s">
        <v>882</v>
      </c>
      <c r="H58" s="233" t="s">
        <v>883</v>
      </c>
      <c r="I58" s="233" t="s">
        <v>718</v>
      </c>
      <c r="J58" s="234">
        <v>1410783</v>
      </c>
      <c r="K58" s="235">
        <v>926982</v>
      </c>
      <c r="L58" s="235"/>
      <c r="M58" s="235"/>
      <c r="N58" s="236"/>
      <c r="O58" s="236"/>
      <c r="P58" s="236"/>
      <c r="Q58" s="236" t="s">
        <v>719</v>
      </c>
      <c r="R58" s="237">
        <v>88284</v>
      </c>
      <c r="S58" s="237">
        <v>88284</v>
      </c>
      <c r="T58" s="237">
        <v>88284</v>
      </c>
      <c r="U58" s="237">
        <v>88284</v>
      </c>
      <c r="V58" s="237">
        <v>88284</v>
      </c>
      <c r="W58" s="237">
        <v>88284</v>
      </c>
      <c r="X58" s="237">
        <v>88284</v>
      </c>
      <c r="Y58" s="237">
        <v>88284</v>
      </c>
      <c r="Z58" s="237">
        <v>88284</v>
      </c>
      <c r="AA58" s="237">
        <v>88284</v>
      </c>
      <c r="AB58" s="237">
        <v>44142</v>
      </c>
      <c r="AC58" s="237">
        <v>0</v>
      </c>
      <c r="AD58" s="237">
        <v>0</v>
      </c>
      <c r="AE58" s="237">
        <v>0</v>
      </c>
      <c r="AF58" s="237">
        <v>0</v>
      </c>
      <c r="AG58" s="237">
        <v>0</v>
      </c>
      <c r="AH58" s="237">
        <v>0</v>
      </c>
      <c r="AI58" s="237">
        <v>0</v>
      </c>
      <c r="AJ58" s="237">
        <v>0</v>
      </c>
      <c r="AK58" s="237">
        <v>0</v>
      </c>
      <c r="AL58" s="237">
        <v>0</v>
      </c>
      <c r="AM58" s="237">
        <v>0</v>
      </c>
      <c r="AN58" s="237">
        <v>0</v>
      </c>
      <c r="AO58" s="237">
        <v>0</v>
      </c>
      <c r="AP58" s="237">
        <v>0</v>
      </c>
      <c r="AQ58" s="237">
        <v>0</v>
      </c>
      <c r="AR58" s="237">
        <v>0</v>
      </c>
      <c r="AS58" s="237"/>
      <c r="AT58" s="237"/>
      <c r="AU58" s="238">
        <f t="shared" si="0"/>
        <v>926982</v>
      </c>
      <c r="AV58" s="239">
        <f t="shared" si="1"/>
        <v>0</v>
      </c>
      <c r="AW58" s="240">
        <f t="shared" si="2"/>
        <v>308994</v>
      </c>
      <c r="AX58" s="241">
        <f t="shared" si="3"/>
        <v>926982</v>
      </c>
    </row>
    <row r="59" spans="1:50" outlineLevel="1" x14ac:dyDescent="0.25">
      <c r="B59" s="243" t="s">
        <v>712</v>
      </c>
      <c r="C59" s="244"/>
      <c r="D59" s="245"/>
      <c r="E59" s="246"/>
      <c r="F59" s="247"/>
      <c r="G59" s="247"/>
      <c r="H59" s="247"/>
      <c r="I59" s="247"/>
      <c r="J59" s="248"/>
      <c r="K59" s="248"/>
      <c r="L59" s="248" t="s">
        <v>884</v>
      </c>
      <c r="M59" s="248"/>
      <c r="N59" s="249">
        <f t="shared" si="4"/>
        <v>4.3559999999999999</v>
      </c>
      <c r="O59" s="256">
        <v>4.3559999999999999</v>
      </c>
      <c r="P59" s="249">
        <f>$P$4</f>
        <v>0</v>
      </c>
      <c r="Q59" s="249" t="s">
        <v>722</v>
      </c>
      <c r="R59" s="251">
        <v>37988.869999999995</v>
      </c>
      <c r="S59" s="251">
        <f>SUM(S58:$AR58)*$N59/100</f>
        <v>36533.684880000001</v>
      </c>
      <c r="T59" s="251">
        <f>SUM(T58:$AR58)*$N59/100</f>
        <v>32688.03384</v>
      </c>
      <c r="U59" s="251">
        <f>SUM(U58:$AR58)*$N59/100</f>
        <v>28842.382799999999</v>
      </c>
      <c r="V59" s="251">
        <f>SUM(V58:$AR58)*$N59/100</f>
        <v>24996.731759999999</v>
      </c>
      <c r="W59" s="251">
        <f>SUM(W58:$AR58)*$N59/100</f>
        <v>21151.080720000002</v>
      </c>
      <c r="X59" s="251">
        <f>SUM(X58:$AR58)*$N59/100</f>
        <v>17305.429679999997</v>
      </c>
      <c r="Y59" s="251">
        <f>SUM(Y58:$AR58)*$N59/100</f>
        <v>13459.77864</v>
      </c>
      <c r="Z59" s="251">
        <f>SUM(Z58:$AR58)*$N59/100</f>
        <v>9614.1275999999998</v>
      </c>
      <c r="AA59" s="251">
        <f>SUM(AA58:$AR58)*$N59/100</f>
        <v>5768.4765599999992</v>
      </c>
      <c r="AB59" s="251">
        <f>SUM(AB58:$AR58)*$N59/100</f>
        <v>1922.8255199999999</v>
      </c>
      <c r="AC59" s="251">
        <v>0</v>
      </c>
      <c r="AD59" s="251">
        <v>0</v>
      </c>
      <c r="AE59" s="251">
        <v>0</v>
      </c>
      <c r="AF59" s="251">
        <v>0</v>
      </c>
      <c r="AG59" s="251">
        <v>0</v>
      </c>
      <c r="AH59" s="251">
        <v>0</v>
      </c>
      <c r="AI59" s="251">
        <v>0</v>
      </c>
      <c r="AJ59" s="251">
        <v>0</v>
      </c>
      <c r="AK59" s="251">
        <v>0</v>
      </c>
      <c r="AL59" s="251">
        <v>0</v>
      </c>
      <c r="AM59" s="251">
        <v>0</v>
      </c>
      <c r="AN59" s="251">
        <v>0</v>
      </c>
      <c r="AO59" s="251">
        <v>0</v>
      </c>
      <c r="AP59" s="251">
        <v>0</v>
      </c>
      <c r="AQ59" s="251">
        <v>0</v>
      </c>
      <c r="AR59" s="251">
        <v>0</v>
      </c>
      <c r="AS59" s="251"/>
      <c r="AT59" s="251"/>
      <c r="AU59" s="252">
        <f t="shared" si="0"/>
        <v>230271.42200000002</v>
      </c>
      <c r="AV59" s="239">
        <f t="shared" si="1"/>
        <v>0</v>
      </c>
      <c r="AW59" s="253">
        <f t="shared" si="2"/>
        <v>30765.208319999998</v>
      </c>
      <c r="AX59" s="254">
        <f t="shared" si="3"/>
        <v>230271.42199999999</v>
      </c>
    </row>
    <row r="60" spans="1:50" s="228" customFormat="1" outlineLevel="1" x14ac:dyDescent="0.25">
      <c r="A60" s="228" t="s">
        <v>729</v>
      </c>
      <c r="B60" s="229" t="s">
        <v>757</v>
      </c>
      <c r="C60" s="230">
        <v>28</v>
      </c>
      <c r="D60" s="231" t="s">
        <v>885</v>
      </c>
      <c r="E60" s="232" t="s">
        <v>886</v>
      </c>
      <c r="F60" s="233" t="s">
        <v>887</v>
      </c>
      <c r="G60" s="233" t="s">
        <v>888</v>
      </c>
      <c r="H60" s="233" t="s">
        <v>889</v>
      </c>
      <c r="I60" s="233" t="s">
        <v>718</v>
      </c>
      <c r="J60" s="234">
        <v>824810</v>
      </c>
      <c r="K60" s="235">
        <v>765393</v>
      </c>
      <c r="L60" s="235"/>
      <c r="M60" s="235"/>
      <c r="N60" s="236"/>
      <c r="O60" s="236"/>
      <c r="P60" s="236"/>
      <c r="Q60" s="236" t="s">
        <v>719</v>
      </c>
      <c r="R60" s="237">
        <v>29724</v>
      </c>
      <c r="S60" s="237">
        <v>29724</v>
      </c>
      <c r="T60" s="237">
        <v>29724</v>
      </c>
      <c r="U60" s="237">
        <v>29724</v>
      </c>
      <c r="V60" s="237">
        <v>29724</v>
      </c>
      <c r="W60" s="237">
        <v>29724</v>
      </c>
      <c r="X60" s="237">
        <v>29724</v>
      </c>
      <c r="Y60" s="237">
        <v>29724</v>
      </c>
      <c r="Z60" s="237">
        <v>29724</v>
      </c>
      <c r="AA60" s="237">
        <v>29724</v>
      </c>
      <c r="AB60" s="237">
        <v>29724</v>
      </c>
      <c r="AC60" s="237">
        <v>29724</v>
      </c>
      <c r="AD60" s="237">
        <v>29724</v>
      </c>
      <c r="AE60" s="237">
        <v>29724</v>
      </c>
      <c r="AF60" s="237">
        <v>29724</v>
      </c>
      <c r="AG60" s="237">
        <v>29724</v>
      </c>
      <c r="AH60" s="237">
        <v>29724</v>
      </c>
      <c r="AI60" s="237">
        <v>29724</v>
      </c>
      <c r="AJ60" s="237">
        <v>29724</v>
      </c>
      <c r="AK60" s="237">
        <v>29724</v>
      </c>
      <c r="AL60" s="237">
        <v>29724</v>
      </c>
      <c r="AM60" s="237">
        <v>29724</v>
      </c>
      <c r="AN60" s="237">
        <v>29724</v>
      </c>
      <c r="AO60" s="237">
        <v>29724</v>
      </c>
      <c r="AP60" s="237">
        <v>29724</v>
      </c>
      <c r="AQ60" s="237">
        <v>22293</v>
      </c>
      <c r="AR60" s="237">
        <v>0</v>
      </c>
      <c r="AS60" s="237"/>
      <c r="AT60" s="237"/>
      <c r="AU60" s="238">
        <f t="shared" si="0"/>
        <v>765393</v>
      </c>
      <c r="AV60" s="239">
        <f t="shared" si="1"/>
        <v>0</v>
      </c>
      <c r="AW60" s="240">
        <f t="shared" si="2"/>
        <v>557325</v>
      </c>
      <c r="AX60" s="241">
        <f t="shared" si="3"/>
        <v>765393</v>
      </c>
    </row>
    <row r="61" spans="1:50" outlineLevel="1" x14ac:dyDescent="0.25">
      <c r="A61" s="228" t="s">
        <v>729</v>
      </c>
      <c r="B61" s="243" t="s">
        <v>757</v>
      </c>
      <c r="C61" s="244"/>
      <c r="D61" s="245" t="s">
        <v>890</v>
      </c>
      <c r="E61" s="246"/>
      <c r="F61" s="247"/>
      <c r="G61" s="247"/>
      <c r="H61" s="247"/>
      <c r="I61" s="247"/>
      <c r="J61" s="248"/>
      <c r="K61" s="248"/>
      <c r="L61" s="248" t="s">
        <v>891</v>
      </c>
      <c r="M61" s="248"/>
      <c r="N61" s="249">
        <f t="shared" si="4"/>
        <v>3.6619999999999999</v>
      </c>
      <c r="O61" s="256">
        <v>3.6619999999999999</v>
      </c>
      <c r="P61" s="249">
        <f>$P$4</f>
        <v>0</v>
      </c>
      <c r="Q61" s="249" t="s">
        <v>722</v>
      </c>
      <c r="R61" s="251">
        <v>28246.39</v>
      </c>
      <c r="S61" s="251">
        <f>SUM(S60:$AR60)*$N61/100</f>
        <v>26940.198779999999</v>
      </c>
      <c r="T61" s="251">
        <f>SUM(T60:$AR60)*$N61/100</f>
        <v>25851.705899999997</v>
      </c>
      <c r="U61" s="251">
        <f>SUM(U60:$AR60)*$N61/100</f>
        <v>24763.213020000003</v>
      </c>
      <c r="V61" s="251">
        <f>SUM(V60:$AR60)*$N61/100</f>
        <v>23674.720140000001</v>
      </c>
      <c r="W61" s="251">
        <f>SUM(W60:$AR60)*$N61/100</f>
        <v>22586.22726</v>
      </c>
      <c r="X61" s="251">
        <f>SUM(X60:$AR60)*$N61/100</f>
        <v>21497.734380000002</v>
      </c>
      <c r="Y61" s="251">
        <f>SUM(Y60:$AR60)*$N61/100</f>
        <v>20409.2415</v>
      </c>
      <c r="Z61" s="251">
        <f>SUM(Z60:$AR60)*$N61/100</f>
        <v>19320.748619999998</v>
      </c>
      <c r="AA61" s="251">
        <f>SUM(AA60:$AR60)*$N61/100</f>
        <v>18232.255740000001</v>
      </c>
      <c r="AB61" s="251">
        <f>SUM(AB60:$AR60)*$N61/100</f>
        <v>17143.762859999999</v>
      </c>
      <c r="AC61" s="251">
        <f>SUM(AC60:$AR60)*$N61/100</f>
        <v>16055.269979999999</v>
      </c>
      <c r="AD61" s="251">
        <f>SUM(AD60:$AR60)*$N61/100</f>
        <v>14966.777099999999</v>
      </c>
      <c r="AE61" s="251">
        <f>SUM(AE60:$AR60)*$N61/100</f>
        <v>13878.28422</v>
      </c>
      <c r="AF61" s="251">
        <f>SUM(AF60:$AR60)*$N61/100</f>
        <v>12789.791340000002</v>
      </c>
      <c r="AG61" s="251">
        <f>SUM(AG60:$AR60)*$N61/100</f>
        <v>11701.298459999998</v>
      </c>
      <c r="AH61" s="251">
        <f>SUM(AH60:$AR60)*$N61/100</f>
        <v>10612.80558</v>
      </c>
      <c r="AI61" s="251">
        <f>SUM(AI60:$AR60)*$N61/100</f>
        <v>9524.3127000000004</v>
      </c>
      <c r="AJ61" s="251">
        <f>SUM(AJ60:$AR60)*$N61/100</f>
        <v>8435.8198199999988</v>
      </c>
      <c r="AK61" s="251">
        <f>SUM(AK60:$AR60)*$N61/100</f>
        <v>7347.3269399999999</v>
      </c>
      <c r="AL61" s="251">
        <f>SUM(AL60:$AR60)*$N61/100</f>
        <v>6258.8340599999992</v>
      </c>
      <c r="AM61" s="251">
        <f>SUM(AM60:$AR60)*$N61/100</f>
        <v>5170.3411800000003</v>
      </c>
      <c r="AN61" s="251">
        <f>SUM(AN60:$AR60)*$N61/100</f>
        <v>4081.8483000000001</v>
      </c>
      <c r="AO61" s="251">
        <f>SUM(AO60:$AR60)*$N61/100</f>
        <v>2993.3554200000003</v>
      </c>
      <c r="AP61" s="251">
        <f>SUM(AP60:$AR60)*$N61/100</f>
        <v>1904.8625399999999</v>
      </c>
      <c r="AQ61" s="251">
        <f>SUM(AQ60:$AR60)*$N61/100</f>
        <v>816.36965999999995</v>
      </c>
      <c r="AR61" s="251">
        <v>0</v>
      </c>
      <c r="AS61" s="251"/>
      <c r="AT61" s="251"/>
      <c r="AU61" s="252">
        <f t="shared" si="0"/>
        <v>375203.49549999996</v>
      </c>
      <c r="AV61" s="239">
        <f t="shared" si="1"/>
        <v>0</v>
      </c>
      <c r="AW61" s="253">
        <f t="shared" si="2"/>
        <v>201643.30602000002</v>
      </c>
      <c r="AX61" s="254">
        <f t="shared" si="3"/>
        <v>375203.49550000002</v>
      </c>
    </row>
    <row r="62" spans="1:50" s="228" customFormat="1" outlineLevel="1" x14ac:dyDescent="0.25">
      <c r="B62" s="229" t="s">
        <v>757</v>
      </c>
      <c r="C62" s="230">
        <v>29</v>
      </c>
      <c r="D62" s="231" t="s">
        <v>892</v>
      </c>
      <c r="E62" s="232" t="s">
        <v>893</v>
      </c>
      <c r="F62" s="233" t="s">
        <v>894</v>
      </c>
      <c r="G62" s="233" t="s">
        <v>888</v>
      </c>
      <c r="H62" s="233" t="s">
        <v>895</v>
      </c>
      <c r="I62" s="233" t="s">
        <v>718</v>
      </c>
      <c r="J62" s="234">
        <v>347420.04</v>
      </c>
      <c r="K62" s="235">
        <v>291126</v>
      </c>
      <c r="L62" s="235"/>
      <c r="M62" s="235"/>
      <c r="N62" s="236"/>
      <c r="O62" s="236"/>
      <c r="P62" s="236"/>
      <c r="Q62" s="236" t="s">
        <v>719</v>
      </c>
      <c r="R62" s="237">
        <v>18788</v>
      </c>
      <c r="S62" s="237">
        <v>18788</v>
      </c>
      <c r="T62" s="237">
        <v>18788</v>
      </c>
      <c r="U62" s="237">
        <v>18788</v>
      </c>
      <c r="V62" s="237">
        <v>18788</v>
      </c>
      <c r="W62" s="237">
        <v>18788</v>
      </c>
      <c r="X62" s="237">
        <v>18788</v>
      </c>
      <c r="Y62" s="237">
        <v>18788</v>
      </c>
      <c r="Z62" s="237">
        <v>18788</v>
      </c>
      <c r="AA62" s="237">
        <v>18788</v>
      </c>
      <c r="AB62" s="237">
        <v>18788</v>
      </c>
      <c r="AC62" s="237">
        <v>18788</v>
      </c>
      <c r="AD62" s="237">
        <v>18788</v>
      </c>
      <c r="AE62" s="237">
        <v>18788</v>
      </c>
      <c r="AF62" s="237">
        <v>18788</v>
      </c>
      <c r="AG62" s="237">
        <v>9306.0400000000009</v>
      </c>
      <c r="AH62" s="237">
        <v>0</v>
      </c>
      <c r="AI62" s="237">
        <v>0</v>
      </c>
      <c r="AJ62" s="237">
        <v>0</v>
      </c>
      <c r="AK62" s="237">
        <v>0</v>
      </c>
      <c r="AL62" s="237">
        <v>0</v>
      </c>
      <c r="AM62" s="237">
        <v>0</v>
      </c>
      <c r="AN62" s="237">
        <v>0</v>
      </c>
      <c r="AO62" s="237">
        <v>0</v>
      </c>
      <c r="AP62" s="237">
        <v>0</v>
      </c>
      <c r="AQ62" s="237">
        <v>0</v>
      </c>
      <c r="AR62" s="237">
        <v>0</v>
      </c>
      <c r="AS62" s="237"/>
      <c r="AT62" s="237"/>
      <c r="AU62" s="238">
        <f t="shared" si="0"/>
        <v>291126.03999999998</v>
      </c>
      <c r="AV62" s="239">
        <f t="shared" si="1"/>
        <v>0</v>
      </c>
      <c r="AW62" s="240">
        <f t="shared" si="2"/>
        <v>159610.04</v>
      </c>
      <c r="AX62" s="241">
        <f t="shared" si="3"/>
        <v>291126.04000000004</v>
      </c>
    </row>
    <row r="63" spans="1:50" outlineLevel="1" x14ac:dyDescent="0.25">
      <c r="B63" s="243" t="s">
        <v>757</v>
      </c>
      <c r="C63" s="244"/>
      <c r="D63" s="245" t="s">
        <v>896</v>
      </c>
      <c r="E63" s="246"/>
      <c r="F63" s="247"/>
      <c r="G63" s="247"/>
      <c r="H63" s="247"/>
      <c r="I63" s="247"/>
      <c r="J63" s="248"/>
      <c r="K63" s="248"/>
      <c r="L63" s="248" t="s">
        <v>891</v>
      </c>
      <c r="M63" s="248"/>
      <c r="N63" s="249">
        <f t="shared" si="4"/>
        <v>3.4340000000000002</v>
      </c>
      <c r="O63" s="256">
        <v>3.4340000000000002</v>
      </c>
      <c r="P63" s="249">
        <f>$P$4</f>
        <v>0</v>
      </c>
      <c r="Q63" s="249" t="s">
        <v>722</v>
      </c>
      <c r="R63" s="251">
        <v>10034.41</v>
      </c>
      <c r="S63" s="251">
        <f>SUM(S62:$AR62)*$N63/100</f>
        <v>9352.0882935999998</v>
      </c>
      <c r="T63" s="251">
        <f>SUM(T62:$AR62)*$N63/100</f>
        <v>8706.9083736000011</v>
      </c>
      <c r="U63" s="251">
        <f>SUM(U62:$AR62)*$N63/100</f>
        <v>8061.7284536000006</v>
      </c>
      <c r="V63" s="251">
        <f>SUM(V62:$AR62)*$N63/100</f>
        <v>7416.5485336000011</v>
      </c>
      <c r="W63" s="251">
        <f>SUM(W62:$AR62)*$N63/100</f>
        <v>6771.3686136000006</v>
      </c>
      <c r="X63" s="251">
        <f>SUM(X62:$AR62)*$N63/100</f>
        <v>6126.1886936000001</v>
      </c>
      <c r="Y63" s="251">
        <f>SUM(Y62:$AR62)*$N63/100</f>
        <v>5481.0087736000005</v>
      </c>
      <c r="Z63" s="251">
        <f>SUM(Z62:$AR62)*$N63/100</f>
        <v>4835.8288536000009</v>
      </c>
      <c r="AA63" s="251">
        <f>SUM(AA62:$AR62)*$N63/100</f>
        <v>4190.6489336000004</v>
      </c>
      <c r="AB63" s="251">
        <f>SUM(AB62:$AR62)*$N63/100</f>
        <v>3545.4690136000004</v>
      </c>
      <c r="AC63" s="251">
        <f>SUM(AC62:$AR62)*$N63/100</f>
        <v>2900.2890936000003</v>
      </c>
      <c r="AD63" s="251">
        <f>SUM(AD62:$AR62)*$N63/100</f>
        <v>2255.1091736000003</v>
      </c>
      <c r="AE63" s="251">
        <f>SUM(AE62:$AR62)*$N63/100</f>
        <v>1609.9292536000003</v>
      </c>
      <c r="AF63" s="251">
        <f>SUM(AF62:$AR62)*$N63/100</f>
        <v>964.74933360000011</v>
      </c>
      <c r="AG63" s="251">
        <f>SUM(AG62:$AR62)*$N63/100</f>
        <v>319.56941360000002</v>
      </c>
      <c r="AH63" s="251">
        <v>0</v>
      </c>
      <c r="AI63" s="251">
        <v>0</v>
      </c>
      <c r="AJ63" s="251">
        <v>0</v>
      </c>
      <c r="AK63" s="251">
        <v>0</v>
      </c>
      <c r="AL63" s="251">
        <v>0</v>
      </c>
      <c r="AM63" s="251">
        <v>0</v>
      </c>
      <c r="AN63" s="251">
        <v>0</v>
      </c>
      <c r="AO63" s="251">
        <v>0</v>
      </c>
      <c r="AP63" s="251">
        <v>0</v>
      </c>
      <c r="AQ63" s="251">
        <v>0</v>
      </c>
      <c r="AR63" s="251">
        <v>0</v>
      </c>
      <c r="AS63" s="251"/>
      <c r="AT63" s="251"/>
      <c r="AU63" s="252">
        <f t="shared" si="0"/>
        <v>82571.842804</v>
      </c>
      <c r="AV63" s="239">
        <f t="shared" si="1"/>
        <v>0</v>
      </c>
      <c r="AW63" s="253">
        <f t="shared" si="2"/>
        <v>26102.601842400003</v>
      </c>
      <c r="AX63" s="254">
        <f t="shared" si="3"/>
        <v>82571.842804000014</v>
      </c>
    </row>
    <row r="64" spans="1:50" s="228" customFormat="1" outlineLevel="1" x14ac:dyDescent="0.25">
      <c r="B64" s="229" t="s">
        <v>712</v>
      </c>
      <c r="C64" s="230">
        <v>30</v>
      </c>
      <c r="D64" s="231" t="s">
        <v>897</v>
      </c>
      <c r="E64" s="232" t="s">
        <v>898</v>
      </c>
      <c r="F64" s="233" t="s">
        <v>899</v>
      </c>
      <c r="G64" s="233" t="s">
        <v>900</v>
      </c>
      <c r="H64" s="233" t="s">
        <v>901</v>
      </c>
      <c r="I64" s="233" t="s">
        <v>718</v>
      </c>
      <c r="J64" s="234">
        <v>53218</v>
      </c>
      <c r="K64" s="235">
        <v>8403</v>
      </c>
      <c r="L64" s="235"/>
      <c r="M64" s="235"/>
      <c r="N64" s="236"/>
      <c r="O64" s="236"/>
      <c r="P64" s="236"/>
      <c r="Q64" s="236" t="s">
        <v>719</v>
      </c>
      <c r="R64" s="237">
        <v>8403</v>
      </c>
      <c r="S64" s="237">
        <v>0</v>
      </c>
      <c r="T64" s="237">
        <v>0</v>
      </c>
      <c r="U64" s="237">
        <v>0</v>
      </c>
      <c r="V64" s="237">
        <v>0</v>
      </c>
      <c r="W64" s="237">
        <v>0</v>
      </c>
      <c r="X64" s="237">
        <v>0</v>
      </c>
      <c r="Y64" s="237">
        <v>0</v>
      </c>
      <c r="Z64" s="237">
        <v>0</v>
      </c>
      <c r="AA64" s="237">
        <v>0</v>
      </c>
      <c r="AB64" s="237">
        <v>0</v>
      </c>
      <c r="AC64" s="237">
        <v>0</v>
      </c>
      <c r="AD64" s="237">
        <v>0</v>
      </c>
      <c r="AE64" s="237">
        <v>0</v>
      </c>
      <c r="AF64" s="237">
        <v>0</v>
      </c>
      <c r="AG64" s="237">
        <v>0</v>
      </c>
      <c r="AH64" s="237">
        <v>0</v>
      </c>
      <c r="AI64" s="237">
        <v>0</v>
      </c>
      <c r="AJ64" s="237">
        <v>0</v>
      </c>
      <c r="AK64" s="237">
        <v>0</v>
      </c>
      <c r="AL64" s="237">
        <v>0</v>
      </c>
      <c r="AM64" s="237">
        <v>0</v>
      </c>
      <c r="AN64" s="237">
        <v>0</v>
      </c>
      <c r="AO64" s="237">
        <v>0</v>
      </c>
      <c r="AP64" s="237">
        <v>0</v>
      </c>
      <c r="AQ64" s="237">
        <v>0</v>
      </c>
      <c r="AR64" s="237">
        <v>0</v>
      </c>
      <c r="AS64" s="237"/>
      <c r="AT64" s="237"/>
      <c r="AU64" s="238">
        <f t="shared" si="0"/>
        <v>8403</v>
      </c>
      <c r="AV64" s="239">
        <f t="shared" si="1"/>
        <v>0</v>
      </c>
      <c r="AW64" s="240">
        <f t="shared" si="2"/>
        <v>0</v>
      </c>
      <c r="AX64" s="241">
        <f t="shared" si="3"/>
        <v>8403</v>
      </c>
    </row>
    <row r="65" spans="2:50" outlineLevel="1" x14ac:dyDescent="0.25">
      <c r="B65" s="243" t="s">
        <v>712</v>
      </c>
      <c r="C65" s="244"/>
      <c r="D65" s="245"/>
      <c r="E65" s="246"/>
      <c r="F65" s="247"/>
      <c r="G65" s="247"/>
      <c r="H65" s="247"/>
      <c r="I65" s="247"/>
      <c r="J65" s="248"/>
      <c r="K65" s="248"/>
      <c r="L65" s="248">
        <v>0</v>
      </c>
      <c r="M65" s="248" t="s">
        <v>902</v>
      </c>
      <c r="N65" s="249">
        <f t="shared" si="4"/>
        <v>0.25</v>
      </c>
      <c r="O65" s="249">
        <v>0.25</v>
      </c>
      <c r="P65" s="249">
        <f>$P$4</f>
        <v>0</v>
      </c>
      <c r="Q65" s="249" t="s">
        <v>722</v>
      </c>
      <c r="R65" s="251">
        <v>17</v>
      </c>
      <c r="S65" s="251">
        <v>0</v>
      </c>
      <c r="T65" s="251">
        <v>0</v>
      </c>
      <c r="U65" s="251">
        <v>0</v>
      </c>
      <c r="V65" s="251">
        <v>0</v>
      </c>
      <c r="W65" s="251">
        <v>0</v>
      </c>
      <c r="X65" s="251">
        <v>0</v>
      </c>
      <c r="Y65" s="251">
        <v>0</v>
      </c>
      <c r="Z65" s="251">
        <v>0</v>
      </c>
      <c r="AA65" s="251">
        <v>0</v>
      </c>
      <c r="AB65" s="251">
        <v>0</v>
      </c>
      <c r="AC65" s="251">
        <v>0</v>
      </c>
      <c r="AD65" s="251">
        <v>0</v>
      </c>
      <c r="AE65" s="251">
        <v>0</v>
      </c>
      <c r="AF65" s="251">
        <v>0</v>
      </c>
      <c r="AG65" s="251">
        <v>0</v>
      </c>
      <c r="AH65" s="251">
        <v>0</v>
      </c>
      <c r="AI65" s="251">
        <v>0</v>
      </c>
      <c r="AJ65" s="251">
        <v>0</v>
      </c>
      <c r="AK65" s="251">
        <v>0</v>
      </c>
      <c r="AL65" s="251">
        <v>0</v>
      </c>
      <c r="AM65" s="251">
        <v>0</v>
      </c>
      <c r="AN65" s="251">
        <v>0</v>
      </c>
      <c r="AO65" s="251">
        <v>0</v>
      </c>
      <c r="AP65" s="251">
        <v>0</v>
      </c>
      <c r="AQ65" s="251">
        <v>0</v>
      </c>
      <c r="AR65" s="251">
        <v>0</v>
      </c>
      <c r="AS65" s="251"/>
      <c r="AT65" s="251"/>
      <c r="AU65" s="252">
        <f t="shared" si="0"/>
        <v>17</v>
      </c>
      <c r="AV65" s="239">
        <f t="shared" si="1"/>
        <v>0</v>
      </c>
      <c r="AW65" s="253">
        <f t="shared" si="2"/>
        <v>0</v>
      </c>
      <c r="AX65" s="254">
        <f t="shared" si="3"/>
        <v>17</v>
      </c>
    </row>
    <row r="66" spans="2:50" s="228" customFormat="1" outlineLevel="1" x14ac:dyDescent="0.25">
      <c r="B66" s="229" t="s">
        <v>712</v>
      </c>
      <c r="C66" s="230">
        <v>31</v>
      </c>
      <c r="D66" s="231" t="s">
        <v>903</v>
      </c>
      <c r="E66" s="232" t="s">
        <v>904</v>
      </c>
      <c r="F66" s="233" t="s">
        <v>905</v>
      </c>
      <c r="G66" s="233" t="s">
        <v>900</v>
      </c>
      <c r="H66" s="233" t="s">
        <v>901</v>
      </c>
      <c r="I66" s="233" t="s">
        <v>718</v>
      </c>
      <c r="J66" s="234">
        <v>46991.33</v>
      </c>
      <c r="K66" s="235">
        <v>7420</v>
      </c>
      <c r="L66" s="235"/>
      <c r="M66" s="235"/>
      <c r="N66" s="236"/>
      <c r="O66" s="236"/>
      <c r="P66" s="236"/>
      <c r="Q66" s="236" t="s">
        <v>719</v>
      </c>
      <c r="R66" s="237">
        <v>7420.33</v>
      </c>
      <c r="S66" s="237">
        <v>0</v>
      </c>
      <c r="T66" s="237">
        <v>0</v>
      </c>
      <c r="U66" s="237">
        <v>0</v>
      </c>
      <c r="V66" s="237">
        <v>0</v>
      </c>
      <c r="W66" s="237">
        <v>0</v>
      </c>
      <c r="X66" s="237">
        <v>0</v>
      </c>
      <c r="Y66" s="237">
        <v>0</v>
      </c>
      <c r="Z66" s="237">
        <v>0</v>
      </c>
      <c r="AA66" s="237">
        <v>0</v>
      </c>
      <c r="AB66" s="237">
        <v>0</v>
      </c>
      <c r="AC66" s="237">
        <v>0</v>
      </c>
      <c r="AD66" s="237">
        <v>0</v>
      </c>
      <c r="AE66" s="237">
        <v>0</v>
      </c>
      <c r="AF66" s="237">
        <v>0</v>
      </c>
      <c r="AG66" s="237">
        <v>0</v>
      </c>
      <c r="AH66" s="237">
        <v>0</v>
      </c>
      <c r="AI66" s="237">
        <v>0</v>
      </c>
      <c r="AJ66" s="237">
        <v>0</v>
      </c>
      <c r="AK66" s="237">
        <v>0</v>
      </c>
      <c r="AL66" s="237">
        <v>0</v>
      </c>
      <c r="AM66" s="237">
        <v>0</v>
      </c>
      <c r="AN66" s="237">
        <v>0</v>
      </c>
      <c r="AO66" s="237">
        <v>0</v>
      </c>
      <c r="AP66" s="237">
        <v>0</v>
      </c>
      <c r="AQ66" s="237">
        <v>0</v>
      </c>
      <c r="AR66" s="237">
        <v>0</v>
      </c>
      <c r="AS66" s="237"/>
      <c r="AT66" s="237"/>
      <c r="AU66" s="238">
        <f t="shared" si="0"/>
        <v>7420.33</v>
      </c>
      <c r="AV66" s="239">
        <f t="shared" si="1"/>
        <v>0</v>
      </c>
      <c r="AW66" s="240">
        <f t="shared" si="2"/>
        <v>0</v>
      </c>
      <c r="AX66" s="241">
        <f t="shared" si="3"/>
        <v>7420.33</v>
      </c>
    </row>
    <row r="67" spans="2:50" outlineLevel="1" x14ac:dyDescent="0.25">
      <c r="B67" s="243" t="s">
        <v>712</v>
      </c>
      <c r="C67" s="244"/>
      <c r="D67" s="245"/>
      <c r="E67" s="246"/>
      <c r="F67" s="247"/>
      <c r="G67" s="247"/>
      <c r="H67" s="247"/>
      <c r="I67" s="247"/>
      <c r="J67" s="248"/>
      <c r="K67" s="248"/>
      <c r="L67" s="248">
        <v>0</v>
      </c>
      <c r="M67" s="248" t="s">
        <v>902</v>
      </c>
      <c r="N67" s="249">
        <f t="shared" si="4"/>
        <v>0.25</v>
      </c>
      <c r="O67" s="249">
        <v>0.25</v>
      </c>
      <c r="P67" s="249">
        <f>$P$4</f>
        <v>0</v>
      </c>
      <c r="Q67" s="249" t="s">
        <v>722</v>
      </c>
      <c r="R67" s="251">
        <v>15</v>
      </c>
      <c r="S67" s="251">
        <v>0</v>
      </c>
      <c r="T67" s="251">
        <v>0</v>
      </c>
      <c r="U67" s="251">
        <v>0</v>
      </c>
      <c r="V67" s="251">
        <v>0</v>
      </c>
      <c r="W67" s="251">
        <v>0</v>
      </c>
      <c r="X67" s="251">
        <v>0</v>
      </c>
      <c r="Y67" s="251">
        <v>0</v>
      </c>
      <c r="Z67" s="251">
        <v>0</v>
      </c>
      <c r="AA67" s="251">
        <v>0</v>
      </c>
      <c r="AB67" s="251">
        <v>0</v>
      </c>
      <c r="AC67" s="251">
        <v>0</v>
      </c>
      <c r="AD67" s="251">
        <v>0</v>
      </c>
      <c r="AE67" s="251">
        <v>0</v>
      </c>
      <c r="AF67" s="251">
        <v>0</v>
      </c>
      <c r="AG67" s="251">
        <v>0</v>
      </c>
      <c r="AH67" s="251">
        <v>0</v>
      </c>
      <c r="AI67" s="251">
        <v>0</v>
      </c>
      <c r="AJ67" s="251">
        <v>0</v>
      </c>
      <c r="AK67" s="251">
        <v>0</v>
      </c>
      <c r="AL67" s="251">
        <v>0</v>
      </c>
      <c r="AM67" s="251">
        <v>0</v>
      </c>
      <c r="AN67" s="251">
        <v>0</v>
      </c>
      <c r="AO67" s="251">
        <v>0</v>
      </c>
      <c r="AP67" s="251">
        <v>0</v>
      </c>
      <c r="AQ67" s="251">
        <v>0</v>
      </c>
      <c r="AR67" s="251">
        <v>0</v>
      </c>
      <c r="AS67" s="251"/>
      <c r="AT67" s="251"/>
      <c r="AU67" s="252">
        <f t="shared" si="0"/>
        <v>15</v>
      </c>
      <c r="AV67" s="239">
        <f t="shared" si="1"/>
        <v>0</v>
      </c>
      <c r="AW67" s="253">
        <f t="shared" si="2"/>
        <v>0</v>
      </c>
      <c r="AX67" s="254">
        <f t="shared" si="3"/>
        <v>15</v>
      </c>
    </row>
    <row r="68" spans="2:50" s="228" customFormat="1" outlineLevel="1" x14ac:dyDescent="0.25">
      <c r="B68" s="229" t="s">
        <v>757</v>
      </c>
      <c r="C68" s="230">
        <v>32</v>
      </c>
      <c r="D68" s="231" t="s">
        <v>906</v>
      </c>
      <c r="E68" s="232" t="s">
        <v>907</v>
      </c>
      <c r="F68" s="233" t="s">
        <v>908</v>
      </c>
      <c r="G68" s="233" t="s">
        <v>909</v>
      </c>
      <c r="H68" s="233" t="s">
        <v>910</v>
      </c>
      <c r="I68" s="233" t="s">
        <v>718</v>
      </c>
      <c r="J68" s="234">
        <v>9703992</v>
      </c>
      <c r="K68" s="235">
        <v>8970516</v>
      </c>
      <c r="L68" s="235"/>
      <c r="M68" s="235"/>
      <c r="N68" s="236"/>
      <c r="O68" s="236"/>
      <c r="P68" s="236"/>
      <c r="Q68" s="236" t="s">
        <v>719</v>
      </c>
      <c r="R68" s="237">
        <v>343508</v>
      </c>
      <c r="S68" s="237">
        <v>343508</v>
      </c>
      <c r="T68" s="237">
        <v>343508</v>
      </c>
      <c r="U68" s="237">
        <v>343508</v>
      </c>
      <c r="V68" s="237">
        <v>343508</v>
      </c>
      <c r="W68" s="237">
        <v>343508</v>
      </c>
      <c r="X68" s="237">
        <v>343508</v>
      </c>
      <c r="Y68" s="237">
        <v>343508</v>
      </c>
      <c r="Z68" s="237">
        <v>343508</v>
      </c>
      <c r="AA68" s="237">
        <v>343508</v>
      </c>
      <c r="AB68" s="237">
        <v>343508</v>
      </c>
      <c r="AC68" s="237">
        <v>343508</v>
      </c>
      <c r="AD68" s="237">
        <v>343508</v>
      </c>
      <c r="AE68" s="237">
        <v>343508</v>
      </c>
      <c r="AF68" s="237">
        <v>343508</v>
      </c>
      <c r="AG68" s="237">
        <v>343508</v>
      </c>
      <c r="AH68" s="237">
        <v>343508</v>
      </c>
      <c r="AI68" s="237">
        <v>343508</v>
      </c>
      <c r="AJ68" s="237">
        <v>343508</v>
      </c>
      <c r="AK68" s="237">
        <v>343508</v>
      </c>
      <c r="AL68" s="237">
        <v>343508</v>
      </c>
      <c r="AM68" s="237">
        <v>343508</v>
      </c>
      <c r="AN68" s="237">
        <v>343508</v>
      </c>
      <c r="AO68" s="237">
        <v>343508</v>
      </c>
      <c r="AP68" s="237">
        <v>343508</v>
      </c>
      <c r="AQ68" s="237">
        <v>343508</v>
      </c>
      <c r="AR68" s="237">
        <v>39307.919999999998</v>
      </c>
      <c r="AS68" s="237"/>
      <c r="AT68" s="237"/>
      <c r="AU68" s="238">
        <f t="shared" si="0"/>
        <v>8970515.9199999999</v>
      </c>
      <c r="AV68" s="239">
        <f t="shared" si="1"/>
        <v>0</v>
      </c>
      <c r="AW68" s="240">
        <f t="shared" si="2"/>
        <v>6565959.9199999999</v>
      </c>
      <c r="AX68" s="241">
        <f t="shared" si="3"/>
        <v>8970515.9199999999</v>
      </c>
    </row>
    <row r="69" spans="2:50" outlineLevel="1" x14ac:dyDescent="0.25">
      <c r="B69" s="243" t="s">
        <v>757</v>
      </c>
      <c r="C69" s="244"/>
      <c r="D69" s="245"/>
      <c r="E69" s="246"/>
      <c r="F69" s="247"/>
      <c r="G69" s="247"/>
      <c r="H69" s="247"/>
      <c r="I69" s="247"/>
      <c r="J69" s="248"/>
      <c r="K69" s="248"/>
      <c r="L69" s="248" t="s">
        <v>911</v>
      </c>
      <c r="M69" s="248"/>
      <c r="N69" s="249">
        <f t="shared" si="4"/>
        <v>3.55</v>
      </c>
      <c r="O69" s="250">
        <v>3.55</v>
      </c>
      <c r="P69" s="249">
        <f>$P$4</f>
        <v>0</v>
      </c>
      <c r="Q69" s="249" t="s">
        <v>722</v>
      </c>
      <c r="R69" s="251">
        <v>329375.01</v>
      </c>
      <c r="S69" s="251">
        <f>SUM(S68:$AR68)*$N69/100</f>
        <v>306258.78115999995</v>
      </c>
      <c r="T69" s="251">
        <f>SUM(T68:$AR68)*$N69/100</f>
        <v>294064.24715999997</v>
      </c>
      <c r="U69" s="251">
        <f>SUM(U68:$AR68)*$N69/100</f>
        <v>281869.71315999998</v>
      </c>
      <c r="V69" s="251">
        <f>SUM(V68:$AR68)*$N69/100</f>
        <v>269675.17916</v>
      </c>
      <c r="W69" s="251">
        <f>SUM(W68:$AR68)*$N69/100</f>
        <v>257480.64515999999</v>
      </c>
      <c r="X69" s="251">
        <f>SUM(X68:$AR68)*$N69/100</f>
        <v>245286.11115999997</v>
      </c>
      <c r="Y69" s="251">
        <f>SUM(Y68:$AR68)*$N69/100</f>
        <v>233091.57715999999</v>
      </c>
      <c r="Z69" s="251">
        <f>SUM(Z68:$AR68)*$N69/100</f>
        <v>220897.04316</v>
      </c>
      <c r="AA69" s="251">
        <f>SUM(AA68:$AR68)*$N69/100</f>
        <v>208702.50915999999</v>
      </c>
      <c r="AB69" s="251">
        <f>SUM(AB68:$AR68)*$N69/100</f>
        <v>196507.97516</v>
      </c>
      <c r="AC69" s="251">
        <f>SUM(AC68:$AR68)*$N69/100</f>
        <v>184313.44116000002</v>
      </c>
      <c r="AD69" s="251">
        <f>SUM(AD68:$AR68)*$N69/100</f>
        <v>172118.90715999997</v>
      </c>
      <c r="AE69" s="251">
        <f>SUM(AE68:$AR68)*$N69/100</f>
        <v>159924.37315999999</v>
      </c>
      <c r="AF69" s="251">
        <f>SUM(AF68:$AR68)*$N69/100</f>
        <v>147729.83916</v>
      </c>
      <c r="AG69" s="251">
        <f>SUM(AG68:$AR68)*$N69/100</f>
        <v>135535.30515999999</v>
      </c>
      <c r="AH69" s="251">
        <f>SUM(AH68:$AR68)*$N69/100</f>
        <v>123340.77115999999</v>
      </c>
      <c r="AI69" s="251">
        <f>SUM(AI68:$AR68)*$N69/100</f>
        <v>111146.23716</v>
      </c>
      <c r="AJ69" s="251">
        <f>SUM(AJ68:$AR68)*$N69/100</f>
        <v>98951.70315999999</v>
      </c>
      <c r="AK69" s="251">
        <f>SUM(AK68:$AR68)*$N69/100</f>
        <v>86757.16915999999</v>
      </c>
      <c r="AL69" s="251">
        <f>SUM(AL68:$AR68)*$N69/100</f>
        <v>74562.635159999991</v>
      </c>
      <c r="AM69" s="251">
        <f>SUM(AM68:$AR68)*$N69/100</f>
        <v>62368.101159999991</v>
      </c>
      <c r="AN69" s="251">
        <f>SUM(AN68:$AR68)*$N69/100</f>
        <v>50173.567159999991</v>
      </c>
      <c r="AO69" s="251">
        <f>SUM(AO68:$AR68)*$N69/100</f>
        <v>37979.033159999999</v>
      </c>
      <c r="AP69" s="251">
        <f>SUM(AP68:$AR68)*$N69/100</f>
        <v>25784.499160000003</v>
      </c>
      <c r="AQ69" s="251">
        <f>SUM(AQ68:$AR68)*$N69/100</f>
        <v>13589.965159999998</v>
      </c>
      <c r="AR69" s="251">
        <f>SUM(AR68:$AR68)*$N69/100</f>
        <v>1395.4311599999999</v>
      </c>
      <c r="AS69" s="251"/>
      <c r="AT69" s="251"/>
      <c r="AU69" s="252">
        <f t="shared" si="0"/>
        <v>4328879.7701599998</v>
      </c>
      <c r="AV69" s="239">
        <f t="shared" si="1"/>
        <v>0</v>
      </c>
      <c r="AW69" s="253">
        <f t="shared" si="2"/>
        <v>2344870.0832000007</v>
      </c>
      <c r="AX69" s="254">
        <f t="shared" si="3"/>
        <v>4328879.7701600008</v>
      </c>
    </row>
    <row r="70" spans="2:50" s="261" customFormat="1" outlineLevel="1" x14ac:dyDescent="0.25">
      <c r="B70" s="257" t="s">
        <v>757</v>
      </c>
      <c r="C70" s="258">
        <v>33</v>
      </c>
      <c r="D70" s="259" t="s">
        <v>912</v>
      </c>
      <c r="E70" s="232" t="s">
        <v>913</v>
      </c>
      <c r="F70" s="232" t="s">
        <v>914</v>
      </c>
      <c r="G70" s="232" t="s">
        <v>909</v>
      </c>
      <c r="H70" s="232" t="s">
        <v>915</v>
      </c>
      <c r="I70" s="232" t="s">
        <v>718</v>
      </c>
      <c r="J70" s="234">
        <v>43430</v>
      </c>
      <c r="K70" s="235">
        <v>5300</v>
      </c>
      <c r="L70" s="235"/>
      <c r="M70" s="235"/>
      <c r="N70" s="236"/>
      <c r="O70" s="236"/>
      <c r="P70" s="236"/>
      <c r="Q70" s="236" t="s">
        <v>719</v>
      </c>
      <c r="R70" s="237">
        <v>848</v>
      </c>
      <c r="S70" s="237">
        <v>848</v>
      </c>
      <c r="T70" s="237">
        <v>848</v>
      </c>
      <c r="U70" s="237">
        <v>848</v>
      </c>
      <c r="V70" s="237">
        <v>848</v>
      </c>
      <c r="W70" s="237">
        <v>848</v>
      </c>
      <c r="X70" s="237">
        <v>212</v>
      </c>
      <c r="Y70" s="237">
        <v>0</v>
      </c>
      <c r="Z70" s="237">
        <v>0</v>
      </c>
      <c r="AA70" s="237">
        <v>0</v>
      </c>
      <c r="AB70" s="237">
        <v>0</v>
      </c>
      <c r="AC70" s="237">
        <v>0</v>
      </c>
      <c r="AD70" s="237">
        <v>0</v>
      </c>
      <c r="AE70" s="237">
        <v>0</v>
      </c>
      <c r="AF70" s="237">
        <v>0</v>
      </c>
      <c r="AG70" s="237">
        <v>0</v>
      </c>
      <c r="AH70" s="237">
        <v>0</v>
      </c>
      <c r="AI70" s="237">
        <v>0</v>
      </c>
      <c r="AJ70" s="237">
        <v>0</v>
      </c>
      <c r="AK70" s="237">
        <v>0</v>
      </c>
      <c r="AL70" s="237">
        <v>0</v>
      </c>
      <c r="AM70" s="237">
        <v>0</v>
      </c>
      <c r="AN70" s="237">
        <v>0</v>
      </c>
      <c r="AO70" s="237">
        <v>0</v>
      </c>
      <c r="AP70" s="237">
        <v>0</v>
      </c>
      <c r="AQ70" s="237">
        <v>0</v>
      </c>
      <c r="AR70" s="237">
        <v>0</v>
      </c>
      <c r="AS70" s="237"/>
      <c r="AT70" s="237"/>
      <c r="AU70" s="241">
        <f t="shared" si="0"/>
        <v>5300</v>
      </c>
      <c r="AV70" s="260">
        <f t="shared" si="1"/>
        <v>0</v>
      </c>
      <c r="AW70" s="240">
        <f t="shared" si="2"/>
        <v>0</v>
      </c>
      <c r="AX70" s="241">
        <f t="shared" si="3"/>
        <v>5300</v>
      </c>
    </row>
    <row r="71" spans="2:50" s="210" customFormat="1" outlineLevel="1" x14ac:dyDescent="0.25">
      <c r="B71" s="262" t="s">
        <v>757</v>
      </c>
      <c r="C71" s="263"/>
      <c r="D71" s="264"/>
      <c r="E71" s="246"/>
      <c r="F71" s="246"/>
      <c r="G71" s="246"/>
      <c r="H71" s="246"/>
      <c r="I71" s="246"/>
      <c r="J71" s="248"/>
      <c r="K71" s="248"/>
      <c r="L71" s="248">
        <v>0</v>
      </c>
      <c r="M71" s="248" t="s">
        <v>902</v>
      </c>
      <c r="N71" s="249">
        <f>SUM(O71:P71)</f>
        <v>0.25</v>
      </c>
      <c r="O71" s="249">
        <v>0.25</v>
      </c>
      <c r="P71" s="249">
        <f>$P$4</f>
        <v>0</v>
      </c>
      <c r="Q71" s="249" t="s">
        <v>722</v>
      </c>
      <c r="R71" s="251">
        <f>SUM(R70:$AR70)*$N71/100</f>
        <v>13.25</v>
      </c>
      <c r="S71" s="251">
        <f>SUM(S70:$AR70)*$N71/100</f>
        <v>11.13</v>
      </c>
      <c r="T71" s="251">
        <f>SUM(T70:$AR70)*$N71/100</f>
        <v>9.01</v>
      </c>
      <c r="U71" s="251">
        <f>SUM(U70:$AR70)*$N71/100</f>
        <v>6.89</v>
      </c>
      <c r="V71" s="251">
        <f>SUM(V70:$AR70)*$N71/100</f>
        <v>4.7699999999999996</v>
      </c>
      <c r="W71" s="251">
        <f>SUM(W70:$AR70)*$N71/100</f>
        <v>2.65</v>
      </c>
      <c r="X71" s="251">
        <f>SUM(X70:$AR70)*$N71/100</f>
        <v>0.53</v>
      </c>
      <c r="Y71" s="251">
        <v>0</v>
      </c>
      <c r="Z71" s="251">
        <v>0</v>
      </c>
      <c r="AA71" s="251">
        <v>0</v>
      </c>
      <c r="AB71" s="251">
        <v>0</v>
      </c>
      <c r="AC71" s="251">
        <v>0</v>
      </c>
      <c r="AD71" s="251">
        <v>0</v>
      </c>
      <c r="AE71" s="251">
        <v>0</v>
      </c>
      <c r="AF71" s="251">
        <v>0</v>
      </c>
      <c r="AG71" s="251">
        <v>0</v>
      </c>
      <c r="AH71" s="251">
        <v>0</v>
      </c>
      <c r="AI71" s="251">
        <v>0</v>
      </c>
      <c r="AJ71" s="251">
        <v>0</v>
      </c>
      <c r="AK71" s="251">
        <v>0</v>
      </c>
      <c r="AL71" s="251">
        <v>0</v>
      </c>
      <c r="AM71" s="251">
        <v>0</v>
      </c>
      <c r="AN71" s="251">
        <v>0</v>
      </c>
      <c r="AO71" s="251">
        <v>0</v>
      </c>
      <c r="AP71" s="251">
        <v>0</v>
      </c>
      <c r="AQ71" s="251">
        <v>0</v>
      </c>
      <c r="AR71" s="251">
        <v>0</v>
      </c>
      <c r="AS71" s="251"/>
      <c r="AT71" s="251"/>
      <c r="AU71" s="254">
        <f t="shared" ref="AU71:AU125" si="5">SUM(R71:AT71)</f>
        <v>48.23</v>
      </c>
      <c r="AV71" s="260">
        <f t="shared" ref="AV71:AV140" si="6">AU71-SUM(R71:AT71)</f>
        <v>0</v>
      </c>
      <c r="AW71" s="253">
        <f t="shared" ref="AW71:AW140" si="7">SUM(Y71:AT71)</f>
        <v>0</v>
      </c>
      <c r="AX71" s="254">
        <f t="shared" ref="AX71:AX127" si="8">SUM(R71:X71,AW71)</f>
        <v>48.23</v>
      </c>
    </row>
    <row r="72" spans="2:50" s="228" customFormat="1" outlineLevel="1" x14ac:dyDescent="0.25">
      <c r="B72" s="229" t="s">
        <v>757</v>
      </c>
      <c r="C72" s="230">
        <v>34</v>
      </c>
      <c r="D72" s="231" t="s">
        <v>916</v>
      </c>
      <c r="E72" s="232" t="s">
        <v>917</v>
      </c>
      <c r="F72" s="233" t="s">
        <v>918</v>
      </c>
      <c r="G72" s="233" t="s">
        <v>919</v>
      </c>
      <c r="H72" s="233" t="s">
        <v>920</v>
      </c>
      <c r="I72" s="233" t="s">
        <v>718</v>
      </c>
      <c r="J72" s="234">
        <v>400000</v>
      </c>
      <c r="K72" s="235">
        <v>358995</v>
      </c>
      <c r="L72" s="235"/>
      <c r="M72" s="235"/>
      <c r="N72" s="236"/>
      <c r="O72" s="236"/>
      <c r="P72" s="236"/>
      <c r="Q72" s="236" t="s">
        <v>719</v>
      </c>
      <c r="R72" s="237">
        <v>13676</v>
      </c>
      <c r="S72" s="237">
        <v>13676</v>
      </c>
      <c r="T72" s="237">
        <v>13676</v>
      </c>
      <c r="U72" s="237">
        <v>13676</v>
      </c>
      <c r="V72" s="237">
        <v>13676</v>
      </c>
      <c r="W72" s="237">
        <v>13676</v>
      </c>
      <c r="X72" s="237">
        <v>13676</v>
      </c>
      <c r="Y72" s="237">
        <v>13676</v>
      </c>
      <c r="Z72" s="237">
        <v>13676</v>
      </c>
      <c r="AA72" s="237">
        <v>13676</v>
      </c>
      <c r="AB72" s="237">
        <v>13676</v>
      </c>
      <c r="AC72" s="237">
        <v>13676</v>
      </c>
      <c r="AD72" s="237">
        <v>13676</v>
      </c>
      <c r="AE72" s="237">
        <v>13676</v>
      </c>
      <c r="AF72" s="237">
        <v>13676</v>
      </c>
      <c r="AG72" s="237">
        <v>13676</v>
      </c>
      <c r="AH72" s="237">
        <v>13676</v>
      </c>
      <c r="AI72" s="237">
        <v>13676</v>
      </c>
      <c r="AJ72" s="237">
        <v>13676</v>
      </c>
      <c r="AK72" s="237">
        <v>13676</v>
      </c>
      <c r="AL72" s="237">
        <v>13676</v>
      </c>
      <c r="AM72" s="237">
        <v>13676</v>
      </c>
      <c r="AN72" s="237">
        <v>13676</v>
      </c>
      <c r="AO72" s="237">
        <v>13676</v>
      </c>
      <c r="AP72" s="237">
        <v>13676</v>
      </c>
      <c r="AQ72" s="237">
        <v>13676</v>
      </c>
      <c r="AR72" s="237">
        <v>3419</v>
      </c>
      <c r="AS72" s="237"/>
      <c r="AT72" s="237"/>
      <c r="AU72" s="238">
        <f t="shared" si="5"/>
        <v>358995</v>
      </c>
      <c r="AV72" s="239">
        <f t="shared" si="6"/>
        <v>0</v>
      </c>
      <c r="AW72" s="240">
        <f t="shared" si="7"/>
        <v>263263</v>
      </c>
      <c r="AX72" s="241">
        <f t="shared" si="8"/>
        <v>358995</v>
      </c>
    </row>
    <row r="73" spans="2:50" outlineLevel="1" x14ac:dyDescent="0.25">
      <c r="B73" s="243" t="s">
        <v>757</v>
      </c>
      <c r="C73" s="244"/>
      <c r="D73" s="245" t="s">
        <v>921</v>
      </c>
      <c r="E73" s="246"/>
      <c r="F73" s="247"/>
      <c r="G73" s="247"/>
      <c r="H73" s="247"/>
      <c r="I73" s="247"/>
      <c r="J73" s="248"/>
      <c r="K73" s="248"/>
      <c r="L73" s="248" t="s">
        <v>922</v>
      </c>
      <c r="M73" s="248"/>
      <c r="N73" s="249">
        <f>SUM(O73:P73)</f>
        <v>3.55</v>
      </c>
      <c r="O73" s="250">
        <v>3.55</v>
      </c>
      <c r="P73" s="249">
        <f>$P$4</f>
        <v>0</v>
      </c>
      <c r="Q73" s="249" t="s">
        <v>722</v>
      </c>
      <c r="R73" s="251">
        <v>12942.24</v>
      </c>
      <c r="S73" s="251">
        <f>SUM(S72:$AR72)*$N73/100</f>
        <v>12258.824499999999</v>
      </c>
      <c r="T73" s="251">
        <f>SUM(T72:$AR72)*$N73/100</f>
        <v>11773.326499999999</v>
      </c>
      <c r="U73" s="251">
        <f>SUM(U72:$AR72)*$N73/100</f>
        <v>11287.828499999998</v>
      </c>
      <c r="V73" s="251">
        <f>SUM(V72:$AR72)*$N73/100</f>
        <v>10802.3305</v>
      </c>
      <c r="W73" s="251">
        <f>SUM(W72:$AR72)*$N73/100</f>
        <v>10316.8325</v>
      </c>
      <c r="X73" s="251">
        <f>SUM(X72:$AR72)*$N73/100</f>
        <v>9831.334499999999</v>
      </c>
      <c r="Y73" s="251">
        <f>SUM(Y72:$AR72)*$N73/100</f>
        <v>9345.8364999999994</v>
      </c>
      <c r="Z73" s="251">
        <f>SUM(Z72:$AR72)*$N73/100</f>
        <v>8860.3384999999998</v>
      </c>
      <c r="AA73" s="251">
        <f>SUM(AA72:$AR72)*$N73/100</f>
        <v>8374.8404999999984</v>
      </c>
      <c r="AB73" s="251">
        <f>SUM(AB72:$AR72)*$N73/100</f>
        <v>7889.3424999999997</v>
      </c>
      <c r="AC73" s="251">
        <f>SUM(AC72:$AR72)*$N73/100</f>
        <v>7403.8444999999992</v>
      </c>
      <c r="AD73" s="251">
        <f>SUM(AD72:$AR72)*$N73/100</f>
        <v>6918.3465000000006</v>
      </c>
      <c r="AE73" s="251">
        <f>SUM(AE72:$AR72)*$N73/100</f>
        <v>6432.8485000000001</v>
      </c>
      <c r="AF73" s="251">
        <f>SUM(AF72:$AR72)*$N73/100</f>
        <v>5947.3504999999996</v>
      </c>
      <c r="AG73" s="251">
        <f>SUM(AG72:$AR72)*$N73/100</f>
        <v>5461.8525</v>
      </c>
      <c r="AH73" s="251">
        <f>SUM(AH72:$AR72)*$N73/100</f>
        <v>4976.3544999999995</v>
      </c>
      <c r="AI73" s="251">
        <f>SUM(AI72:$AR72)*$N73/100</f>
        <v>4490.8564999999999</v>
      </c>
      <c r="AJ73" s="251">
        <f>SUM(AJ72:$AR72)*$N73/100</f>
        <v>4005.3584999999998</v>
      </c>
      <c r="AK73" s="251">
        <f>SUM(AK72:$AR72)*$N73/100</f>
        <v>3519.8604999999998</v>
      </c>
      <c r="AL73" s="251">
        <f>SUM(AL72:$AR72)*$N73/100</f>
        <v>3034.3625000000002</v>
      </c>
      <c r="AM73" s="251">
        <f>SUM(AM72:$AR72)*$N73/100</f>
        <v>2548.8644999999997</v>
      </c>
      <c r="AN73" s="251">
        <f>SUM(AN72:$AR72)*$N73/100</f>
        <v>2063.3665000000001</v>
      </c>
      <c r="AO73" s="251">
        <f>SUM(AO72:$AR72)*$N73/100</f>
        <v>1577.8685</v>
      </c>
      <c r="AP73" s="251">
        <f>SUM(AP72:$AR72)*$N73/100</f>
        <v>1092.3705</v>
      </c>
      <c r="AQ73" s="251">
        <f>SUM(AQ72:$AR72)*$N73/100</f>
        <v>606.87249999999995</v>
      </c>
      <c r="AR73" s="251">
        <f>SUM(AR72:$AR72)*$N73/100</f>
        <v>121.37449999999998</v>
      </c>
      <c r="AS73" s="251"/>
      <c r="AT73" s="251"/>
      <c r="AU73" s="252">
        <f t="shared" si="5"/>
        <v>173884.82700000002</v>
      </c>
      <c r="AV73" s="239">
        <f t="shared" si="6"/>
        <v>0</v>
      </c>
      <c r="AW73" s="253">
        <f t="shared" si="7"/>
        <v>94672.11</v>
      </c>
      <c r="AX73" s="254">
        <f t="shared" si="8"/>
        <v>173884.82699999999</v>
      </c>
    </row>
    <row r="74" spans="2:50" s="228" customFormat="1" outlineLevel="1" collapsed="1" x14ac:dyDescent="0.25">
      <c r="B74" s="229" t="s">
        <v>757</v>
      </c>
      <c r="C74" s="230">
        <v>35</v>
      </c>
      <c r="D74" s="231" t="s">
        <v>923</v>
      </c>
      <c r="E74" s="232" t="s">
        <v>924</v>
      </c>
      <c r="F74" s="233" t="s">
        <v>925</v>
      </c>
      <c r="G74" s="233" t="s">
        <v>926</v>
      </c>
      <c r="H74" s="233" t="s">
        <v>927</v>
      </c>
      <c r="I74" s="233" t="s">
        <v>718</v>
      </c>
      <c r="J74" s="234">
        <v>279650</v>
      </c>
      <c r="K74" s="235">
        <v>251055</v>
      </c>
      <c r="L74" s="235"/>
      <c r="M74" s="235"/>
      <c r="N74" s="236"/>
      <c r="O74" s="236"/>
      <c r="P74" s="236"/>
      <c r="Q74" s="236" t="s">
        <v>719</v>
      </c>
      <c r="R74" s="237">
        <v>9564</v>
      </c>
      <c r="S74" s="237">
        <v>9564</v>
      </c>
      <c r="T74" s="237">
        <v>9564</v>
      </c>
      <c r="U74" s="237">
        <v>9564</v>
      </c>
      <c r="V74" s="237">
        <v>9564</v>
      </c>
      <c r="W74" s="237">
        <v>9564</v>
      </c>
      <c r="X74" s="237">
        <v>9564</v>
      </c>
      <c r="Y74" s="237">
        <v>9564</v>
      </c>
      <c r="Z74" s="237">
        <v>9564</v>
      </c>
      <c r="AA74" s="237">
        <v>9564</v>
      </c>
      <c r="AB74" s="237">
        <v>9564</v>
      </c>
      <c r="AC74" s="237">
        <v>9564</v>
      </c>
      <c r="AD74" s="237">
        <v>9564</v>
      </c>
      <c r="AE74" s="237">
        <v>9564</v>
      </c>
      <c r="AF74" s="237">
        <v>9564</v>
      </c>
      <c r="AG74" s="237">
        <v>9564</v>
      </c>
      <c r="AH74" s="237">
        <v>9564</v>
      </c>
      <c r="AI74" s="237">
        <v>9564</v>
      </c>
      <c r="AJ74" s="237">
        <v>9564</v>
      </c>
      <c r="AK74" s="237">
        <v>9564</v>
      </c>
      <c r="AL74" s="237">
        <v>9564</v>
      </c>
      <c r="AM74" s="237">
        <v>9564</v>
      </c>
      <c r="AN74" s="237">
        <v>9564</v>
      </c>
      <c r="AO74" s="237">
        <v>9564</v>
      </c>
      <c r="AP74" s="237">
        <v>9564</v>
      </c>
      <c r="AQ74" s="237">
        <v>9564</v>
      </c>
      <c r="AR74" s="237">
        <v>2391</v>
      </c>
      <c r="AS74" s="237"/>
      <c r="AT74" s="237"/>
      <c r="AU74" s="238">
        <f t="shared" si="5"/>
        <v>251055</v>
      </c>
      <c r="AV74" s="239">
        <f t="shared" si="6"/>
        <v>0</v>
      </c>
      <c r="AW74" s="240">
        <f t="shared" si="7"/>
        <v>184107</v>
      </c>
      <c r="AX74" s="241">
        <f t="shared" si="8"/>
        <v>251055</v>
      </c>
    </row>
    <row r="75" spans="2:50" outlineLevel="1" x14ac:dyDescent="0.25">
      <c r="B75" s="243" t="s">
        <v>757</v>
      </c>
      <c r="C75" s="244"/>
      <c r="D75" s="245"/>
      <c r="E75" s="246"/>
      <c r="F75" s="247"/>
      <c r="G75" s="247"/>
      <c r="H75" s="247"/>
      <c r="I75" s="247"/>
      <c r="J75" s="248"/>
      <c r="K75" s="248"/>
      <c r="L75" s="248" t="s">
        <v>928</v>
      </c>
      <c r="M75" s="248"/>
      <c r="N75" s="249">
        <f>SUM(O75:P75)</f>
        <v>3.55</v>
      </c>
      <c r="O75" s="250">
        <v>3.55</v>
      </c>
      <c r="P75" s="249">
        <f>$P$4</f>
        <v>0</v>
      </c>
      <c r="Q75" s="249" t="s">
        <v>722</v>
      </c>
      <c r="R75" s="251">
        <v>9387.33</v>
      </c>
      <c r="S75" s="251">
        <f>SUM(S74:$AR74)*$N75/100</f>
        <v>8572.9304999999986</v>
      </c>
      <c r="T75" s="251">
        <f>SUM(T74:$AR74)*$N75/100</f>
        <v>8233.4084999999995</v>
      </c>
      <c r="U75" s="251">
        <f>SUM(U74:$AR74)*$N75/100</f>
        <v>7893.8864999999987</v>
      </c>
      <c r="V75" s="251">
        <f>SUM(V74:$AR74)*$N75/100</f>
        <v>7554.3644999999997</v>
      </c>
      <c r="W75" s="251">
        <f>SUM(W74:$AR74)*$N75/100</f>
        <v>7214.8424999999997</v>
      </c>
      <c r="X75" s="251">
        <f>SUM(X74:$AR74)*$N75/100</f>
        <v>6875.3204999999989</v>
      </c>
      <c r="Y75" s="251">
        <f>SUM(Y74:$AR74)*$N75/100</f>
        <v>6535.7984999999999</v>
      </c>
      <c r="Z75" s="251">
        <f>SUM(Z74:$AR74)*$N75/100</f>
        <v>6196.2764999999999</v>
      </c>
      <c r="AA75" s="251">
        <f>SUM(AA74:$AR74)*$N75/100</f>
        <v>5856.7544999999991</v>
      </c>
      <c r="AB75" s="251">
        <f>SUM(AB74:$AR74)*$N75/100</f>
        <v>5517.2325000000001</v>
      </c>
      <c r="AC75" s="251">
        <f>SUM(AC74:$AR74)*$N75/100</f>
        <v>5177.7105000000001</v>
      </c>
      <c r="AD75" s="251">
        <f>SUM(AD74:$AR74)*$N75/100</f>
        <v>4838.1885000000002</v>
      </c>
      <c r="AE75" s="251">
        <f>SUM(AE74:$AR74)*$N75/100</f>
        <v>4498.6664999999994</v>
      </c>
      <c r="AF75" s="251">
        <f>SUM(AF74:$AR74)*$N75/100</f>
        <v>4159.1444999999994</v>
      </c>
      <c r="AG75" s="251">
        <f>SUM(AG74:$AR74)*$N75/100</f>
        <v>3819.6224999999999</v>
      </c>
      <c r="AH75" s="251">
        <f>SUM(AH74:$AR74)*$N75/100</f>
        <v>3480.1005</v>
      </c>
      <c r="AI75" s="251">
        <f>SUM(AI74:$AR74)*$N75/100</f>
        <v>3140.5784999999996</v>
      </c>
      <c r="AJ75" s="251">
        <f>SUM(AJ74:$AR74)*$N75/100</f>
        <v>2801.0564999999997</v>
      </c>
      <c r="AK75" s="251">
        <f>SUM(AK74:$AR74)*$N75/100</f>
        <v>2461.5344999999998</v>
      </c>
      <c r="AL75" s="251">
        <f>SUM(AL74:$AR74)*$N75/100</f>
        <v>2122.0124999999998</v>
      </c>
      <c r="AM75" s="251">
        <f>SUM(AM74:$AR74)*$N75/100</f>
        <v>1782.4904999999999</v>
      </c>
      <c r="AN75" s="251">
        <f>SUM(AN74:$AR74)*$N75/100</f>
        <v>1442.9684999999999</v>
      </c>
      <c r="AO75" s="251">
        <f>SUM(AO74:$AR74)*$N75/100</f>
        <v>1103.4465</v>
      </c>
      <c r="AP75" s="251">
        <f>SUM(AP74:$AR74)*$N75/100</f>
        <v>763.92449999999997</v>
      </c>
      <c r="AQ75" s="251">
        <f>SUM(AQ74:$AR74)*$N75/100</f>
        <v>424.40249999999997</v>
      </c>
      <c r="AR75" s="251">
        <f>SUM(AR74:$AR74)*$N75/100</f>
        <v>84.880499999999998</v>
      </c>
      <c r="AS75" s="251"/>
      <c r="AT75" s="251"/>
      <c r="AU75" s="252">
        <f t="shared" si="5"/>
        <v>121938.87299999998</v>
      </c>
      <c r="AV75" s="239">
        <f t="shared" si="6"/>
        <v>0</v>
      </c>
      <c r="AW75" s="253">
        <f t="shared" si="7"/>
        <v>66206.789999999994</v>
      </c>
      <c r="AX75" s="254">
        <f t="shared" si="8"/>
        <v>121938.87299999999</v>
      </c>
    </row>
    <row r="76" spans="2:50" s="228" customFormat="1" outlineLevel="1" x14ac:dyDescent="0.25">
      <c r="B76" s="229" t="s">
        <v>757</v>
      </c>
      <c r="C76" s="230">
        <v>36</v>
      </c>
      <c r="D76" s="231" t="s">
        <v>929</v>
      </c>
      <c r="E76" s="232" t="s">
        <v>930</v>
      </c>
      <c r="F76" s="233" t="s">
        <v>931</v>
      </c>
      <c r="G76" s="233" t="s">
        <v>932</v>
      </c>
      <c r="H76" s="233" t="s">
        <v>933</v>
      </c>
      <c r="I76" s="233" t="s">
        <v>718</v>
      </c>
      <c r="J76" s="234">
        <v>2075409</v>
      </c>
      <c r="K76" s="235">
        <v>1282950</v>
      </c>
      <c r="L76" s="235"/>
      <c r="M76" s="235"/>
      <c r="N76" s="236"/>
      <c r="O76" s="236"/>
      <c r="P76" s="236"/>
      <c r="Q76" s="236" t="s">
        <v>719</v>
      </c>
      <c r="R76" s="237">
        <v>123200</v>
      </c>
      <c r="S76" s="237">
        <v>121648</v>
      </c>
      <c r="T76" s="237">
        <v>117000</v>
      </c>
      <c r="U76" s="237">
        <v>117000</v>
      </c>
      <c r="V76" s="237">
        <v>117000</v>
      </c>
      <c r="W76" s="237">
        <v>117000</v>
      </c>
      <c r="X76" s="237">
        <v>110320</v>
      </c>
      <c r="Y76" s="237">
        <v>91212</v>
      </c>
      <c r="Z76" s="237">
        <v>82616</v>
      </c>
      <c r="AA76" s="237">
        <v>82616</v>
      </c>
      <c r="AB76" s="237">
        <v>82616</v>
      </c>
      <c r="AC76" s="237">
        <v>75860</v>
      </c>
      <c r="AD76" s="237">
        <v>36908</v>
      </c>
      <c r="AE76" s="237">
        <v>7954</v>
      </c>
      <c r="AF76" s="237">
        <v>0</v>
      </c>
      <c r="AG76" s="237">
        <v>0</v>
      </c>
      <c r="AH76" s="237">
        <v>0</v>
      </c>
      <c r="AI76" s="237">
        <v>0</v>
      </c>
      <c r="AJ76" s="237">
        <v>0</v>
      </c>
      <c r="AK76" s="237">
        <v>0</v>
      </c>
      <c r="AL76" s="237">
        <v>0</v>
      </c>
      <c r="AM76" s="237">
        <v>0</v>
      </c>
      <c r="AN76" s="237">
        <v>0</v>
      </c>
      <c r="AO76" s="237">
        <v>0</v>
      </c>
      <c r="AP76" s="237">
        <v>0</v>
      </c>
      <c r="AQ76" s="237">
        <v>0</v>
      </c>
      <c r="AR76" s="237">
        <v>0</v>
      </c>
      <c r="AS76" s="237"/>
      <c r="AT76" s="237"/>
      <c r="AU76" s="238">
        <f t="shared" si="5"/>
        <v>1282950</v>
      </c>
      <c r="AV76" s="239">
        <f t="shared" si="6"/>
        <v>0</v>
      </c>
      <c r="AW76" s="240">
        <f t="shared" si="7"/>
        <v>459782</v>
      </c>
      <c r="AX76" s="241">
        <f t="shared" si="8"/>
        <v>1282950</v>
      </c>
    </row>
    <row r="77" spans="2:50" outlineLevel="1" x14ac:dyDescent="0.25">
      <c r="B77" s="243" t="s">
        <v>757</v>
      </c>
      <c r="C77" s="244"/>
      <c r="D77" s="245" t="s">
        <v>934</v>
      </c>
      <c r="E77" s="246"/>
      <c r="F77" s="247"/>
      <c r="G77" s="247"/>
      <c r="H77" s="247"/>
      <c r="I77" s="247"/>
      <c r="J77" s="248"/>
      <c r="K77" s="248"/>
      <c r="L77" s="248" t="s">
        <v>935</v>
      </c>
      <c r="M77" s="248"/>
      <c r="N77" s="249">
        <f>SUM(O77:P77)</f>
        <v>3.55</v>
      </c>
      <c r="O77" s="250">
        <v>3.55</v>
      </c>
      <c r="P77" s="249">
        <f>$P$4</f>
        <v>0</v>
      </c>
      <c r="Q77" s="249" t="s">
        <v>722</v>
      </c>
      <c r="R77" s="251">
        <v>42235.41</v>
      </c>
      <c r="S77" s="251">
        <f>SUM(S76:$AR76)*$N77/100</f>
        <v>41171.125</v>
      </c>
      <c r="T77" s="251">
        <f>SUM(T76:$AR76)*$N77/100</f>
        <v>36852.620999999999</v>
      </c>
      <c r="U77" s="251">
        <f>SUM(U76:$AR76)*$N77/100</f>
        <v>32699.120999999996</v>
      </c>
      <c r="V77" s="251">
        <f>SUM(V76:$AR76)*$N77/100</f>
        <v>28545.620999999996</v>
      </c>
      <c r="W77" s="251">
        <f>SUM(W76:$AR76)*$N77/100</f>
        <v>24392.120999999999</v>
      </c>
      <c r="X77" s="251">
        <f>SUM(X76:$AR76)*$N77/100</f>
        <v>20238.620999999999</v>
      </c>
      <c r="Y77" s="251">
        <f>SUM(Y76:$AR76)*$N77/100</f>
        <v>16322.260999999999</v>
      </c>
      <c r="Z77" s="251">
        <f>SUM(Z76:$AR76)*$N77/100</f>
        <v>13084.235000000001</v>
      </c>
      <c r="AA77" s="251">
        <f>SUM(AA76:$AR76)*$N77/100</f>
        <v>10151.367</v>
      </c>
      <c r="AB77" s="251">
        <f>SUM(AB76:$AR76)*$N77/100</f>
        <v>7218.4989999999989</v>
      </c>
      <c r="AC77" s="251">
        <f>SUM(AC76:$AR76)*$N77/100</f>
        <v>4285.6309999999994</v>
      </c>
      <c r="AD77" s="251">
        <f>SUM(AD76:$AR76)*$N77/100</f>
        <v>1592.6010000000001</v>
      </c>
      <c r="AE77" s="251">
        <f>SUM(AE76:$AR76)*$N77/100</f>
        <v>282.36699999999996</v>
      </c>
      <c r="AF77" s="251">
        <v>0</v>
      </c>
      <c r="AG77" s="251">
        <v>0</v>
      </c>
      <c r="AH77" s="251">
        <v>0</v>
      </c>
      <c r="AI77" s="251">
        <v>0</v>
      </c>
      <c r="AJ77" s="251">
        <v>0</v>
      </c>
      <c r="AK77" s="251">
        <v>0</v>
      </c>
      <c r="AL77" s="251">
        <v>0</v>
      </c>
      <c r="AM77" s="251">
        <v>0</v>
      </c>
      <c r="AN77" s="251">
        <v>0</v>
      </c>
      <c r="AO77" s="251">
        <v>0</v>
      </c>
      <c r="AP77" s="251">
        <v>0</v>
      </c>
      <c r="AQ77" s="251">
        <v>0</v>
      </c>
      <c r="AR77" s="251">
        <v>0</v>
      </c>
      <c r="AS77" s="251"/>
      <c r="AT77" s="251"/>
      <c r="AU77" s="252">
        <f t="shared" si="5"/>
        <v>279071.60100000002</v>
      </c>
      <c r="AV77" s="239">
        <f t="shared" si="6"/>
        <v>0</v>
      </c>
      <c r="AW77" s="253">
        <f t="shared" si="7"/>
        <v>52936.960999999996</v>
      </c>
      <c r="AX77" s="254">
        <f t="shared" si="8"/>
        <v>279071.60099999997</v>
      </c>
    </row>
    <row r="78" spans="2:50" s="228" customFormat="1" outlineLevel="1" x14ac:dyDescent="0.25">
      <c r="B78" s="229" t="s">
        <v>757</v>
      </c>
      <c r="C78" s="230">
        <v>37</v>
      </c>
      <c r="D78" s="231" t="s">
        <v>936</v>
      </c>
      <c r="E78" s="232" t="s">
        <v>937</v>
      </c>
      <c r="F78" s="233" t="s">
        <v>938</v>
      </c>
      <c r="G78" s="233" t="s">
        <v>939</v>
      </c>
      <c r="H78" s="233" t="s">
        <v>940</v>
      </c>
      <c r="I78" s="233" t="s">
        <v>718</v>
      </c>
      <c r="J78" s="234">
        <v>617703</v>
      </c>
      <c r="K78" s="235">
        <v>554910</v>
      </c>
      <c r="L78" s="235"/>
      <c r="M78" s="235"/>
      <c r="N78" s="236"/>
      <c r="O78" s="236"/>
      <c r="P78" s="236"/>
      <c r="Q78" s="236" t="s">
        <v>719</v>
      </c>
      <c r="R78" s="237">
        <v>20940</v>
      </c>
      <c r="S78" s="237">
        <v>20940</v>
      </c>
      <c r="T78" s="237">
        <v>20940</v>
      </c>
      <c r="U78" s="237">
        <v>20940</v>
      </c>
      <c r="V78" s="237">
        <v>20940</v>
      </c>
      <c r="W78" s="237">
        <v>20940</v>
      </c>
      <c r="X78" s="237">
        <v>20940</v>
      </c>
      <c r="Y78" s="237">
        <v>20940</v>
      </c>
      <c r="Z78" s="237">
        <v>20940</v>
      </c>
      <c r="AA78" s="237">
        <v>20940</v>
      </c>
      <c r="AB78" s="237">
        <v>20940</v>
      </c>
      <c r="AC78" s="237">
        <v>20940</v>
      </c>
      <c r="AD78" s="237">
        <v>20940</v>
      </c>
      <c r="AE78" s="237">
        <v>20940</v>
      </c>
      <c r="AF78" s="237">
        <v>20940</v>
      </c>
      <c r="AG78" s="237">
        <v>20940</v>
      </c>
      <c r="AH78" s="237">
        <v>20940</v>
      </c>
      <c r="AI78" s="237">
        <v>20940</v>
      </c>
      <c r="AJ78" s="237">
        <v>20940</v>
      </c>
      <c r="AK78" s="237">
        <v>20940</v>
      </c>
      <c r="AL78" s="237">
        <v>20940</v>
      </c>
      <c r="AM78" s="237">
        <v>20940</v>
      </c>
      <c r="AN78" s="237">
        <v>20940</v>
      </c>
      <c r="AO78" s="237">
        <v>20940</v>
      </c>
      <c r="AP78" s="237">
        <v>20940</v>
      </c>
      <c r="AQ78" s="237">
        <v>20940</v>
      </c>
      <c r="AR78" s="237">
        <v>10470</v>
      </c>
      <c r="AS78" s="237"/>
      <c r="AT78" s="237"/>
      <c r="AU78" s="238">
        <f t="shared" si="5"/>
        <v>554910</v>
      </c>
      <c r="AV78" s="239">
        <f t="shared" si="6"/>
        <v>0</v>
      </c>
      <c r="AW78" s="240">
        <f t="shared" si="7"/>
        <v>408330</v>
      </c>
      <c r="AX78" s="241">
        <f t="shared" si="8"/>
        <v>554910</v>
      </c>
    </row>
    <row r="79" spans="2:50" outlineLevel="1" x14ac:dyDescent="0.25">
      <c r="B79" s="243" t="s">
        <v>757</v>
      </c>
      <c r="C79" s="244"/>
      <c r="D79" s="245"/>
      <c r="E79" s="246"/>
      <c r="F79" s="247"/>
      <c r="G79" s="247"/>
      <c r="H79" s="247"/>
      <c r="I79" s="247"/>
      <c r="J79" s="248"/>
      <c r="K79" s="248"/>
      <c r="L79" s="248" t="s">
        <v>941</v>
      </c>
      <c r="M79" s="248"/>
      <c r="N79" s="249">
        <f>SUM(O79:P79)</f>
        <v>3.55</v>
      </c>
      <c r="O79" s="250">
        <v>3.55</v>
      </c>
      <c r="P79" s="249">
        <f>$P$4</f>
        <v>0</v>
      </c>
      <c r="Q79" s="249" t="s">
        <v>722</v>
      </c>
      <c r="R79" s="251">
        <v>21379.61</v>
      </c>
      <c r="S79" s="251">
        <f>SUM(S78:$AR78)*$N79/100</f>
        <v>18955.935000000001</v>
      </c>
      <c r="T79" s="251">
        <f>SUM(T78:$AR78)*$N79/100</f>
        <v>18212.564999999999</v>
      </c>
      <c r="U79" s="251">
        <f>SUM(U78:$AR78)*$N79/100</f>
        <v>17469.195</v>
      </c>
      <c r="V79" s="251">
        <f>SUM(V78:$AR78)*$N79/100</f>
        <v>16725.825000000001</v>
      </c>
      <c r="W79" s="251">
        <f>SUM(W78:$AR78)*$N79/100</f>
        <v>15982.455</v>
      </c>
      <c r="X79" s="251">
        <f>SUM(X78:$AR78)*$N79/100</f>
        <v>15239.084999999999</v>
      </c>
      <c r="Y79" s="251">
        <f>SUM(Y78:$AR78)*$N79/100</f>
        <v>14495.715</v>
      </c>
      <c r="Z79" s="251">
        <f>SUM(Z78:$AR78)*$N79/100</f>
        <v>13752.344999999999</v>
      </c>
      <c r="AA79" s="251">
        <f>SUM(AA78:$AR78)*$N79/100</f>
        <v>13008.975</v>
      </c>
      <c r="AB79" s="251">
        <f>SUM(AB78:$AR78)*$N79/100</f>
        <v>12265.605</v>
      </c>
      <c r="AC79" s="251">
        <f>SUM(AC78:$AR78)*$N79/100</f>
        <v>11522.235000000001</v>
      </c>
      <c r="AD79" s="251">
        <f>SUM(AD78:$AR78)*$N79/100</f>
        <v>10778.865</v>
      </c>
      <c r="AE79" s="251">
        <f>SUM(AE78:$AR78)*$N79/100</f>
        <v>10035.495000000001</v>
      </c>
      <c r="AF79" s="251">
        <f>SUM(AF78:$AR78)*$N79/100</f>
        <v>9292.125</v>
      </c>
      <c r="AG79" s="251">
        <f>SUM(AG78:$AR78)*$N79/100</f>
        <v>8548.7549999999992</v>
      </c>
      <c r="AH79" s="251">
        <f>SUM(AH78:$AR78)*$N79/100</f>
        <v>7805.3850000000002</v>
      </c>
      <c r="AI79" s="251">
        <f>SUM(AI78:$AR78)*$N79/100</f>
        <v>7062.0150000000003</v>
      </c>
      <c r="AJ79" s="251">
        <f>SUM(AJ78:$AR78)*$N79/100</f>
        <v>6318.6450000000004</v>
      </c>
      <c r="AK79" s="251">
        <f>SUM(AK78:$AR78)*$N79/100</f>
        <v>5575.2749999999996</v>
      </c>
      <c r="AL79" s="251">
        <f>SUM(AL78:$AR78)*$N79/100</f>
        <v>4831.9049999999997</v>
      </c>
      <c r="AM79" s="251">
        <f>SUM(AM78:$AR78)*$N79/100</f>
        <v>4088.5349999999999</v>
      </c>
      <c r="AN79" s="251">
        <f>SUM(AN78:$AR78)*$N79/100</f>
        <v>3345.165</v>
      </c>
      <c r="AO79" s="251">
        <f>SUM(AO78:$AR78)*$N79/100</f>
        <v>2601.7950000000001</v>
      </c>
      <c r="AP79" s="251">
        <f>SUM(AP78:$AR78)*$N79/100</f>
        <v>1858.425</v>
      </c>
      <c r="AQ79" s="251">
        <f>SUM(AQ78:$AR78)*$N79/100</f>
        <v>1115.0550000000001</v>
      </c>
      <c r="AR79" s="251">
        <f>SUM(AR78:$AR78)*$N79/100</f>
        <v>371.685</v>
      </c>
      <c r="AS79" s="251"/>
      <c r="AT79" s="251"/>
      <c r="AU79" s="252">
        <f t="shared" si="5"/>
        <v>272638.66999999993</v>
      </c>
      <c r="AV79" s="239">
        <f t="shared" si="6"/>
        <v>0</v>
      </c>
      <c r="AW79" s="253">
        <f t="shared" si="7"/>
        <v>148674</v>
      </c>
      <c r="AX79" s="254">
        <f t="shared" si="8"/>
        <v>272638.67</v>
      </c>
    </row>
    <row r="80" spans="2:50" s="228" customFormat="1" outlineLevel="1" x14ac:dyDescent="0.25">
      <c r="B80" s="229" t="s">
        <v>757</v>
      </c>
      <c r="C80" s="230">
        <v>38</v>
      </c>
      <c r="D80" s="231" t="s">
        <v>942</v>
      </c>
      <c r="E80" s="232" t="s">
        <v>943</v>
      </c>
      <c r="F80" s="233" t="s">
        <v>944</v>
      </c>
      <c r="G80" s="233" t="s">
        <v>945</v>
      </c>
      <c r="H80" s="233" t="s">
        <v>946</v>
      </c>
      <c r="I80" s="233" t="s">
        <v>718</v>
      </c>
      <c r="J80" s="234">
        <v>131926.07</v>
      </c>
      <c r="K80" s="235">
        <v>111637</v>
      </c>
      <c r="L80" s="235"/>
      <c r="M80" s="235"/>
      <c r="N80" s="236"/>
      <c r="O80" s="236"/>
      <c r="P80" s="236"/>
      <c r="Q80" s="236" t="s">
        <v>719</v>
      </c>
      <c r="R80" s="237">
        <v>6772</v>
      </c>
      <c r="S80" s="237">
        <v>6772</v>
      </c>
      <c r="T80" s="237">
        <v>6772</v>
      </c>
      <c r="U80" s="237">
        <v>6772</v>
      </c>
      <c r="V80" s="237">
        <v>6772</v>
      </c>
      <c r="W80" s="237">
        <v>6772</v>
      </c>
      <c r="X80" s="237">
        <v>6772</v>
      </c>
      <c r="Y80" s="237">
        <v>6772</v>
      </c>
      <c r="Z80" s="237">
        <v>6772</v>
      </c>
      <c r="AA80" s="237">
        <v>6772</v>
      </c>
      <c r="AB80" s="237">
        <v>6772</v>
      </c>
      <c r="AC80" s="237">
        <v>6772</v>
      </c>
      <c r="AD80" s="237">
        <v>6772</v>
      </c>
      <c r="AE80" s="237">
        <v>6772</v>
      </c>
      <c r="AF80" s="237">
        <v>6772</v>
      </c>
      <c r="AG80" s="237">
        <v>6772</v>
      </c>
      <c r="AH80" s="237">
        <v>3285.0699999999997</v>
      </c>
      <c r="AI80" s="237">
        <v>0</v>
      </c>
      <c r="AJ80" s="237">
        <v>0</v>
      </c>
      <c r="AK80" s="237">
        <v>0</v>
      </c>
      <c r="AL80" s="237">
        <v>0</v>
      </c>
      <c r="AM80" s="237">
        <v>0</v>
      </c>
      <c r="AN80" s="237">
        <v>0</v>
      </c>
      <c r="AO80" s="237">
        <v>0</v>
      </c>
      <c r="AP80" s="237">
        <v>0</v>
      </c>
      <c r="AQ80" s="237">
        <v>0</v>
      </c>
      <c r="AR80" s="237">
        <v>0</v>
      </c>
      <c r="AS80" s="237"/>
      <c r="AT80" s="237"/>
      <c r="AU80" s="238">
        <f t="shared" si="5"/>
        <v>111637.07</v>
      </c>
      <c r="AV80" s="239">
        <f t="shared" si="6"/>
        <v>0</v>
      </c>
      <c r="AW80" s="240">
        <f t="shared" si="7"/>
        <v>64233.07</v>
      </c>
      <c r="AX80" s="241">
        <f t="shared" si="8"/>
        <v>111637.07</v>
      </c>
    </row>
    <row r="81" spans="2:50" outlineLevel="1" x14ac:dyDescent="0.25">
      <c r="B81" s="243" t="s">
        <v>757</v>
      </c>
      <c r="C81" s="244"/>
      <c r="D81" s="245"/>
      <c r="E81" s="246"/>
      <c r="F81" s="247"/>
      <c r="G81" s="247"/>
      <c r="H81" s="247"/>
      <c r="I81" s="247"/>
      <c r="J81" s="248"/>
      <c r="K81" s="248"/>
      <c r="L81" s="248" t="s">
        <v>947</v>
      </c>
      <c r="M81" s="248"/>
      <c r="N81" s="249">
        <f>SUM(O81:P81)</f>
        <v>3.55</v>
      </c>
      <c r="O81" s="250">
        <v>3.55</v>
      </c>
      <c r="P81" s="249">
        <f>$P$4</f>
        <v>0</v>
      </c>
      <c r="Q81" s="249" t="s">
        <v>722</v>
      </c>
      <c r="R81" s="251">
        <v>4205.6000000000004</v>
      </c>
      <c r="S81" s="251">
        <f>SUM(S80:$AR80)*$N81/100</f>
        <v>3722.709985</v>
      </c>
      <c r="T81" s="251">
        <f>SUM(T80:$AR80)*$N81/100</f>
        <v>3482.303985</v>
      </c>
      <c r="U81" s="251">
        <f>SUM(U80:$AR80)*$N81/100</f>
        <v>3241.8979850000005</v>
      </c>
      <c r="V81" s="251">
        <f>SUM(V80:$AR80)*$N81/100</f>
        <v>3001.4919850000001</v>
      </c>
      <c r="W81" s="251">
        <f>SUM(W80:$AR80)*$N81/100</f>
        <v>2761.0859850000002</v>
      </c>
      <c r="X81" s="251">
        <f>SUM(X80:$AR80)*$N81/100</f>
        <v>2520.6799850000002</v>
      </c>
      <c r="Y81" s="251">
        <f>SUM(Y80:$AR80)*$N81/100</f>
        <v>2280.2739849999998</v>
      </c>
      <c r="Z81" s="251">
        <f>SUM(Z80:$AR80)*$N81/100</f>
        <v>2039.8679849999999</v>
      </c>
      <c r="AA81" s="251">
        <f>SUM(AA80:$AR80)*$N81/100</f>
        <v>1799.4619849999999</v>
      </c>
      <c r="AB81" s="251">
        <f>SUM(AB80:$AR80)*$N81/100</f>
        <v>1559.055985</v>
      </c>
      <c r="AC81" s="251">
        <f>SUM(AC80:$AR80)*$N81/100</f>
        <v>1318.6499849999998</v>
      </c>
      <c r="AD81" s="251">
        <f>SUM(AD80:$AR80)*$N81/100</f>
        <v>1078.2439850000001</v>
      </c>
      <c r="AE81" s="251">
        <f>SUM(AE80:$AR80)*$N81/100</f>
        <v>837.83798499999989</v>
      </c>
      <c r="AF81" s="251">
        <f>SUM(AF80:$AR80)*$N81/100</f>
        <v>597.43198499999994</v>
      </c>
      <c r="AG81" s="251">
        <f>SUM(AG80:$AR80)*$N81/100</f>
        <v>357.02598499999999</v>
      </c>
      <c r="AH81" s="251">
        <f>SUM(AH80:$AR80)*$N81/100</f>
        <v>116.61998499999999</v>
      </c>
      <c r="AI81" s="251">
        <v>0</v>
      </c>
      <c r="AJ81" s="251">
        <v>0</v>
      </c>
      <c r="AK81" s="251">
        <v>0</v>
      </c>
      <c r="AL81" s="251">
        <v>0</v>
      </c>
      <c r="AM81" s="251">
        <v>0</v>
      </c>
      <c r="AN81" s="251">
        <v>0</v>
      </c>
      <c r="AO81" s="251">
        <v>0</v>
      </c>
      <c r="AP81" s="251">
        <v>0</v>
      </c>
      <c r="AQ81" s="251">
        <v>0</v>
      </c>
      <c r="AR81" s="251">
        <v>0</v>
      </c>
      <c r="AS81" s="251"/>
      <c r="AT81" s="251"/>
      <c r="AU81" s="252">
        <f t="shared" si="5"/>
        <v>34920.239759999997</v>
      </c>
      <c r="AV81" s="239">
        <f t="shared" si="6"/>
        <v>0</v>
      </c>
      <c r="AW81" s="253">
        <f t="shared" si="7"/>
        <v>11984.469849999998</v>
      </c>
      <c r="AX81" s="254">
        <f t="shared" si="8"/>
        <v>34920.239759999997</v>
      </c>
    </row>
    <row r="82" spans="2:50" s="228" customFormat="1" outlineLevel="1" x14ac:dyDescent="0.25">
      <c r="B82" s="229" t="s">
        <v>757</v>
      </c>
      <c r="C82" s="230">
        <v>39</v>
      </c>
      <c r="D82" s="231" t="s">
        <v>948</v>
      </c>
      <c r="E82" s="232" t="s">
        <v>949</v>
      </c>
      <c r="F82" s="233" t="s">
        <v>950</v>
      </c>
      <c r="G82" s="233" t="s">
        <v>945</v>
      </c>
      <c r="H82" s="233" t="s">
        <v>946</v>
      </c>
      <c r="I82" s="233" t="s">
        <v>718</v>
      </c>
      <c r="J82" s="234">
        <v>145332</v>
      </c>
      <c r="K82" s="235">
        <v>123024</v>
      </c>
      <c r="L82" s="235"/>
      <c r="M82" s="235"/>
      <c r="N82" s="236"/>
      <c r="O82" s="236"/>
      <c r="P82" s="236"/>
      <c r="Q82" s="236" t="s">
        <v>719</v>
      </c>
      <c r="R82" s="237">
        <v>7456</v>
      </c>
      <c r="S82" s="237">
        <v>7456</v>
      </c>
      <c r="T82" s="237">
        <v>7456</v>
      </c>
      <c r="U82" s="237">
        <v>7456</v>
      </c>
      <c r="V82" s="237">
        <v>7456</v>
      </c>
      <c r="W82" s="237">
        <v>7456</v>
      </c>
      <c r="X82" s="237">
        <v>7456</v>
      </c>
      <c r="Y82" s="237">
        <v>7456</v>
      </c>
      <c r="Z82" s="237">
        <v>7456</v>
      </c>
      <c r="AA82" s="237">
        <v>7456</v>
      </c>
      <c r="AB82" s="237">
        <v>7456</v>
      </c>
      <c r="AC82" s="237">
        <v>7456</v>
      </c>
      <c r="AD82" s="237">
        <v>7456</v>
      </c>
      <c r="AE82" s="237">
        <v>7456</v>
      </c>
      <c r="AF82" s="237">
        <v>7456</v>
      </c>
      <c r="AG82" s="237">
        <v>7456</v>
      </c>
      <c r="AH82" s="237">
        <v>3728</v>
      </c>
      <c r="AI82" s="237">
        <v>0</v>
      </c>
      <c r="AJ82" s="237">
        <v>0</v>
      </c>
      <c r="AK82" s="237">
        <v>0</v>
      </c>
      <c r="AL82" s="237">
        <v>0</v>
      </c>
      <c r="AM82" s="237">
        <v>0</v>
      </c>
      <c r="AN82" s="237">
        <v>0</v>
      </c>
      <c r="AO82" s="237">
        <v>0</v>
      </c>
      <c r="AP82" s="237">
        <v>0</v>
      </c>
      <c r="AQ82" s="237">
        <v>0</v>
      </c>
      <c r="AR82" s="237">
        <v>0</v>
      </c>
      <c r="AS82" s="237"/>
      <c r="AT82" s="237"/>
      <c r="AU82" s="238">
        <f t="shared" si="5"/>
        <v>123024</v>
      </c>
      <c r="AV82" s="239">
        <f t="shared" si="6"/>
        <v>0</v>
      </c>
      <c r="AW82" s="240">
        <f t="shared" si="7"/>
        <v>70832</v>
      </c>
      <c r="AX82" s="241">
        <f t="shared" si="8"/>
        <v>123024</v>
      </c>
    </row>
    <row r="83" spans="2:50" outlineLevel="1" x14ac:dyDescent="0.25">
      <c r="B83" s="243" t="s">
        <v>757</v>
      </c>
      <c r="C83" s="244"/>
      <c r="D83" s="245" t="s">
        <v>951</v>
      </c>
      <c r="E83" s="246"/>
      <c r="F83" s="247"/>
      <c r="G83" s="247"/>
      <c r="H83" s="247"/>
      <c r="I83" s="247"/>
      <c r="J83" s="248"/>
      <c r="K83" s="248"/>
      <c r="L83" s="248" t="s">
        <v>947</v>
      </c>
      <c r="M83" s="248"/>
      <c r="N83" s="249">
        <f>SUM(O83:P83)</f>
        <v>3.55</v>
      </c>
      <c r="O83" s="250">
        <v>3.55</v>
      </c>
      <c r="P83" s="249">
        <f>$P$4</f>
        <v>0</v>
      </c>
      <c r="Q83" s="249" t="s">
        <v>722</v>
      </c>
      <c r="R83" s="251">
        <v>4634.59</v>
      </c>
      <c r="S83" s="251">
        <f>SUM(S82:$AR82)*$N83/100</f>
        <v>4102.6639999999998</v>
      </c>
      <c r="T83" s="251">
        <f>SUM(T82:$AR82)*$N83/100</f>
        <v>3837.9759999999997</v>
      </c>
      <c r="U83" s="251">
        <f>SUM(U82:$AR82)*$N83/100</f>
        <v>3573.288</v>
      </c>
      <c r="V83" s="251">
        <f>SUM(V82:$AR82)*$N83/100</f>
        <v>3308.6</v>
      </c>
      <c r="W83" s="251">
        <f>SUM(W82:$AR82)*$N83/100</f>
        <v>3043.9120000000003</v>
      </c>
      <c r="X83" s="251">
        <f>SUM(X82:$AR82)*$N83/100</f>
        <v>2779.2239999999997</v>
      </c>
      <c r="Y83" s="251">
        <f>SUM(Y82:$AR82)*$N83/100</f>
        <v>2514.5359999999996</v>
      </c>
      <c r="Z83" s="251">
        <f>SUM(Z82:$AR82)*$N83/100</f>
        <v>2249.848</v>
      </c>
      <c r="AA83" s="251">
        <f>SUM(AA82:$AR82)*$N83/100</f>
        <v>1985.16</v>
      </c>
      <c r="AB83" s="251">
        <f>SUM(AB82:$AR82)*$N83/100</f>
        <v>1720.4719999999998</v>
      </c>
      <c r="AC83" s="251">
        <f>SUM(AC82:$AR82)*$N83/100</f>
        <v>1455.7839999999999</v>
      </c>
      <c r="AD83" s="251">
        <f>SUM(AD82:$AR82)*$N83/100</f>
        <v>1191.096</v>
      </c>
      <c r="AE83" s="251">
        <f>SUM(AE82:$AR82)*$N83/100</f>
        <v>926.4079999999999</v>
      </c>
      <c r="AF83" s="251">
        <f>SUM(AF82:$AR82)*$N83/100</f>
        <v>661.72</v>
      </c>
      <c r="AG83" s="251">
        <f>SUM(AG82:$AR82)*$N83/100</f>
        <v>397.03199999999998</v>
      </c>
      <c r="AH83" s="251">
        <f>SUM(AH82:$AR82)*$N83/100</f>
        <v>132.34399999999999</v>
      </c>
      <c r="AI83" s="251">
        <v>0</v>
      </c>
      <c r="AJ83" s="251">
        <v>0</v>
      </c>
      <c r="AK83" s="251">
        <v>0</v>
      </c>
      <c r="AL83" s="251">
        <v>0</v>
      </c>
      <c r="AM83" s="251">
        <v>0</v>
      </c>
      <c r="AN83" s="251">
        <v>0</v>
      </c>
      <c r="AO83" s="251">
        <v>0</v>
      </c>
      <c r="AP83" s="251">
        <v>0</v>
      </c>
      <c r="AQ83" s="251">
        <v>0</v>
      </c>
      <c r="AR83" s="251">
        <v>0</v>
      </c>
      <c r="AS83" s="251"/>
      <c r="AT83" s="251"/>
      <c r="AU83" s="252">
        <f t="shared" si="5"/>
        <v>38514.653999999995</v>
      </c>
      <c r="AV83" s="239">
        <f t="shared" si="6"/>
        <v>0</v>
      </c>
      <c r="AW83" s="253">
        <f t="shared" si="7"/>
        <v>13234.399999999996</v>
      </c>
      <c r="AX83" s="254">
        <f t="shared" si="8"/>
        <v>38514.653999999995</v>
      </c>
    </row>
    <row r="84" spans="2:50" s="228" customFormat="1" outlineLevel="1" x14ac:dyDescent="0.25">
      <c r="B84" s="229" t="s">
        <v>712</v>
      </c>
      <c r="C84" s="230">
        <v>40</v>
      </c>
      <c r="D84" s="231" t="s">
        <v>952</v>
      </c>
      <c r="E84" s="232" t="s">
        <v>953</v>
      </c>
      <c r="F84" s="233" t="s">
        <v>954</v>
      </c>
      <c r="G84" s="233" t="s">
        <v>955</v>
      </c>
      <c r="H84" s="233" t="s">
        <v>956</v>
      </c>
      <c r="I84" s="233" t="s">
        <v>718</v>
      </c>
      <c r="J84" s="234">
        <v>141294</v>
      </c>
      <c r="K84" s="235">
        <v>52059</v>
      </c>
      <c r="L84" s="235"/>
      <c r="M84" s="235"/>
      <c r="N84" s="236"/>
      <c r="O84" s="236"/>
      <c r="P84" s="236"/>
      <c r="Q84" s="236" t="s">
        <v>719</v>
      </c>
      <c r="R84" s="237">
        <v>29748</v>
      </c>
      <c r="S84" s="237">
        <v>22311</v>
      </c>
      <c r="T84" s="237">
        <v>0</v>
      </c>
      <c r="U84" s="237">
        <v>0</v>
      </c>
      <c r="V84" s="237">
        <v>0</v>
      </c>
      <c r="W84" s="237">
        <v>0</v>
      </c>
      <c r="X84" s="237">
        <v>0</v>
      </c>
      <c r="Y84" s="237">
        <v>0</v>
      </c>
      <c r="Z84" s="237">
        <v>0</v>
      </c>
      <c r="AA84" s="237">
        <v>0</v>
      </c>
      <c r="AB84" s="237">
        <v>0</v>
      </c>
      <c r="AC84" s="237">
        <v>0</v>
      </c>
      <c r="AD84" s="237">
        <v>0</v>
      </c>
      <c r="AE84" s="237">
        <v>0</v>
      </c>
      <c r="AF84" s="237">
        <v>0</v>
      </c>
      <c r="AG84" s="237">
        <v>0</v>
      </c>
      <c r="AH84" s="237">
        <v>0</v>
      </c>
      <c r="AI84" s="237">
        <v>0</v>
      </c>
      <c r="AJ84" s="237">
        <v>0</v>
      </c>
      <c r="AK84" s="237">
        <v>0</v>
      </c>
      <c r="AL84" s="237">
        <v>0</v>
      </c>
      <c r="AM84" s="237">
        <v>0</v>
      </c>
      <c r="AN84" s="237">
        <v>0</v>
      </c>
      <c r="AO84" s="237">
        <v>0</v>
      </c>
      <c r="AP84" s="237">
        <v>0</v>
      </c>
      <c r="AQ84" s="237">
        <v>0</v>
      </c>
      <c r="AR84" s="237">
        <v>0</v>
      </c>
      <c r="AS84" s="237"/>
      <c r="AT84" s="237"/>
      <c r="AU84" s="238">
        <f t="shared" si="5"/>
        <v>52059</v>
      </c>
      <c r="AV84" s="239">
        <f t="shared" si="6"/>
        <v>0</v>
      </c>
      <c r="AW84" s="240">
        <f t="shared" si="7"/>
        <v>0</v>
      </c>
      <c r="AX84" s="241">
        <f t="shared" si="8"/>
        <v>52059</v>
      </c>
    </row>
    <row r="85" spans="2:50" outlineLevel="1" x14ac:dyDescent="0.25">
      <c r="B85" s="243" t="s">
        <v>712</v>
      </c>
      <c r="C85" s="244"/>
      <c r="D85" s="245"/>
      <c r="E85" s="246"/>
      <c r="F85" s="247"/>
      <c r="G85" s="247"/>
      <c r="H85" s="247"/>
      <c r="I85" s="247"/>
      <c r="J85" s="248"/>
      <c r="K85" s="248"/>
      <c r="L85" s="248">
        <v>0</v>
      </c>
      <c r="M85" s="248" t="s">
        <v>902</v>
      </c>
      <c r="N85" s="249">
        <f>SUM(O85:P85)</f>
        <v>0.25</v>
      </c>
      <c r="O85" s="249">
        <v>0.25</v>
      </c>
      <c r="P85" s="249">
        <f>$P$4</f>
        <v>0</v>
      </c>
      <c r="Q85" s="249" t="s">
        <v>722</v>
      </c>
      <c r="R85" s="251">
        <v>121</v>
      </c>
      <c r="S85" s="251">
        <f>SUM(S84:$AR84)*$N85/100</f>
        <v>55.777500000000003</v>
      </c>
      <c r="T85" s="251">
        <v>0</v>
      </c>
      <c r="U85" s="251">
        <v>0</v>
      </c>
      <c r="V85" s="251">
        <v>0</v>
      </c>
      <c r="W85" s="251">
        <v>0</v>
      </c>
      <c r="X85" s="251">
        <v>0</v>
      </c>
      <c r="Y85" s="251">
        <v>0</v>
      </c>
      <c r="Z85" s="251">
        <v>0</v>
      </c>
      <c r="AA85" s="251">
        <v>0</v>
      </c>
      <c r="AB85" s="251">
        <v>0</v>
      </c>
      <c r="AC85" s="251">
        <v>0</v>
      </c>
      <c r="AD85" s="251">
        <v>0</v>
      </c>
      <c r="AE85" s="251">
        <v>0</v>
      </c>
      <c r="AF85" s="251">
        <v>0</v>
      </c>
      <c r="AG85" s="251">
        <v>0</v>
      </c>
      <c r="AH85" s="251">
        <v>0</v>
      </c>
      <c r="AI85" s="251">
        <v>0</v>
      </c>
      <c r="AJ85" s="251">
        <v>0</v>
      </c>
      <c r="AK85" s="251">
        <v>0</v>
      </c>
      <c r="AL85" s="251">
        <v>0</v>
      </c>
      <c r="AM85" s="251">
        <v>0</v>
      </c>
      <c r="AN85" s="251">
        <v>0</v>
      </c>
      <c r="AO85" s="251">
        <v>0</v>
      </c>
      <c r="AP85" s="251">
        <v>0</v>
      </c>
      <c r="AQ85" s="251">
        <v>0</v>
      </c>
      <c r="AR85" s="251">
        <v>0</v>
      </c>
      <c r="AS85" s="251"/>
      <c r="AT85" s="251"/>
      <c r="AU85" s="252">
        <f t="shared" si="5"/>
        <v>176.7775</v>
      </c>
      <c r="AV85" s="239">
        <f t="shared" si="6"/>
        <v>0</v>
      </c>
      <c r="AW85" s="253">
        <f t="shared" si="7"/>
        <v>0</v>
      </c>
      <c r="AX85" s="254">
        <f t="shared" si="8"/>
        <v>176.7775</v>
      </c>
    </row>
    <row r="86" spans="2:50" s="228" customFormat="1" outlineLevel="1" x14ac:dyDescent="0.25">
      <c r="B86" s="229" t="s">
        <v>712</v>
      </c>
      <c r="C86" s="230">
        <v>41</v>
      </c>
      <c r="D86" s="231" t="s">
        <v>957</v>
      </c>
      <c r="E86" s="232" t="s">
        <v>958</v>
      </c>
      <c r="F86" s="233" t="s">
        <v>959</v>
      </c>
      <c r="G86" s="233" t="s">
        <v>960</v>
      </c>
      <c r="H86" s="233" t="s">
        <v>961</v>
      </c>
      <c r="I86" s="233" t="s">
        <v>718</v>
      </c>
      <c r="J86" s="234">
        <v>186392</v>
      </c>
      <c r="K86" s="235">
        <v>38592</v>
      </c>
      <c r="L86" s="235"/>
      <c r="M86" s="235"/>
      <c r="N86" s="236"/>
      <c r="O86" s="236"/>
      <c r="P86" s="236"/>
      <c r="Q86" s="236" t="s">
        <v>719</v>
      </c>
      <c r="R86" s="237">
        <v>15080</v>
      </c>
      <c r="S86" s="237">
        <v>8240</v>
      </c>
      <c r="T86" s="237">
        <v>8240</v>
      </c>
      <c r="U86" s="237">
        <f>8240-1208</f>
        <v>7032</v>
      </c>
      <c r="V86" s="237"/>
      <c r="W86" s="237"/>
      <c r="X86" s="237"/>
      <c r="Y86" s="237"/>
      <c r="Z86" s="237"/>
      <c r="AA86" s="237"/>
      <c r="AB86" s="237"/>
      <c r="AC86" s="237"/>
      <c r="AD86" s="237"/>
      <c r="AE86" s="237"/>
      <c r="AF86" s="237"/>
      <c r="AG86" s="237"/>
      <c r="AH86" s="237">
        <v>0</v>
      </c>
      <c r="AI86" s="237">
        <v>0</v>
      </c>
      <c r="AJ86" s="237">
        <v>0</v>
      </c>
      <c r="AK86" s="237">
        <v>0</v>
      </c>
      <c r="AL86" s="237">
        <v>0</v>
      </c>
      <c r="AM86" s="237">
        <v>0</v>
      </c>
      <c r="AN86" s="237">
        <v>0</v>
      </c>
      <c r="AO86" s="237">
        <v>0</v>
      </c>
      <c r="AP86" s="237">
        <v>0</v>
      </c>
      <c r="AQ86" s="237">
        <v>0</v>
      </c>
      <c r="AR86" s="237">
        <v>0</v>
      </c>
      <c r="AS86" s="237"/>
      <c r="AT86" s="237"/>
      <c r="AU86" s="238">
        <f t="shared" si="5"/>
        <v>38592</v>
      </c>
      <c r="AV86" s="239">
        <f t="shared" si="6"/>
        <v>0</v>
      </c>
      <c r="AW86" s="240">
        <f t="shared" si="7"/>
        <v>0</v>
      </c>
      <c r="AX86" s="241">
        <f t="shared" si="8"/>
        <v>38592</v>
      </c>
    </row>
    <row r="87" spans="2:50" outlineLevel="1" x14ac:dyDescent="0.25">
      <c r="B87" s="243" t="s">
        <v>712</v>
      </c>
      <c r="C87" s="244"/>
      <c r="D87" s="245" t="s">
        <v>962</v>
      </c>
      <c r="E87" s="246"/>
      <c r="F87" s="247"/>
      <c r="G87" s="247"/>
      <c r="H87" s="247"/>
      <c r="I87" s="247"/>
      <c r="J87" s="248"/>
      <c r="K87" s="248"/>
      <c r="L87" s="248" t="s">
        <v>963</v>
      </c>
      <c r="M87" s="248"/>
      <c r="N87" s="249">
        <f>SUM(O87:P87)</f>
        <v>3.0649999999999999</v>
      </c>
      <c r="O87" s="249">
        <v>3.0649999999999999</v>
      </c>
      <c r="P87" s="249">
        <f>$P$4</f>
        <v>0</v>
      </c>
      <c r="Q87" s="249" t="s">
        <v>722</v>
      </c>
      <c r="R87" s="251">
        <v>2083.8799999999997</v>
      </c>
      <c r="S87" s="251">
        <f>SUM(S86:$AR86)*$N87/100</f>
        <v>720.64279999999997</v>
      </c>
      <c r="T87" s="251">
        <f>SUM(T86:$AR86)*$N87/100</f>
        <v>468.08679999999998</v>
      </c>
      <c r="U87" s="251">
        <f>SUM(U86:$AR86)*$N87/100</f>
        <v>215.53079999999997</v>
      </c>
      <c r="V87" s="251">
        <f>SUM(V86:$AR86)*$N87/100</f>
        <v>0</v>
      </c>
      <c r="W87" s="251">
        <f>SUM(W86:$AR86)*$N87/100</f>
        <v>0</v>
      </c>
      <c r="X87" s="251">
        <f>SUM(X86:$AR86)*$N87/100</f>
        <v>0</v>
      </c>
      <c r="Y87" s="251">
        <f>SUM(Y86:$AR86)*$N87/100</f>
        <v>0</v>
      </c>
      <c r="Z87" s="251">
        <f>SUM(Z86:$AR86)*$N87/100</f>
        <v>0</v>
      </c>
      <c r="AA87" s="251">
        <f>SUM(AA86:$AR86)*$N87/100</f>
        <v>0</v>
      </c>
      <c r="AB87" s="251">
        <f>SUM(AB86:$AR86)*$N87/100</f>
        <v>0</v>
      </c>
      <c r="AC87" s="251">
        <f>SUM(AC86:$AR86)*$N87/100</f>
        <v>0</v>
      </c>
      <c r="AD87" s="251">
        <f>SUM(AD86:$AR86)*$N87/100</f>
        <v>0</v>
      </c>
      <c r="AE87" s="251">
        <f>SUM(AE86:$AR86)*$N87/100</f>
        <v>0</v>
      </c>
      <c r="AF87" s="251">
        <f>SUM(AF86:$AR86)*$N87/100</f>
        <v>0</v>
      </c>
      <c r="AG87" s="251">
        <f>SUM(AG86:$AR86)*$N87/100</f>
        <v>0</v>
      </c>
      <c r="AH87" s="251">
        <v>0</v>
      </c>
      <c r="AI87" s="251">
        <v>0</v>
      </c>
      <c r="AJ87" s="251">
        <v>0</v>
      </c>
      <c r="AK87" s="251">
        <v>0</v>
      </c>
      <c r="AL87" s="251">
        <v>0</v>
      </c>
      <c r="AM87" s="251">
        <v>0</v>
      </c>
      <c r="AN87" s="251">
        <v>0</v>
      </c>
      <c r="AO87" s="251">
        <v>0</v>
      </c>
      <c r="AP87" s="251">
        <v>0</v>
      </c>
      <c r="AQ87" s="251">
        <v>0</v>
      </c>
      <c r="AR87" s="251">
        <v>0</v>
      </c>
      <c r="AS87" s="251"/>
      <c r="AT87" s="251"/>
      <c r="AU87" s="252">
        <f t="shared" si="5"/>
        <v>3488.1403999999998</v>
      </c>
      <c r="AV87" s="239">
        <f t="shared" si="6"/>
        <v>0</v>
      </c>
      <c r="AW87" s="253">
        <f t="shared" si="7"/>
        <v>0</v>
      </c>
      <c r="AX87" s="254">
        <f t="shared" si="8"/>
        <v>3488.1403999999998</v>
      </c>
    </row>
    <row r="88" spans="2:50" s="228" customFormat="1" outlineLevel="1" x14ac:dyDescent="0.25">
      <c r="B88" s="229" t="s">
        <v>712</v>
      </c>
      <c r="C88" s="230">
        <v>42</v>
      </c>
      <c r="D88" s="231" t="s">
        <v>964</v>
      </c>
      <c r="E88" s="232" t="s">
        <v>965</v>
      </c>
      <c r="F88" s="233" t="s">
        <v>966</v>
      </c>
      <c r="G88" s="233" t="s">
        <v>960</v>
      </c>
      <c r="H88" s="233" t="s">
        <v>967</v>
      </c>
      <c r="I88" s="233" t="s">
        <v>718</v>
      </c>
      <c r="J88" s="234">
        <v>697002</v>
      </c>
      <c r="K88" s="235">
        <v>513604</v>
      </c>
      <c r="L88" s="235"/>
      <c r="M88" s="235"/>
      <c r="N88" s="236"/>
      <c r="O88" s="236"/>
      <c r="P88" s="236"/>
      <c r="Q88" s="236" t="s">
        <v>719</v>
      </c>
      <c r="R88" s="237">
        <v>73372</v>
      </c>
      <c r="S88" s="237">
        <v>73372</v>
      </c>
      <c r="T88" s="237">
        <v>73372</v>
      </c>
      <c r="U88" s="237">
        <v>73372</v>
      </c>
      <c r="V88" s="237">
        <v>73372</v>
      </c>
      <c r="W88" s="237">
        <v>73372</v>
      </c>
      <c r="X88" s="237">
        <v>73372</v>
      </c>
      <c r="Y88" s="237">
        <v>0</v>
      </c>
      <c r="Z88" s="237">
        <v>0</v>
      </c>
      <c r="AA88" s="237">
        <v>0</v>
      </c>
      <c r="AB88" s="237">
        <v>0</v>
      </c>
      <c r="AC88" s="237">
        <v>0</v>
      </c>
      <c r="AD88" s="237">
        <v>0</v>
      </c>
      <c r="AE88" s="237">
        <v>0</v>
      </c>
      <c r="AF88" s="237">
        <v>0</v>
      </c>
      <c r="AG88" s="237">
        <v>0</v>
      </c>
      <c r="AH88" s="237">
        <v>0</v>
      </c>
      <c r="AI88" s="237">
        <v>0</v>
      </c>
      <c r="AJ88" s="237">
        <v>0</v>
      </c>
      <c r="AK88" s="237">
        <v>0</v>
      </c>
      <c r="AL88" s="237">
        <v>0</v>
      </c>
      <c r="AM88" s="237">
        <v>0</v>
      </c>
      <c r="AN88" s="237">
        <v>0</v>
      </c>
      <c r="AO88" s="237">
        <v>0</v>
      </c>
      <c r="AP88" s="237">
        <v>0</v>
      </c>
      <c r="AQ88" s="237">
        <v>0</v>
      </c>
      <c r="AR88" s="237">
        <v>0</v>
      </c>
      <c r="AS88" s="237"/>
      <c r="AT88" s="237"/>
      <c r="AU88" s="238">
        <f t="shared" si="5"/>
        <v>513604</v>
      </c>
      <c r="AV88" s="239">
        <f t="shared" si="6"/>
        <v>0</v>
      </c>
      <c r="AW88" s="240">
        <f t="shared" si="7"/>
        <v>0</v>
      </c>
      <c r="AX88" s="241">
        <f t="shared" si="8"/>
        <v>513604</v>
      </c>
    </row>
    <row r="89" spans="2:50" outlineLevel="1" x14ac:dyDescent="0.25">
      <c r="B89" s="243" t="s">
        <v>712</v>
      </c>
      <c r="C89" s="244"/>
      <c r="D89" s="245"/>
      <c r="E89" s="246"/>
      <c r="F89" s="247"/>
      <c r="G89" s="247"/>
      <c r="H89" s="247"/>
      <c r="I89" s="247"/>
      <c r="J89" s="248"/>
      <c r="K89" s="248"/>
      <c r="L89" s="248" t="s">
        <v>963</v>
      </c>
      <c r="M89" s="248"/>
      <c r="N89" s="249">
        <f>SUM(O89:P89)</f>
        <v>2.9209999999999998</v>
      </c>
      <c r="O89" s="249">
        <v>2.9209999999999998</v>
      </c>
      <c r="P89" s="249">
        <f>$P$4</f>
        <v>0</v>
      </c>
      <c r="Q89" s="249" t="s">
        <v>722</v>
      </c>
      <c r="R89" s="251">
        <v>16193.019999999999</v>
      </c>
      <c r="S89" s="251">
        <f>SUM(S88:$AR88)*$N89/100</f>
        <v>12859.176719999999</v>
      </c>
      <c r="T89" s="251">
        <f>SUM(T88:$AR88)*$N89/100</f>
        <v>10715.980599999999</v>
      </c>
      <c r="U89" s="251">
        <f>SUM(U88:$AR88)*$N89/100</f>
        <v>8572.7844800000003</v>
      </c>
      <c r="V89" s="251">
        <f>SUM(V88:$AR88)*$N89/100</f>
        <v>6429.5883599999997</v>
      </c>
      <c r="W89" s="251">
        <f>SUM(W88:$AR88)*$N89/100</f>
        <v>4286.3922400000001</v>
      </c>
      <c r="X89" s="251">
        <f>SUM(X88:$AR88)*$N89/100</f>
        <v>2143.1961200000001</v>
      </c>
      <c r="Y89" s="251">
        <v>0</v>
      </c>
      <c r="Z89" s="251">
        <v>0</v>
      </c>
      <c r="AA89" s="251">
        <v>0</v>
      </c>
      <c r="AB89" s="251">
        <v>0</v>
      </c>
      <c r="AC89" s="251">
        <v>0</v>
      </c>
      <c r="AD89" s="251">
        <v>0</v>
      </c>
      <c r="AE89" s="251">
        <v>0</v>
      </c>
      <c r="AF89" s="251">
        <v>0</v>
      </c>
      <c r="AG89" s="251">
        <v>0</v>
      </c>
      <c r="AH89" s="251">
        <v>0</v>
      </c>
      <c r="AI89" s="251">
        <v>0</v>
      </c>
      <c r="AJ89" s="251">
        <v>0</v>
      </c>
      <c r="AK89" s="251">
        <v>0</v>
      </c>
      <c r="AL89" s="251">
        <v>0</v>
      </c>
      <c r="AM89" s="251">
        <v>0</v>
      </c>
      <c r="AN89" s="251">
        <v>0</v>
      </c>
      <c r="AO89" s="251">
        <v>0</v>
      </c>
      <c r="AP89" s="251">
        <v>0</v>
      </c>
      <c r="AQ89" s="251">
        <v>0</v>
      </c>
      <c r="AR89" s="251">
        <v>0</v>
      </c>
      <c r="AS89" s="251"/>
      <c r="AT89" s="251"/>
      <c r="AU89" s="252">
        <f t="shared" si="5"/>
        <v>61200.138520000008</v>
      </c>
      <c r="AV89" s="239">
        <f t="shared" si="6"/>
        <v>0</v>
      </c>
      <c r="AW89" s="253">
        <f t="shared" si="7"/>
        <v>0</v>
      </c>
      <c r="AX89" s="254">
        <f t="shared" si="8"/>
        <v>61200.138520000008</v>
      </c>
    </row>
    <row r="90" spans="2:50" s="228" customFormat="1" outlineLevel="1" x14ac:dyDescent="0.25">
      <c r="B90" s="229" t="s">
        <v>712</v>
      </c>
      <c r="C90" s="230">
        <v>43</v>
      </c>
      <c r="D90" s="231" t="s">
        <v>968</v>
      </c>
      <c r="E90" s="232" t="s">
        <v>969</v>
      </c>
      <c r="F90" s="233" t="s">
        <v>970</v>
      </c>
      <c r="G90" s="233" t="s">
        <v>960</v>
      </c>
      <c r="H90" s="233" t="s">
        <v>967</v>
      </c>
      <c r="I90" s="233" t="s">
        <v>718</v>
      </c>
      <c r="J90" s="234">
        <v>559121.98</v>
      </c>
      <c r="K90" s="235">
        <v>384692</v>
      </c>
      <c r="L90" s="235"/>
      <c r="M90" s="235"/>
      <c r="N90" s="236"/>
      <c r="O90" s="236"/>
      <c r="P90" s="236"/>
      <c r="Q90" s="236" t="s">
        <v>719</v>
      </c>
      <c r="R90" s="237">
        <v>58116</v>
      </c>
      <c r="S90" s="237">
        <v>58116</v>
      </c>
      <c r="T90" s="237">
        <v>58116</v>
      </c>
      <c r="U90" s="237">
        <v>58116</v>
      </c>
      <c r="V90" s="237">
        <v>58116</v>
      </c>
      <c r="W90" s="237">
        <v>58116</v>
      </c>
      <c r="X90" s="237">
        <v>35995.86</v>
      </c>
      <c r="Y90" s="237">
        <v>0</v>
      </c>
      <c r="Z90" s="237">
        <v>0</v>
      </c>
      <c r="AA90" s="237">
        <v>0</v>
      </c>
      <c r="AB90" s="237">
        <v>0</v>
      </c>
      <c r="AC90" s="237">
        <v>0</v>
      </c>
      <c r="AD90" s="237">
        <v>0</v>
      </c>
      <c r="AE90" s="237">
        <v>0</v>
      </c>
      <c r="AF90" s="237">
        <v>0</v>
      </c>
      <c r="AG90" s="237">
        <v>0</v>
      </c>
      <c r="AH90" s="237">
        <v>0</v>
      </c>
      <c r="AI90" s="237">
        <v>0</v>
      </c>
      <c r="AJ90" s="237">
        <v>0</v>
      </c>
      <c r="AK90" s="237">
        <v>0</v>
      </c>
      <c r="AL90" s="237">
        <v>0</v>
      </c>
      <c r="AM90" s="237">
        <v>0</v>
      </c>
      <c r="AN90" s="237">
        <v>0</v>
      </c>
      <c r="AO90" s="237">
        <v>0</v>
      </c>
      <c r="AP90" s="237">
        <v>0</v>
      </c>
      <c r="AQ90" s="237">
        <v>0</v>
      </c>
      <c r="AR90" s="237">
        <v>0</v>
      </c>
      <c r="AS90" s="237"/>
      <c r="AT90" s="237"/>
      <c r="AU90" s="238">
        <f t="shared" si="5"/>
        <v>384691.86</v>
      </c>
      <c r="AV90" s="239">
        <f t="shared" si="6"/>
        <v>0</v>
      </c>
      <c r="AW90" s="240">
        <f t="shared" si="7"/>
        <v>0</v>
      </c>
      <c r="AX90" s="241">
        <f t="shared" si="8"/>
        <v>384691.86</v>
      </c>
    </row>
    <row r="91" spans="2:50" outlineLevel="1" x14ac:dyDescent="0.25">
      <c r="B91" s="243" t="s">
        <v>712</v>
      </c>
      <c r="C91" s="244"/>
      <c r="D91" s="245"/>
      <c r="E91" s="246"/>
      <c r="F91" s="247"/>
      <c r="G91" s="247"/>
      <c r="H91" s="247"/>
      <c r="I91" s="247"/>
      <c r="J91" s="248"/>
      <c r="K91" s="248"/>
      <c r="L91" s="248" t="s">
        <v>963</v>
      </c>
      <c r="M91" s="248"/>
      <c r="N91" s="249">
        <f>SUM(O91:P91)</f>
        <v>2.9209999999999998</v>
      </c>
      <c r="O91" s="249">
        <v>2.9209999999999998</v>
      </c>
      <c r="P91" s="249">
        <f>$P$4</f>
        <v>0</v>
      </c>
      <c r="Q91" s="249" t="s">
        <v>722</v>
      </c>
      <c r="R91" s="251">
        <v>12116.07</v>
      </c>
      <c r="S91" s="251">
        <f>SUM(S90:$AR90)*$N91/100</f>
        <v>9539.2808705999996</v>
      </c>
      <c r="T91" s="251">
        <f>SUM(T90:$AR90)*$N91/100</f>
        <v>7841.7125105999994</v>
      </c>
      <c r="U91" s="251">
        <f>SUM(U90:$AR90)*$N91/100</f>
        <v>6144.1441505999992</v>
      </c>
      <c r="V91" s="251">
        <f>SUM(V90:$AR90)*$N91/100</f>
        <v>4446.5757905999999</v>
      </c>
      <c r="W91" s="251">
        <f>SUM(W90:$AR90)*$N91/100</f>
        <v>2749.0074306000001</v>
      </c>
      <c r="X91" s="251">
        <f>SUM(X90:$AR90)*$N91/100</f>
        <v>1051.4390705999999</v>
      </c>
      <c r="Y91" s="251">
        <v>0</v>
      </c>
      <c r="Z91" s="251">
        <v>0</v>
      </c>
      <c r="AA91" s="251">
        <v>0</v>
      </c>
      <c r="AB91" s="251">
        <v>0</v>
      </c>
      <c r="AC91" s="251">
        <v>0</v>
      </c>
      <c r="AD91" s="251">
        <v>0</v>
      </c>
      <c r="AE91" s="251">
        <v>0</v>
      </c>
      <c r="AF91" s="251">
        <v>0</v>
      </c>
      <c r="AG91" s="251">
        <v>0</v>
      </c>
      <c r="AH91" s="251">
        <v>0</v>
      </c>
      <c r="AI91" s="251">
        <v>0</v>
      </c>
      <c r="AJ91" s="251">
        <v>0</v>
      </c>
      <c r="AK91" s="251">
        <v>0</v>
      </c>
      <c r="AL91" s="251">
        <v>0</v>
      </c>
      <c r="AM91" s="251">
        <v>0</v>
      </c>
      <c r="AN91" s="251">
        <v>0</v>
      </c>
      <c r="AO91" s="251">
        <v>0</v>
      </c>
      <c r="AP91" s="251">
        <v>0</v>
      </c>
      <c r="AQ91" s="251">
        <v>0</v>
      </c>
      <c r="AR91" s="251">
        <v>0</v>
      </c>
      <c r="AS91" s="251"/>
      <c r="AT91" s="251"/>
      <c r="AU91" s="252">
        <f t="shared" si="5"/>
        <v>43888.229823599999</v>
      </c>
      <c r="AV91" s="239">
        <f t="shared" si="6"/>
        <v>0</v>
      </c>
      <c r="AW91" s="253">
        <f t="shared" si="7"/>
        <v>0</v>
      </c>
      <c r="AX91" s="254">
        <f t="shared" si="8"/>
        <v>43888.229823599999</v>
      </c>
    </row>
    <row r="92" spans="2:50" s="228" customFormat="1" outlineLevel="1" x14ac:dyDescent="0.25">
      <c r="B92" s="229" t="s">
        <v>757</v>
      </c>
      <c r="C92" s="230">
        <v>44</v>
      </c>
      <c r="D92" s="231" t="s">
        <v>971</v>
      </c>
      <c r="E92" s="232" t="s">
        <v>972</v>
      </c>
      <c r="F92" s="233" t="s">
        <v>973</v>
      </c>
      <c r="G92" s="233" t="s">
        <v>974</v>
      </c>
      <c r="H92" s="233" t="s">
        <v>975</v>
      </c>
      <c r="I92" s="233" t="s">
        <v>718</v>
      </c>
      <c r="J92" s="234">
        <v>247902</v>
      </c>
      <c r="K92" s="235">
        <v>123952</v>
      </c>
      <c r="L92" s="235"/>
      <c r="M92" s="235"/>
      <c r="N92" s="236"/>
      <c r="O92" s="236"/>
      <c r="P92" s="236"/>
      <c r="Q92" s="236" t="s">
        <v>719</v>
      </c>
      <c r="R92" s="237">
        <v>61976</v>
      </c>
      <c r="S92" s="237">
        <v>61976</v>
      </c>
      <c r="T92" s="237">
        <v>0</v>
      </c>
      <c r="U92" s="237">
        <v>0</v>
      </c>
      <c r="V92" s="237">
        <v>0</v>
      </c>
      <c r="W92" s="237">
        <v>0</v>
      </c>
      <c r="X92" s="237">
        <v>0</v>
      </c>
      <c r="Y92" s="237">
        <v>0</v>
      </c>
      <c r="Z92" s="237">
        <v>0</v>
      </c>
      <c r="AA92" s="237">
        <v>0</v>
      </c>
      <c r="AB92" s="237">
        <v>0</v>
      </c>
      <c r="AC92" s="237">
        <v>0</v>
      </c>
      <c r="AD92" s="237">
        <v>0</v>
      </c>
      <c r="AE92" s="237">
        <v>0</v>
      </c>
      <c r="AF92" s="237">
        <v>0</v>
      </c>
      <c r="AG92" s="237">
        <v>0</v>
      </c>
      <c r="AH92" s="237">
        <v>0</v>
      </c>
      <c r="AI92" s="237">
        <v>0</v>
      </c>
      <c r="AJ92" s="237">
        <v>0</v>
      </c>
      <c r="AK92" s="237">
        <v>0</v>
      </c>
      <c r="AL92" s="237">
        <v>0</v>
      </c>
      <c r="AM92" s="237">
        <v>0</v>
      </c>
      <c r="AN92" s="237">
        <v>0</v>
      </c>
      <c r="AO92" s="237">
        <v>0</v>
      </c>
      <c r="AP92" s="237">
        <v>0</v>
      </c>
      <c r="AQ92" s="237">
        <v>0</v>
      </c>
      <c r="AR92" s="237">
        <v>0</v>
      </c>
      <c r="AS92" s="237"/>
      <c r="AT92" s="237"/>
      <c r="AU92" s="238">
        <f t="shared" si="5"/>
        <v>123952</v>
      </c>
      <c r="AV92" s="239">
        <f t="shared" si="6"/>
        <v>0</v>
      </c>
      <c r="AW92" s="240">
        <f t="shared" si="7"/>
        <v>0</v>
      </c>
      <c r="AX92" s="241">
        <f t="shared" si="8"/>
        <v>123952</v>
      </c>
    </row>
    <row r="93" spans="2:50" outlineLevel="1" x14ac:dyDescent="0.25">
      <c r="B93" s="243" t="s">
        <v>757</v>
      </c>
      <c r="C93" s="244"/>
      <c r="D93" s="245" t="s">
        <v>976</v>
      </c>
      <c r="E93" s="246"/>
      <c r="F93" s="247"/>
      <c r="G93" s="247"/>
      <c r="H93" s="247"/>
      <c r="I93" s="247"/>
      <c r="J93" s="248"/>
      <c r="K93" s="248"/>
      <c r="L93" s="248" t="s">
        <v>977</v>
      </c>
      <c r="M93" s="248"/>
      <c r="N93" s="249">
        <f>SUM(O93:P93)</f>
        <v>2.919</v>
      </c>
      <c r="O93" s="249">
        <v>2.919</v>
      </c>
      <c r="P93" s="249">
        <f>$P$4</f>
        <v>0</v>
      </c>
      <c r="Q93" s="249" t="s">
        <v>722</v>
      </c>
      <c r="R93" s="251">
        <v>3734.49</v>
      </c>
      <c r="S93" s="251">
        <f>SUM(S92:$AR92)*$N93/100</f>
        <v>1809.07944</v>
      </c>
      <c r="T93" s="251">
        <f>SUM(T92:$AR92)*$N93/100</f>
        <v>0</v>
      </c>
      <c r="U93" s="251">
        <v>0</v>
      </c>
      <c r="V93" s="251">
        <v>0</v>
      </c>
      <c r="W93" s="251">
        <v>0</v>
      </c>
      <c r="X93" s="251">
        <v>0</v>
      </c>
      <c r="Y93" s="251">
        <v>0</v>
      </c>
      <c r="Z93" s="251">
        <v>0</v>
      </c>
      <c r="AA93" s="251">
        <v>0</v>
      </c>
      <c r="AB93" s="251">
        <v>0</v>
      </c>
      <c r="AC93" s="251">
        <v>0</v>
      </c>
      <c r="AD93" s="251">
        <v>0</v>
      </c>
      <c r="AE93" s="251">
        <v>0</v>
      </c>
      <c r="AF93" s="251">
        <v>0</v>
      </c>
      <c r="AG93" s="251">
        <v>0</v>
      </c>
      <c r="AH93" s="251">
        <v>0</v>
      </c>
      <c r="AI93" s="251">
        <v>0</v>
      </c>
      <c r="AJ93" s="251">
        <v>0</v>
      </c>
      <c r="AK93" s="251">
        <v>0</v>
      </c>
      <c r="AL93" s="251">
        <v>0</v>
      </c>
      <c r="AM93" s="251">
        <v>0</v>
      </c>
      <c r="AN93" s="251">
        <v>0</v>
      </c>
      <c r="AO93" s="251">
        <v>0</v>
      </c>
      <c r="AP93" s="251">
        <v>0</v>
      </c>
      <c r="AQ93" s="251">
        <v>0</v>
      </c>
      <c r="AR93" s="251">
        <v>0</v>
      </c>
      <c r="AS93" s="251"/>
      <c r="AT93" s="251"/>
      <c r="AU93" s="252">
        <f t="shared" si="5"/>
        <v>5543.5694399999993</v>
      </c>
      <c r="AV93" s="239">
        <f t="shared" si="6"/>
        <v>0</v>
      </c>
      <c r="AW93" s="253">
        <f t="shared" si="7"/>
        <v>0</v>
      </c>
      <c r="AX93" s="254">
        <f t="shared" si="8"/>
        <v>5543.5694399999993</v>
      </c>
    </row>
    <row r="94" spans="2:50" s="228" customFormat="1" outlineLevel="1" x14ac:dyDescent="0.25">
      <c r="B94" s="229" t="s">
        <v>757</v>
      </c>
      <c r="C94" s="230">
        <v>45</v>
      </c>
      <c r="D94" s="231" t="s">
        <v>978</v>
      </c>
      <c r="E94" s="232" t="s">
        <v>979</v>
      </c>
      <c r="F94" s="233" t="s">
        <v>980</v>
      </c>
      <c r="G94" s="233" t="s">
        <v>981</v>
      </c>
      <c r="H94" s="233" t="s">
        <v>982</v>
      </c>
      <c r="I94" s="233" t="s">
        <v>718</v>
      </c>
      <c r="J94" s="234">
        <v>178121</v>
      </c>
      <c r="K94" s="235">
        <v>80784</v>
      </c>
      <c r="L94" s="235"/>
      <c r="M94" s="235"/>
      <c r="N94" s="236"/>
      <c r="O94" s="236"/>
      <c r="P94" s="236"/>
      <c r="Q94" s="236" t="s">
        <v>719</v>
      </c>
      <c r="R94" s="237">
        <v>12500</v>
      </c>
      <c r="S94" s="237">
        <v>12500</v>
      </c>
      <c r="T94" s="237">
        <v>12500</v>
      </c>
      <c r="U94" s="237">
        <v>12500</v>
      </c>
      <c r="V94" s="237">
        <v>12500</v>
      </c>
      <c r="W94" s="237">
        <v>12500</v>
      </c>
      <c r="X94" s="237">
        <v>5783.52</v>
      </c>
      <c r="Y94" s="237">
        <v>0</v>
      </c>
      <c r="Z94" s="237">
        <v>0</v>
      </c>
      <c r="AA94" s="237">
        <v>0</v>
      </c>
      <c r="AB94" s="237">
        <v>0</v>
      </c>
      <c r="AC94" s="237">
        <v>0</v>
      </c>
      <c r="AD94" s="237">
        <v>0</v>
      </c>
      <c r="AE94" s="237">
        <v>0</v>
      </c>
      <c r="AF94" s="237">
        <v>0</v>
      </c>
      <c r="AG94" s="237">
        <v>0</v>
      </c>
      <c r="AH94" s="237">
        <v>0</v>
      </c>
      <c r="AI94" s="237">
        <v>0</v>
      </c>
      <c r="AJ94" s="237">
        <v>0</v>
      </c>
      <c r="AK94" s="237">
        <v>0</v>
      </c>
      <c r="AL94" s="237">
        <v>0</v>
      </c>
      <c r="AM94" s="237">
        <v>0</v>
      </c>
      <c r="AN94" s="237">
        <v>0</v>
      </c>
      <c r="AO94" s="237">
        <v>0</v>
      </c>
      <c r="AP94" s="237">
        <v>0</v>
      </c>
      <c r="AQ94" s="237">
        <v>0</v>
      </c>
      <c r="AR94" s="237">
        <v>0</v>
      </c>
      <c r="AS94" s="237"/>
      <c r="AT94" s="237"/>
      <c r="AU94" s="238">
        <f t="shared" si="5"/>
        <v>80783.520000000004</v>
      </c>
      <c r="AV94" s="239">
        <f t="shared" si="6"/>
        <v>0</v>
      </c>
      <c r="AW94" s="240">
        <f t="shared" si="7"/>
        <v>0</v>
      </c>
      <c r="AX94" s="241">
        <f t="shared" si="8"/>
        <v>80783.520000000004</v>
      </c>
    </row>
    <row r="95" spans="2:50" outlineLevel="1" x14ac:dyDescent="0.25">
      <c r="B95" s="243" t="s">
        <v>757</v>
      </c>
      <c r="C95" s="244"/>
      <c r="D95" s="245" t="s">
        <v>983</v>
      </c>
      <c r="E95" s="246"/>
      <c r="F95" s="247"/>
      <c r="G95" s="247"/>
      <c r="H95" s="247"/>
      <c r="I95" s="247"/>
      <c r="J95" s="248"/>
      <c r="K95" s="248"/>
      <c r="L95" s="248" t="s">
        <v>984</v>
      </c>
      <c r="M95" s="248"/>
      <c r="N95" s="249">
        <f>SUM(O95:P95)</f>
        <v>3.55</v>
      </c>
      <c r="O95" s="250">
        <v>3.55</v>
      </c>
      <c r="P95" s="249">
        <f>$P$4</f>
        <v>0</v>
      </c>
      <c r="Q95" s="249" t="s">
        <v>722</v>
      </c>
      <c r="R95" s="251">
        <v>2654.5200000000004</v>
      </c>
      <c r="S95" s="251">
        <f>SUM(S94:$AR94)*$N95/100</f>
        <v>2424.0649600000002</v>
      </c>
      <c r="T95" s="251">
        <f>SUM(T94:$AR94)*$N95/100</f>
        <v>1980.3149600000002</v>
      </c>
      <c r="U95" s="251">
        <f>SUM(U94:$AR94)*$N95/100</f>
        <v>1536.5649600000002</v>
      </c>
      <c r="V95" s="251">
        <f>SUM(V94:$AR94)*$N95/100</f>
        <v>1092.8149599999999</v>
      </c>
      <c r="W95" s="251">
        <f>SUM(W94:$AR94)*$N95/100</f>
        <v>649.06496000000004</v>
      </c>
      <c r="X95" s="251">
        <f>SUM(X94:$AR94)*$N95/100</f>
        <v>205.31495999999999</v>
      </c>
      <c r="Y95" s="251">
        <v>0</v>
      </c>
      <c r="Z95" s="251">
        <v>0</v>
      </c>
      <c r="AA95" s="251">
        <v>0</v>
      </c>
      <c r="AB95" s="251">
        <v>0</v>
      </c>
      <c r="AC95" s="251">
        <v>0</v>
      </c>
      <c r="AD95" s="251">
        <v>0</v>
      </c>
      <c r="AE95" s="251">
        <v>0</v>
      </c>
      <c r="AF95" s="251">
        <v>0</v>
      </c>
      <c r="AG95" s="251">
        <v>0</v>
      </c>
      <c r="AH95" s="251">
        <v>0</v>
      </c>
      <c r="AI95" s="251">
        <v>0</v>
      </c>
      <c r="AJ95" s="251">
        <v>0</v>
      </c>
      <c r="AK95" s="251">
        <v>0</v>
      </c>
      <c r="AL95" s="251">
        <v>0</v>
      </c>
      <c r="AM95" s="251">
        <v>0</v>
      </c>
      <c r="AN95" s="251">
        <v>0</v>
      </c>
      <c r="AO95" s="251">
        <v>0</v>
      </c>
      <c r="AP95" s="251">
        <v>0</v>
      </c>
      <c r="AQ95" s="251">
        <v>0</v>
      </c>
      <c r="AR95" s="251">
        <v>0</v>
      </c>
      <c r="AS95" s="251"/>
      <c r="AT95" s="251"/>
      <c r="AU95" s="252">
        <f t="shared" si="5"/>
        <v>10542.659759999999</v>
      </c>
      <c r="AV95" s="239">
        <f t="shared" si="6"/>
        <v>0</v>
      </c>
      <c r="AW95" s="253">
        <f t="shared" si="7"/>
        <v>0</v>
      </c>
      <c r="AX95" s="254">
        <f t="shared" si="8"/>
        <v>10542.659759999999</v>
      </c>
    </row>
    <row r="96" spans="2:50" s="228" customFormat="1" outlineLevel="1" x14ac:dyDescent="0.25">
      <c r="B96" s="229" t="s">
        <v>712</v>
      </c>
      <c r="C96" s="230">
        <v>46</v>
      </c>
      <c r="D96" s="231" t="s">
        <v>985</v>
      </c>
      <c r="E96" s="232" t="s">
        <v>986</v>
      </c>
      <c r="F96" s="233" t="s">
        <v>987</v>
      </c>
      <c r="G96" s="233" t="s">
        <v>988</v>
      </c>
      <c r="H96" s="233" t="s">
        <v>989</v>
      </c>
      <c r="I96" s="233" t="s">
        <v>718</v>
      </c>
      <c r="J96" s="234">
        <v>1230506</v>
      </c>
      <c r="K96" s="235">
        <v>993334</v>
      </c>
      <c r="L96" s="235"/>
      <c r="M96" s="235"/>
      <c r="N96" s="236"/>
      <c r="O96" s="236"/>
      <c r="P96" s="236"/>
      <c r="Q96" s="236" t="s">
        <v>719</v>
      </c>
      <c r="R96" s="237">
        <f>86352+191255</f>
        <v>277607</v>
      </c>
      <c r="S96" s="237">
        <f>21588*4</f>
        <v>86352</v>
      </c>
      <c r="T96" s="237">
        <v>86352</v>
      </c>
      <c r="U96" s="237">
        <v>86352</v>
      </c>
      <c r="V96" s="237">
        <v>86352</v>
      </c>
      <c r="W96" s="237">
        <v>86352</v>
      </c>
      <c r="X96" s="237">
        <v>86352</v>
      </c>
      <c r="Y96" s="237">
        <v>86352</v>
      </c>
      <c r="Z96" s="237">
        <v>86352</v>
      </c>
      <c r="AA96" s="237">
        <f>21588+3324</f>
        <v>24912</v>
      </c>
      <c r="AB96" s="237"/>
      <c r="AC96" s="237"/>
      <c r="AD96" s="237"/>
      <c r="AE96" s="237">
        <v>0</v>
      </c>
      <c r="AF96" s="237">
        <v>0</v>
      </c>
      <c r="AG96" s="237">
        <v>0</v>
      </c>
      <c r="AH96" s="237">
        <v>0</v>
      </c>
      <c r="AI96" s="237">
        <v>0</v>
      </c>
      <c r="AJ96" s="237">
        <v>0</v>
      </c>
      <c r="AK96" s="237">
        <v>0</v>
      </c>
      <c r="AL96" s="237">
        <v>0</v>
      </c>
      <c r="AM96" s="237">
        <v>0</v>
      </c>
      <c r="AN96" s="237">
        <v>0</v>
      </c>
      <c r="AO96" s="237">
        <v>0</v>
      </c>
      <c r="AP96" s="237">
        <v>0</v>
      </c>
      <c r="AQ96" s="237">
        <v>0</v>
      </c>
      <c r="AR96" s="237">
        <v>0</v>
      </c>
      <c r="AS96" s="237"/>
      <c r="AT96" s="237"/>
      <c r="AU96" s="238">
        <f t="shared" si="5"/>
        <v>993335</v>
      </c>
      <c r="AV96" s="239">
        <f t="shared" si="6"/>
        <v>0</v>
      </c>
      <c r="AW96" s="240">
        <f t="shared" si="7"/>
        <v>197616</v>
      </c>
      <c r="AX96" s="241">
        <f t="shared" si="8"/>
        <v>993335</v>
      </c>
    </row>
    <row r="97" spans="2:50" outlineLevel="1" x14ac:dyDescent="0.25">
      <c r="B97" s="243" t="s">
        <v>712</v>
      </c>
      <c r="C97" s="244"/>
      <c r="D97" s="245" t="s">
        <v>990</v>
      </c>
      <c r="E97" s="246"/>
      <c r="F97" s="247"/>
      <c r="G97" s="247"/>
      <c r="H97" s="247"/>
      <c r="I97" s="247"/>
      <c r="J97" s="248"/>
      <c r="K97" s="248"/>
      <c r="L97" s="248" t="s">
        <v>991</v>
      </c>
      <c r="M97" s="248"/>
      <c r="N97" s="249">
        <f>SUM(O97:P97)</f>
        <v>4.25</v>
      </c>
      <c r="O97" s="250">
        <v>4.25</v>
      </c>
      <c r="P97" s="249">
        <f>$P$4</f>
        <v>0</v>
      </c>
      <c r="Q97" s="249" t="s">
        <v>722</v>
      </c>
      <c r="R97" s="251">
        <v>41747.07</v>
      </c>
      <c r="S97" s="251">
        <f>SUM(S96:$AR96)*$N97/100</f>
        <v>30418.44</v>
      </c>
      <c r="T97" s="251">
        <f>SUM(T96:$AR96)*$N97/100</f>
        <v>26748.48</v>
      </c>
      <c r="U97" s="251">
        <f>SUM(U96:$AR96)*$N97/100</f>
        <v>23078.52</v>
      </c>
      <c r="V97" s="251">
        <f>SUM(V96:$AR96)*$N97/100</f>
        <v>19408.560000000001</v>
      </c>
      <c r="W97" s="251">
        <f>SUM(W96:$AR96)*$N97/100</f>
        <v>15738.6</v>
      </c>
      <c r="X97" s="251">
        <f>SUM(X96:$AR96)*$N97/100</f>
        <v>12068.64</v>
      </c>
      <c r="Y97" s="251">
        <f>SUM(Y96:$AR96)*$N97/100</f>
        <v>8398.68</v>
      </c>
      <c r="Z97" s="251">
        <f>SUM(Z96:$AR96)*$N97/100</f>
        <v>4728.72</v>
      </c>
      <c r="AA97" s="251">
        <f>SUM(AA96:$AR96)*$N97/100</f>
        <v>1058.76</v>
      </c>
      <c r="AB97" s="251">
        <f>SUM(AB96:$AR96)*$N97/100</f>
        <v>0</v>
      </c>
      <c r="AC97" s="251">
        <f>SUM(AC96:$AR96)*$N97/100</f>
        <v>0</v>
      </c>
      <c r="AD97" s="251">
        <f>SUM(AD96:$AR96)*$N97/100</f>
        <v>0</v>
      </c>
      <c r="AE97" s="251">
        <v>0</v>
      </c>
      <c r="AF97" s="251">
        <v>0</v>
      </c>
      <c r="AG97" s="251">
        <v>0</v>
      </c>
      <c r="AH97" s="251">
        <v>0</v>
      </c>
      <c r="AI97" s="251">
        <v>0</v>
      </c>
      <c r="AJ97" s="251">
        <v>0</v>
      </c>
      <c r="AK97" s="251">
        <v>0</v>
      </c>
      <c r="AL97" s="251">
        <v>0</v>
      </c>
      <c r="AM97" s="251">
        <v>0</v>
      </c>
      <c r="AN97" s="251">
        <v>0</v>
      </c>
      <c r="AO97" s="251">
        <v>0</v>
      </c>
      <c r="AP97" s="251">
        <v>0</v>
      </c>
      <c r="AQ97" s="251">
        <v>0</v>
      </c>
      <c r="AR97" s="251">
        <v>0</v>
      </c>
      <c r="AS97" s="251"/>
      <c r="AT97" s="251"/>
      <c r="AU97" s="252">
        <f t="shared" si="5"/>
        <v>183394.47</v>
      </c>
      <c r="AV97" s="239">
        <f t="shared" si="6"/>
        <v>0</v>
      </c>
      <c r="AW97" s="253">
        <f t="shared" si="7"/>
        <v>14186.160000000002</v>
      </c>
      <c r="AX97" s="254">
        <f t="shared" si="8"/>
        <v>183394.47</v>
      </c>
    </row>
    <row r="98" spans="2:50" s="228" customFormat="1" outlineLevel="1" x14ac:dyDescent="0.25">
      <c r="B98" s="229" t="s">
        <v>712</v>
      </c>
      <c r="C98" s="230">
        <v>47</v>
      </c>
      <c r="D98" s="231" t="s">
        <v>992</v>
      </c>
      <c r="E98" s="232" t="s">
        <v>993</v>
      </c>
      <c r="F98" s="233" t="s">
        <v>994</v>
      </c>
      <c r="G98" s="233" t="s">
        <v>995</v>
      </c>
      <c r="H98" s="233" t="s">
        <v>996</v>
      </c>
      <c r="I98" s="233" t="s">
        <v>718</v>
      </c>
      <c r="J98" s="234">
        <v>156436.10999999999</v>
      </c>
      <c r="K98" s="235">
        <v>82289</v>
      </c>
      <c r="L98" s="235"/>
      <c r="M98" s="235"/>
      <c r="N98" s="236"/>
      <c r="O98" s="236"/>
      <c r="P98" s="236"/>
      <c r="Q98" s="236" t="s">
        <v>719</v>
      </c>
      <c r="R98" s="237">
        <v>37076</v>
      </c>
      <c r="S98" s="237">
        <v>37076</v>
      </c>
      <c r="T98" s="237">
        <v>8137.11</v>
      </c>
      <c r="U98" s="237">
        <v>0</v>
      </c>
      <c r="V98" s="237">
        <v>0</v>
      </c>
      <c r="W98" s="237">
        <v>0</v>
      </c>
      <c r="X98" s="237">
        <v>0</v>
      </c>
      <c r="Y98" s="237">
        <v>0</v>
      </c>
      <c r="Z98" s="237">
        <v>0</v>
      </c>
      <c r="AA98" s="237">
        <v>0</v>
      </c>
      <c r="AB98" s="237">
        <v>0</v>
      </c>
      <c r="AC98" s="237">
        <v>0</v>
      </c>
      <c r="AD98" s="237">
        <v>0</v>
      </c>
      <c r="AE98" s="237">
        <v>0</v>
      </c>
      <c r="AF98" s="237">
        <v>0</v>
      </c>
      <c r="AG98" s="237">
        <v>0</v>
      </c>
      <c r="AH98" s="237">
        <v>0</v>
      </c>
      <c r="AI98" s="237">
        <v>0</v>
      </c>
      <c r="AJ98" s="237">
        <v>0</v>
      </c>
      <c r="AK98" s="237">
        <v>0</v>
      </c>
      <c r="AL98" s="237">
        <v>0</v>
      </c>
      <c r="AM98" s="237">
        <v>0</v>
      </c>
      <c r="AN98" s="237">
        <v>0</v>
      </c>
      <c r="AO98" s="237">
        <v>0</v>
      </c>
      <c r="AP98" s="237">
        <v>0</v>
      </c>
      <c r="AQ98" s="237">
        <v>0</v>
      </c>
      <c r="AR98" s="237">
        <v>0</v>
      </c>
      <c r="AS98" s="237"/>
      <c r="AT98" s="237"/>
      <c r="AU98" s="238">
        <f t="shared" si="5"/>
        <v>82289.11</v>
      </c>
      <c r="AV98" s="239">
        <f t="shared" si="6"/>
        <v>0</v>
      </c>
      <c r="AW98" s="240">
        <f t="shared" si="7"/>
        <v>0</v>
      </c>
      <c r="AX98" s="241">
        <f t="shared" si="8"/>
        <v>82289.11</v>
      </c>
    </row>
    <row r="99" spans="2:50" outlineLevel="1" x14ac:dyDescent="0.25">
      <c r="B99" s="243" t="s">
        <v>712</v>
      </c>
      <c r="C99" s="244"/>
      <c r="D99" s="245"/>
      <c r="E99" s="246"/>
      <c r="F99" s="247"/>
      <c r="G99" s="247"/>
      <c r="H99" s="247"/>
      <c r="I99" s="247"/>
      <c r="J99" s="248"/>
      <c r="K99" s="248"/>
      <c r="L99" s="248" t="s">
        <v>997</v>
      </c>
      <c r="M99" s="248"/>
      <c r="N99" s="249">
        <f>SUM(O99:P99)</f>
        <v>4.4960000000000004</v>
      </c>
      <c r="O99" s="249">
        <v>4.4960000000000004</v>
      </c>
      <c r="P99" s="249">
        <f>$P$4</f>
        <v>0</v>
      </c>
      <c r="Q99" s="249" t="s">
        <v>722</v>
      </c>
      <c r="R99" s="251">
        <v>3311.9199999999996</v>
      </c>
      <c r="S99" s="251">
        <f>SUM(S98:$AR98)*$N99/100</f>
        <v>2032.7814256000004</v>
      </c>
      <c r="T99" s="251">
        <f>SUM(T98:$AR98)*$N99/100</f>
        <v>365.84446560000004</v>
      </c>
      <c r="U99" s="251">
        <v>0</v>
      </c>
      <c r="V99" s="251">
        <v>0</v>
      </c>
      <c r="W99" s="251">
        <v>0</v>
      </c>
      <c r="X99" s="251">
        <v>0</v>
      </c>
      <c r="Y99" s="251">
        <v>0</v>
      </c>
      <c r="Z99" s="251">
        <v>0</v>
      </c>
      <c r="AA99" s="251">
        <v>0</v>
      </c>
      <c r="AB99" s="251">
        <v>0</v>
      </c>
      <c r="AC99" s="251">
        <v>0</v>
      </c>
      <c r="AD99" s="251">
        <v>0</v>
      </c>
      <c r="AE99" s="251">
        <v>0</v>
      </c>
      <c r="AF99" s="251">
        <v>0</v>
      </c>
      <c r="AG99" s="251">
        <v>0</v>
      </c>
      <c r="AH99" s="251">
        <v>0</v>
      </c>
      <c r="AI99" s="251">
        <v>0</v>
      </c>
      <c r="AJ99" s="251">
        <v>0</v>
      </c>
      <c r="AK99" s="251">
        <v>0</v>
      </c>
      <c r="AL99" s="251">
        <v>0</v>
      </c>
      <c r="AM99" s="251">
        <v>0</v>
      </c>
      <c r="AN99" s="251">
        <v>0</v>
      </c>
      <c r="AO99" s="251">
        <v>0</v>
      </c>
      <c r="AP99" s="251">
        <v>0</v>
      </c>
      <c r="AQ99" s="251">
        <v>0</v>
      </c>
      <c r="AR99" s="251">
        <v>0</v>
      </c>
      <c r="AS99" s="251"/>
      <c r="AT99" s="251"/>
      <c r="AU99" s="252">
        <f t="shared" si="5"/>
        <v>5710.5458912000004</v>
      </c>
      <c r="AV99" s="239">
        <f t="shared" si="6"/>
        <v>0</v>
      </c>
      <c r="AW99" s="253">
        <f t="shared" si="7"/>
        <v>0</v>
      </c>
      <c r="AX99" s="254">
        <f t="shared" si="8"/>
        <v>5710.5458912000004</v>
      </c>
    </row>
    <row r="100" spans="2:50" s="228" customFormat="1" outlineLevel="1" x14ac:dyDescent="0.25">
      <c r="B100" s="229" t="s">
        <v>712</v>
      </c>
      <c r="C100" s="230">
        <v>48</v>
      </c>
      <c r="D100" s="231" t="s">
        <v>998</v>
      </c>
      <c r="E100" s="232" t="s">
        <v>999</v>
      </c>
      <c r="F100" s="233" t="s">
        <v>1000</v>
      </c>
      <c r="G100" s="233" t="s">
        <v>1001</v>
      </c>
      <c r="H100" s="233" t="s">
        <v>1002</v>
      </c>
      <c r="I100" s="233" t="s">
        <v>718</v>
      </c>
      <c r="J100" s="234">
        <v>90861.19</v>
      </c>
      <c r="K100" s="235">
        <v>50106</v>
      </c>
      <c r="L100" s="235"/>
      <c r="M100" s="235"/>
      <c r="N100" s="236"/>
      <c r="O100" s="236"/>
      <c r="P100" s="236"/>
      <c r="Q100" s="236" t="s">
        <v>719</v>
      </c>
      <c r="R100" s="237">
        <v>20380</v>
      </c>
      <c r="S100" s="237">
        <v>20380</v>
      </c>
      <c r="T100" s="237">
        <v>9346.1899999999987</v>
      </c>
      <c r="U100" s="237">
        <v>0</v>
      </c>
      <c r="V100" s="237">
        <v>0</v>
      </c>
      <c r="W100" s="237">
        <v>0</v>
      </c>
      <c r="X100" s="237">
        <v>0</v>
      </c>
      <c r="Y100" s="237">
        <v>0</v>
      </c>
      <c r="Z100" s="237">
        <v>0</v>
      </c>
      <c r="AA100" s="237">
        <v>0</v>
      </c>
      <c r="AB100" s="237">
        <v>0</v>
      </c>
      <c r="AC100" s="237">
        <v>0</v>
      </c>
      <c r="AD100" s="237">
        <v>0</v>
      </c>
      <c r="AE100" s="237">
        <v>0</v>
      </c>
      <c r="AF100" s="237">
        <v>0</v>
      </c>
      <c r="AG100" s="237">
        <v>0</v>
      </c>
      <c r="AH100" s="237">
        <v>0</v>
      </c>
      <c r="AI100" s="237">
        <v>0</v>
      </c>
      <c r="AJ100" s="237">
        <v>0</v>
      </c>
      <c r="AK100" s="237">
        <v>0</v>
      </c>
      <c r="AL100" s="237">
        <v>0</v>
      </c>
      <c r="AM100" s="237">
        <v>0</v>
      </c>
      <c r="AN100" s="237">
        <v>0</v>
      </c>
      <c r="AO100" s="237">
        <v>0</v>
      </c>
      <c r="AP100" s="237">
        <v>0</v>
      </c>
      <c r="AQ100" s="237">
        <v>0</v>
      </c>
      <c r="AR100" s="237">
        <v>0</v>
      </c>
      <c r="AS100" s="237"/>
      <c r="AT100" s="237"/>
      <c r="AU100" s="238">
        <f t="shared" si="5"/>
        <v>50106.19</v>
      </c>
      <c r="AV100" s="239">
        <f t="shared" si="6"/>
        <v>0</v>
      </c>
      <c r="AW100" s="240">
        <f t="shared" si="7"/>
        <v>0</v>
      </c>
      <c r="AX100" s="241">
        <f t="shared" si="8"/>
        <v>50106.19</v>
      </c>
    </row>
    <row r="101" spans="2:50" outlineLevel="1" x14ac:dyDescent="0.25">
      <c r="B101" s="243" t="s">
        <v>712</v>
      </c>
      <c r="C101" s="244"/>
      <c r="D101" s="245" t="s">
        <v>1003</v>
      </c>
      <c r="E101" s="246"/>
      <c r="F101" s="247"/>
      <c r="G101" s="247"/>
      <c r="H101" s="247"/>
      <c r="I101" s="247"/>
      <c r="J101" s="248"/>
      <c r="K101" s="248"/>
      <c r="L101" s="248" t="s">
        <v>1004</v>
      </c>
      <c r="M101" s="248"/>
      <c r="N101" s="249">
        <f>SUM(O101:P101)</f>
        <v>4.6020000000000003</v>
      </c>
      <c r="O101" s="256">
        <v>4.6020000000000003</v>
      </c>
      <c r="P101" s="249">
        <f>$P$4</f>
        <v>0</v>
      </c>
      <c r="Q101" s="249" t="s">
        <v>722</v>
      </c>
      <c r="R101" s="251">
        <v>2107.0500000000002</v>
      </c>
      <c r="S101" s="251">
        <f>SUM(S100:$AR100)*$N101/100</f>
        <v>1367.9992637999999</v>
      </c>
      <c r="T101" s="251">
        <f>SUM(T100:$AR100)*$N101/100</f>
        <v>430.11166379999997</v>
      </c>
      <c r="U101" s="251">
        <v>0</v>
      </c>
      <c r="V101" s="251">
        <v>0</v>
      </c>
      <c r="W101" s="251">
        <v>0</v>
      </c>
      <c r="X101" s="251">
        <v>0</v>
      </c>
      <c r="Y101" s="251">
        <v>0</v>
      </c>
      <c r="Z101" s="251">
        <v>0</v>
      </c>
      <c r="AA101" s="251">
        <v>0</v>
      </c>
      <c r="AB101" s="251">
        <v>0</v>
      </c>
      <c r="AC101" s="251">
        <v>0</v>
      </c>
      <c r="AD101" s="251">
        <v>0</v>
      </c>
      <c r="AE101" s="251">
        <v>0</v>
      </c>
      <c r="AF101" s="251">
        <v>0</v>
      </c>
      <c r="AG101" s="251">
        <v>0</v>
      </c>
      <c r="AH101" s="251">
        <v>0</v>
      </c>
      <c r="AI101" s="251">
        <v>0</v>
      </c>
      <c r="AJ101" s="251">
        <v>0</v>
      </c>
      <c r="AK101" s="251">
        <v>0</v>
      </c>
      <c r="AL101" s="251">
        <v>0</v>
      </c>
      <c r="AM101" s="251">
        <v>0</v>
      </c>
      <c r="AN101" s="251">
        <v>0</v>
      </c>
      <c r="AO101" s="251">
        <v>0</v>
      </c>
      <c r="AP101" s="251">
        <v>0</v>
      </c>
      <c r="AQ101" s="251">
        <v>0</v>
      </c>
      <c r="AR101" s="251">
        <v>0</v>
      </c>
      <c r="AS101" s="251"/>
      <c r="AT101" s="251"/>
      <c r="AU101" s="252">
        <f t="shared" si="5"/>
        <v>3905.1609275999999</v>
      </c>
      <c r="AV101" s="239">
        <f t="shared" si="6"/>
        <v>0</v>
      </c>
      <c r="AW101" s="253">
        <f t="shared" si="7"/>
        <v>0</v>
      </c>
      <c r="AX101" s="254">
        <f t="shared" si="8"/>
        <v>3905.1609275999999</v>
      </c>
    </row>
    <row r="102" spans="2:50" s="228" customFormat="1" outlineLevel="1" x14ac:dyDescent="0.25">
      <c r="B102" s="229" t="s">
        <v>712</v>
      </c>
      <c r="C102" s="230">
        <v>49</v>
      </c>
      <c r="D102" s="231" t="s">
        <v>1005</v>
      </c>
      <c r="E102" s="232" t="s">
        <v>1006</v>
      </c>
      <c r="F102" s="233" t="s">
        <v>1007</v>
      </c>
      <c r="G102" s="233" t="s">
        <v>1008</v>
      </c>
      <c r="H102" s="233" t="s">
        <v>1009</v>
      </c>
      <c r="I102" s="233" t="s">
        <v>718</v>
      </c>
      <c r="J102" s="234">
        <v>496340</v>
      </c>
      <c r="K102" s="235">
        <v>415865</v>
      </c>
      <c r="L102" s="235"/>
      <c r="M102" s="235"/>
      <c r="N102" s="236"/>
      <c r="O102" s="236"/>
      <c r="P102" s="236"/>
      <c r="Q102" s="236" t="s">
        <v>719</v>
      </c>
      <c r="R102" s="237">
        <v>53660</v>
      </c>
      <c r="S102" s="237">
        <v>53660</v>
      </c>
      <c r="T102" s="237">
        <v>53660</v>
      </c>
      <c r="U102" s="237">
        <v>53660</v>
      </c>
      <c r="V102" s="237">
        <v>53660</v>
      </c>
      <c r="W102" s="237">
        <v>53660</v>
      </c>
      <c r="X102" s="237">
        <v>53660</v>
      </c>
      <c r="Y102" s="237">
        <v>40245</v>
      </c>
      <c r="Z102" s="237">
        <v>0</v>
      </c>
      <c r="AA102" s="237">
        <v>0</v>
      </c>
      <c r="AB102" s="237">
        <v>0</v>
      </c>
      <c r="AC102" s="237">
        <v>0</v>
      </c>
      <c r="AD102" s="237">
        <v>0</v>
      </c>
      <c r="AE102" s="237">
        <v>0</v>
      </c>
      <c r="AF102" s="237">
        <v>0</v>
      </c>
      <c r="AG102" s="237">
        <v>0</v>
      </c>
      <c r="AH102" s="237">
        <v>0</v>
      </c>
      <c r="AI102" s="237">
        <v>0</v>
      </c>
      <c r="AJ102" s="237">
        <v>0</v>
      </c>
      <c r="AK102" s="237">
        <v>0</v>
      </c>
      <c r="AL102" s="237">
        <v>0</v>
      </c>
      <c r="AM102" s="237">
        <v>0</v>
      </c>
      <c r="AN102" s="237">
        <v>0</v>
      </c>
      <c r="AO102" s="237">
        <v>0</v>
      </c>
      <c r="AP102" s="237">
        <v>0</v>
      </c>
      <c r="AQ102" s="237">
        <v>0</v>
      </c>
      <c r="AR102" s="237">
        <v>0</v>
      </c>
      <c r="AS102" s="237"/>
      <c r="AT102" s="237"/>
      <c r="AU102" s="238">
        <f t="shared" si="5"/>
        <v>415865</v>
      </c>
      <c r="AV102" s="239">
        <f t="shared" si="6"/>
        <v>0</v>
      </c>
      <c r="AW102" s="240">
        <f t="shared" si="7"/>
        <v>40245</v>
      </c>
      <c r="AX102" s="241">
        <f t="shared" si="8"/>
        <v>415865</v>
      </c>
    </row>
    <row r="103" spans="2:50" outlineLevel="1" x14ac:dyDescent="0.25">
      <c r="B103" s="243" t="s">
        <v>712</v>
      </c>
      <c r="C103" s="244"/>
      <c r="D103" s="245" t="s">
        <v>1010</v>
      </c>
      <c r="E103" s="246"/>
      <c r="F103" s="247"/>
      <c r="G103" s="247"/>
      <c r="H103" s="247"/>
      <c r="I103" s="247"/>
      <c r="J103" s="248"/>
      <c r="K103" s="248"/>
      <c r="L103" s="248" t="s">
        <v>1011</v>
      </c>
      <c r="M103" s="248"/>
      <c r="N103" s="249">
        <f>SUM(O103:P103)</f>
        <v>4.7699999999999996</v>
      </c>
      <c r="O103" s="249">
        <v>4.7699999999999996</v>
      </c>
      <c r="P103" s="249">
        <f>$P$4</f>
        <v>0</v>
      </c>
      <c r="Q103" s="249" t="s">
        <v>722</v>
      </c>
      <c r="R103" s="251">
        <v>19163.36</v>
      </c>
      <c r="S103" s="251">
        <f>SUM(S102:$AR102)*$N103/100</f>
        <v>17277.178499999998</v>
      </c>
      <c r="T103" s="251">
        <f>SUM(T102:$AR102)*$N103/100</f>
        <v>14717.5965</v>
      </c>
      <c r="U103" s="251">
        <f>SUM(U102:$AR102)*$N103/100</f>
        <v>12158.014499999999</v>
      </c>
      <c r="V103" s="251">
        <f>SUM(V102:$AR102)*$N103/100</f>
        <v>9598.432499999999</v>
      </c>
      <c r="W103" s="251">
        <f>SUM(W102:$AR102)*$N103/100</f>
        <v>7038.8504999999996</v>
      </c>
      <c r="X103" s="251">
        <f>SUM(X102:$AR102)*$N103/100</f>
        <v>4479.2685000000001</v>
      </c>
      <c r="Y103" s="251">
        <f>SUM(Y102:$AR102)*$N103/100</f>
        <v>1919.6865</v>
      </c>
      <c r="Z103" s="251">
        <v>0</v>
      </c>
      <c r="AA103" s="251">
        <v>0</v>
      </c>
      <c r="AB103" s="251">
        <v>0</v>
      </c>
      <c r="AC103" s="251">
        <v>0</v>
      </c>
      <c r="AD103" s="251">
        <v>0</v>
      </c>
      <c r="AE103" s="251">
        <v>0</v>
      </c>
      <c r="AF103" s="251">
        <v>0</v>
      </c>
      <c r="AG103" s="251">
        <v>0</v>
      </c>
      <c r="AH103" s="251">
        <v>0</v>
      </c>
      <c r="AI103" s="251">
        <v>0</v>
      </c>
      <c r="AJ103" s="251">
        <v>0</v>
      </c>
      <c r="AK103" s="251">
        <v>0</v>
      </c>
      <c r="AL103" s="251">
        <v>0</v>
      </c>
      <c r="AM103" s="251">
        <v>0</v>
      </c>
      <c r="AN103" s="251">
        <v>0</v>
      </c>
      <c r="AO103" s="251">
        <v>0</v>
      </c>
      <c r="AP103" s="251">
        <v>0</v>
      </c>
      <c r="AQ103" s="251">
        <v>0</v>
      </c>
      <c r="AR103" s="251">
        <v>0</v>
      </c>
      <c r="AS103" s="251"/>
      <c r="AT103" s="251"/>
      <c r="AU103" s="252">
        <f t="shared" si="5"/>
        <v>86352.387499999997</v>
      </c>
      <c r="AV103" s="239">
        <f t="shared" si="6"/>
        <v>0</v>
      </c>
      <c r="AW103" s="253">
        <f t="shared" si="7"/>
        <v>1919.6865</v>
      </c>
      <c r="AX103" s="254">
        <f t="shared" si="8"/>
        <v>86352.387499999997</v>
      </c>
    </row>
    <row r="104" spans="2:50" s="261" customFormat="1" outlineLevel="1" x14ac:dyDescent="0.25">
      <c r="B104" s="257" t="s">
        <v>757</v>
      </c>
      <c r="C104" s="258">
        <v>50</v>
      </c>
      <c r="D104" s="259" t="s">
        <v>1012</v>
      </c>
      <c r="E104" s="232" t="s">
        <v>1013</v>
      </c>
      <c r="F104" s="232" t="s">
        <v>1014</v>
      </c>
      <c r="G104" s="232" t="s">
        <v>1015</v>
      </c>
      <c r="H104" s="232" t="s">
        <v>1016</v>
      </c>
      <c r="I104" s="232" t="s">
        <v>718</v>
      </c>
      <c r="J104" s="234">
        <v>6469</v>
      </c>
      <c r="K104" s="235">
        <v>4408</v>
      </c>
      <c r="L104" s="235"/>
      <c r="M104" s="235"/>
      <c r="N104" s="236"/>
      <c r="O104" s="236"/>
      <c r="P104" s="236"/>
      <c r="Q104" s="236" t="s">
        <v>719</v>
      </c>
      <c r="R104" s="237">
        <v>928</v>
      </c>
      <c r="S104" s="237">
        <v>928</v>
      </c>
      <c r="T104" s="237">
        <v>928</v>
      </c>
      <c r="U104" s="237">
        <v>928</v>
      </c>
      <c r="V104" s="237">
        <v>696</v>
      </c>
      <c r="W104" s="237">
        <v>0</v>
      </c>
      <c r="X104" s="237">
        <v>0</v>
      </c>
      <c r="Y104" s="237">
        <v>0</v>
      </c>
      <c r="Z104" s="237">
        <v>0</v>
      </c>
      <c r="AA104" s="237">
        <v>0</v>
      </c>
      <c r="AB104" s="237">
        <v>0</v>
      </c>
      <c r="AC104" s="237">
        <v>0</v>
      </c>
      <c r="AD104" s="237">
        <v>0</v>
      </c>
      <c r="AE104" s="237">
        <v>0</v>
      </c>
      <c r="AF104" s="237">
        <v>0</v>
      </c>
      <c r="AG104" s="237">
        <v>0</v>
      </c>
      <c r="AH104" s="237">
        <v>0</v>
      </c>
      <c r="AI104" s="237">
        <v>0</v>
      </c>
      <c r="AJ104" s="237">
        <v>0</v>
      </c>
      <c r="AK104" s="237">
        <v>0</v>
      </c>
      <c r="AL104" s="237">
        <v>0</v>
      </c>
      <c r="AM104" s="237">
        <v>0</v>
      </c>
      <c r="AN104" s="237">
        <v>0</v>
      </c>
      <c r="AO104" s="237">
        <v>0</v>
      </c>
      <c r="AP104" s="237">
        <v>0</v>
      </c>
      <c r="AQ104" s="237">
        <v>0</v>
      </c>
      <c r="AR104" s="237">
        <v>0</v>
      </c>
      <c r="AS104" s="237"/>
      <c r="AT104" s="237"/>
      <c r="AU104" s="241">
        <f t="shared" si="5"/>
        <v>4408</v>
      </c>
      <c r="AV104" s="260">
        <f t="shared" si="6"/>
        <v>0</v>
      </c>
      <c r="AW104" s="240">
        <f t="shared" si="7"/>
        <v>0</v>
      </c>
      <c r="AX104" s="241">
        <f t="shared" si="8"/>
        <v>4408</v>
      </c>
    </row>
    <row r="105" spans="2:50" s="210" customFormat="1" outlineLevel="1" x14ac:dyDescent="0.25">
      <c r="B105" s="262" t="s">
        <v>757</v>
      </c>
      <c r="C105" s="263"/>
      <c r="D105" s="264" t="s">
        <v>1017</v>
      </c>
      <c r="E105" s="246"/>
      <c r="F105" s="246"/>
      <c r="G105" s="246"/>
      <c r="H105" s="246"/>
      <c r="I105" s="246"/>
      <c r="J105" s="248"/>
      <c r="K105" s="248"/>
      <c r="L105" s="248" t="s">
        <v>1018</v>
      </c>
      <c r="M105" s="248"/>
      <c r="N105" s="249">
        <f>SUM(O105:P105)</f>
        <v>4.5720000000000001</v>
      </c>
      <c r="O105" s="256">
        <v>4.5720000000000001</v>
      </c>
      <c r="P105" s="249">
        <f>$P$4</f>
        <v>0</v>
      </c>
      <c r="Q105" s="249" t="s">
        <v>722</v>
      </c>
      <c r="R105" s="251">
        <v>193.35</v>
      </c>
      <c r="S105" s="251">
        <f>SUM(S104:$AR104)*$N105/100</f>
        <v>159.10559999999998</v>
      </c>
      <c r="T105" s="251">
        <f>SUM(T104:$AR104)*$N105/100</f>
        <v>116.67744</v>
      </c>
      <c r="U105" s="251">
        <f>SUM(U104:$AR104)*$N105/100</f>
        <v>74.249279999999999</v>
      </c>
      <c r="V105" s="251">
        <f>SUM(V104:$AR104)*$N105/100</f>
        <v>31.821120000000001</v>
      </c>
      <c r="W105" s="251">
        <v>0</v>
      </c>
      <c r="X105" s="251">
        <v>0</v>
      </c>
      <c r="Y105" s="251">
        <v>0</v>
      </c>
      <c r="Z105" s="251">
        <v>0</v>
      </c>
      <c r="AA105" s="251">
        <v>0</v>
      </c>
      <c r="AB105" s="251">
        <v>0</v>
      </c>
      <c r="AC105" s="251">
        <v>0</v>
      </c>
      <c r="AD105" s="251">
        <v>0</v>
      </c>
      <c r="AE105" s="251">
        <v>0</v>
      </c>
      <c r="AF105" s="251">
        <v>0</v>
      </c>
      <c r="AG105" s="251">
        <v>0</v>
      </c>
      <c r="AH105" s="251">
        <v>0</v>
      </c>
      <c r="AI105" s="251">
        <v>0</v>
      </c>
      <c r="AJ105" s="251">
        <v>0</v>
      </c>
      <c r="AK105" s="251">
        <v>0</v>
      </c>
      <c r="AL105" s="251">
        <v>0</v>
      </c>
      <c r="AM105" s="251">
        <v>0</v>
      </c>
      <c r="AN105" s="251">
        <v>0</v>
      </c>
      <c r="AO105" s="251">
        <v>0</v>
      </c>
      <c r="AP105" s="251">
        <v>0</v>
      </c>
      <c r="AQ105" s="251">
        <v>0</v>
      </c>
      <c r="AR105" s="251">
        <v>0</v>
      </c>
      <c r="AS105" s="251"/>
      <c r="AT105" s="251"/>
      <c r="AU105" s="254">
        <f t="shared" si="5"/>
        <v>575.20343999999989</v>
      </c>
      <c r="AV105" s="260">
        <f t="shared" si="6"/>
        <v>0</v>
      </c>
      <c r="AW105" s="253">
        <f t="shared" si="7"/>
        <v>0</v>
      </c>
      <c r="AX105" s="254">
        <f t="shared" si="8"/>
        <v>575.20343999999989</v>
      </c>
    </row>
    <row r="106" spans="2:50" s="228" customFormat="1" outlineLevel="1" x14ac:dyDescent="0.25">
      <c r="B106" s="229" t="s">
        <v>757</v>
      </c>
      <c r="C106" s="230">
        <v>51</v>
      </c>
      <c r="D106" s="231" t="s">
        <v>1019</v>
      </c>
      <c r="E106" s="232" t="s">
        <v>1020</v>
      </c>
      <c r="F106" s="233" t="s">
        <v>1021</v>
      </c>
      <c r="G106" s="233" t="s">
        <v>1022</v>
      </c>
      <c r="H106" s="233" t="s">
        <v>1023</v>
      </c>
      <c r="I106" s="233" t="s">
        <v>718</v>
      </c>
      <c r="J106" s="234">
        <v>503660</v>
      </c>
      <c r="K106" s="235">
        <v>459524</v>
      </c>
      <c r="L106" s="235"/>
      <c r="M106" s="235"/>
      <c r="N106" s="236"/>
      <c r="O106" s="236"/>
      <c r="P106" s="236"/>
      <c r="Q106" s="236" t="s">
        <v>719</v>
      </c>
      <c r="R106" s="237">
        <v>35348</v>
      </c>
      <c r="S106" s="237">
        <v>35348</v>
      </c>
      <c r="T106" s="237">
        <v>35348</v>
      </c>
      <c r="U106" s="237">
        <v>35348</v>
      </c>
      <c r="V106" s="237">
        <v>35348</v>
      </c>
      <c r="W106" s="237">
        <v>35348</v>
      </c>
      <c r="X106" s="237">
        <v>35348</v>
      </c>
      <c r="Y106" s="237">
        <v>35348</v>
      </c>
      <c r="Z106" s="237">
        <v>35348</v>
      </c>
      <c r="AA106" s="237">
        <v>35348</v>
      </c>
      <c r="AB106" s="237">
        <v>35348</v>
      </c>
      <c r="AC106" s="237">
        <v>35348</v>
      </c>
      <c r="AD106" s="237">
        <v>35348</v>
      </c>
      <c r="AE106" s="237">
        <v>0</v>
      </c>
      <c r="AF106" s="237">
        <v>0</v>
      </c>
      <c r="AG106" s="237">
        <v>0</v>
      </c>
      <c r="AH106" s="237">
        <v>0</v>
      </c>
      <c r="AI106" s="237">
        <v>0</v>
      </c>
      <c r="AJ106" s="237">
        <v>0</v>
      </c>
      <c r="AK106" s="237">
        <v>0</v>
      </c>
      <c r="AL106" s="237">
        <v>0</v>
      </c>
      <c r="AM106" s="237">
        <v>0</v>
      </c>
      <c r="AN106" s="237">
        <v>0</v>
      </c>
      <c r="AO106" s="237">
        <v>0</v>
      </c>
      <c r="AP106" s="237">
        <v>0</v>
      </c>
      <c r="AQ106" s="237">
        <v>0</v>
      </c>
      <c r="AR106" s="237">
        <v>0</v>
      </c>
      <c r="AS106" s="237"/>
      <c r="AT106" s="237"/>
      <c r="AU106" s="238">
        <f t="shared" si="5"/>
        <v>459524</v>
      </c>
      <c r="AV106" s="239">
        <f t="shared" si="6"/>
        <v>0</v>
      </c>
      <c r="AW106" s="240">
        <f t="shared" si="7"/>
        <v>212088</v>
      </c>
      <c r="AX106" s="241">
        <f t="shared" si="8"/>
        <v>459524</v>
      </c>
    </row>
    <row r="107" spans="2:50" outlineLevel="1" x14ac:dyDescent="0.25">
      <c r="B107" s="243" t="s">
        <v>757</v>
      </c>
      <c r="C107" s="244"/>
      <c r="D107" s="245" t="s">
        <v>1024</v>
      </c>
      <c r="E107" s="246"/>
      <c r="F107" s="247"/>
      <c r="G107" s="247"/>
      <c r="H107" s="247"/>
      <c r="I107" s="247"/>
      <c r="J107" s="248"/>
      <c r="K107" s="248"/>
      <c r="L107" s="248">
        <v>0</v>
      </c>
      <c r="M107" s="248"/>
      <c r="N107" s="249">
        <f>SUM(O107:P107)</f>
        <v>3.5</v>
      </c>
      <c r="O107" s="249">
        <f>3.41+0.09</f>
        <v>3.5</v>
      </c>
      <c r="P107" s="249">
        <f>$P$4</f>
        <v>0</v>
      </c>
      <c r="Q107" s="249" t="s">
        <v>722</v>
      </c>
      <c r="R107" s="251">
        <v>21230.6</v>
      </c>
      <c r="S107" s="251">
        <f>SUM(S106:$AR106)*$N107/100</f>
        <v>14846.16</v>
      </c>
      <c r="T107" s="251">
        <f>SUM(T106:$AR106)*$N107/100</f>
        <v>13608.98</v>
      </c>
      <c r="U107" s="251">
        <f>SUM(U106:$AR106)*$N107/100</f>
        <v>12371.8</v>
      </c>
      <c r="V107" s="251">
        <f>SUM(V106:$AR106)*$N107/100</f>
        <v>11134.62</v>
      </c>
      <c r="W107" s="251">
        <f>SUM(W106:$AR106)*$N107/100</f>
        <v>9897.44</v>
      </c>
      <c r="X107" s="251">
        <f>SUM(X106:$AR106)*$N107/100</f>
        <v>8660.26</v>
      </c>
      <c r="Y107" s="251">
        <f>SUM(Y106:$AR106)*$N107/100</f>
        <v>7423.08</v>
      </c>
      <c r="Z107" s="251">
        <f>SUM(Z106:$AR106)*$N107/100</f>
        <v>6185.9</v>
      </c>
      <c r="AA107" s="251">
        <f>SUM(AA106:$AR106)*$N107/100</f>
        <v>4948.72</v>
      </c>
      <c r="AB107" s="251">
        <f>SUM(AB106:$AR106)*$N107/100</f>
        <v>3711.54</v>
      </c>
      <c r="AC107" s="251">
        <f>SUM(AC106:$AR106)*$N107/100</f>
        <v>2474.36</v>
      </c>
      <c r="AD107" s="251">
        <f>SUM(AD106:$AR106)*$N107/100</f>
        <v>1237.18</v>
      </c>
      <c r="AE107" s="251">
        <v>0</v>
      </c>
      <c r="AF107" s="251">
        <v>0</v>
      </c>
      <c r="AG107" s="251">
        <v>0</v>
      </c>
      <c r="AH107" s="251">
        <v>0</v>
      </c>
      <c r="AI107" s="251">
        <v>0</v>
      </c>
      <c r="AJ107" s="251">
        <v>0</v>
      </c>
      <c r="AK107" s="251">
        <v>0</v>
      </c>
      <c r="AL107" s="251">
        <v>0</v>
      </c>
      <c r="AM107" s="251">
        <v>0</v>
      </c>
      <c r="AN107" s="251">
        <v>0</v>
      </c>
      <c r="AO107" s="251">
        <v>0</v>
      </c>
      <c r="AP107" s="251">
        <v>0</v>
      </c>
      <c r="AQ107" s="251">
        <v>0</v>
      </c>
      <c r="AR107" s="251">
        <v>0</v>
      </c>
      <c r="AS107" s="251"/>
      <c r="AT107" s="251"/>
      <c r="AU107" s="252">
        <f t="shared" si="5"/>
        <v>117730.63999999997</v>
      </c>
      <c r="AV107" s="239">
        <f t="shared" si="6"/>
        <v>0</v>
      </c>
      <c r="AW107" s="253">
        <f t="shared" si="7"/>
        <v>25980.780000000002</v>
      </c>
      <c r="AX107" s="254">
        <f t="shared" si="8"/>
        <v>117730.63999999998</v>
      </c>
    </row>
    <row r="108" spans="2:50" s="228" customFormat="1" outlineLevel="1" x14ac:dyDescent="0.25">
      <c r="B108" s="229" t="s">
        <v>757</v>
      </c>
      <c r="C108" s="230">
        <v>52</v>
      </c>
      <c r="D108" s="231" t="s">
        <v>1019</v>
      </c>
      <c r="E108" s="232" t="s">
        <v>1025</v>
      </c>
      <c r="F108" s="233" t="s">
        <v>1026</v>
      </c>
      <c r="G108" s="233" t="s">
        <v>1022</v>
      </c>
      <c r="H108" s="233" t="s">
        <v>1027</v>
      </c>
      <c r="I108" s="233" t="s">
        <v>718</v>
      </c>
      <c r="J108" s="234">
        <v>300000</v>
      </c>
      <c r="K108" s="235">
        <v>259488</v>
      </c>
      <c r="L108" s="235"/>
      <c r="M108" s="235"/>
      <c r="N108" s="236"/>
      <c r="O108" s="236"/>
      <c r="P108" s="236"/>
      <c r="Q108" s="236" t="s">
        <v>719</v>
      </c>
      <c r="R108" s="237">
        <v>32436</v>
      </c>
      <c r="S108" s="237">
        <v>32436</v>
      </c>
      <c r="T108" s="237">
        <v>32436</v>
      </c>
      <c r="U108" s="237">
        <v>32436</v>
      </c>
      <c r="V108" s="237">
        <v>32436</v>
      </c>
      <c r="W108" s="237">
        <v>32436</v>
      </c>
      <c r="X108" s="237">
        <v>32436</v>
      </c>
      <c r="Y108" s="237">
        <v>32436</v>
      </c>
      <c r="Z108" s="237">
        <v>0</v>
      </c>
      <c r="AA108" s="237">
        <v>0</v>
      </c>
      <c r="AB108" s="237">
        <v>0</v>
      </c>
      <c r="AC108" s="237">
        <v>0</v>
      </c>
      <c r="AD108" s="237">
        <v>0</v>
      </c>
      <c r="AE108" s="237">
        <v>0</v>
      </c>
      <c r="AF108" s="237">
        <v>0</v>
      </c>
      <c r="AG108" s="237">
        <v>0</v>
      </c>
      <c r="AH108" s="237">
        <v>0</v>
      </c>
      <c r="AI108" s="237">
        <v>0</v>
      </c>
      <c r="AJ108" s="237">
        <v>0</v>
      </c>
      <c r="AK108" s="237">
        <v>0</v>
      </c>
      <c r="AL108" s="237">
        <v>0</v>
      </c>
      <c r="AM108" s="237">
        <v>0</v>
      </c>
      <c r="AN108" s="237">
        <v>0</v>
      </c>
      <c r="AO108" s="237">
        <v>0</v>
      </c>
      <c r="AP108" s="237">
        <v>0</v>
      </c>
      <c r="AQ108" s="237">
        <v>0</v>
      </c>
      <c r="AR108" s="237">
        <v>0</v>
      </c>
      <c r="AS108" s="237"/>
      <c r="AT108" s="237"/>
      <c r="AU108" s="238">
        <f t="shared" si="5"/>
        <v>259488</v>
      </c>
      <c r="AV108" s="239">
        <f t="shared" si="6"/>
        <v>0</v>
      </c>
      <c r="AW108" s="240">
        <f t="shared" si="7"/>
        <v>32436</v>
      </c>
      <c r="AX108" s="241">
        <f t="shared" si="8"/>
        <v>259488</v>
      </c>
    </row>
    <row r="109" spans="2:50" outlineLevel="1" x14ac:dyDescent="0.25">
      <c r="B109" s="243" t="s">
        <v>757</v>
      </c>
      <c r="C109" s="244"/>
      <c r="D109" s="245" t="s">
        <v>1028</v>
      </c>
      <c r="E109" s="246"/>
      <c r="F109" s="247"/>
      <c r="G109" s="247"/>
      <c r="H109" s="247"/>
      <c r="I109" s="247"/>
      <c r="J109" s="248"/>
      <c r="K109" s="248"/>
      <c r="L109" s="248">
        <v>0</v>
      </c>
      <c r="M109" s="248"/>
      <c r="N109" s="249">
        <f>SUM(O109:P109)</f>
        <v>3.5</v>
      </c>
      <c r="O109" s="249">
        <f>3.41+0.09</f>
        <v>3.5</v>
      </c>
      <c r="P109" s="249">
        <f>$P$4</f>
        <v>0</v>
      </c>
      <c r="Q109" s="249" t="s">
        <v>722</v>
      </c>
      <c r="R109" s="251">
        <v>11345.9</v>
      </c>
      <c r="S109" s="251">
        <f>SUM(S108:$AR108)*$N109/100</f>
        <v>7946.82</v>
      </c>
      <c r="T109" s="251">
        <f>SUM(T108:$AR108)*$N109/100</f>
        <v>6811.56</v>
      </c>
      <c r="U109" s="251">
        <f>SUM(U108:$AR108)*$N109/100</f>
        <v>5676.3</v>
      </c>
      <c r="V109" s="251">
        <f>SUM(V108:$AR108)*$N109/100</f>
        <v>4541.04</v>
      </c>
      <c r="W109" s="251">
        <f>SUM(W108:$AR108)*$N109/100</f>
        <v>3405.78</v>
      </c>
      <c r="X109" s="251">
        <f>SUM(X108:$AR108)*$N109/100</f>
        <v>2270.52</v>
      </c>
      <c r="Y109" s="251">
        <f>SUM(Y108:$AR108)*$N109/100</f>
        <v>1135.26</v>
      </c>
      <c r="Z109" s="251">
        <v>0</v>
      </c>
      <c r="AA109" s="251">
        <v>0</v>
      </c>
      <c r="AB109" s="251">
        <v>0</v>
      </c>
      <c r="AC109" s="251">
        <v>0</v>
      </c>
      <c r="AD109" s="251">
        <v>0</v>
      </c>
      <c r="AE109" s="251">
        <v>0</v>
      </c>
      <c r="AF109" s="251">
        <v>0</v>
      </c>
      <c r="AG109" s="251">
        <v>0</v>
      </c>
      <c r="AH109" s="251">
        <v>0</v>
      </c>
      <c r="AI109" s="251">
        <v>0</v>
      </c>
      <c r="AJ109" s="251">
        <v>0</v>
      </c>
      <c r="AK109" s="251">
        <v>0</v>
      </c>
      <c r="AL109" s="251">
        <v>0</v>
      </c>
      <c r="AM109" s="251">
        <v>0</v>
      </c>
      <c r="AN109" s="251">
        <v>0</v>
      </c>
      <c r="AO109" s="251">
        <v>0</v>
      </c>
      <c r="AP109" s="251">
        <v>0</v>
      </c>
      <c r="AQ109" s="251">
        <v>0</v>
      </c>
      <c r="AR109" s="251">
        <v>0</v>
      </c>
      <c r="AS109" s="251"/>
      <c r="AT109" s="251"/>
      <c r="AU109" s="252">
        <f t="shared" si="5"/>
        <v>43133.18</v>
      </c>
      <c r="AV109" s="239">
        <f t="shared" si="6"/>
        <v>0</v>
      </c>
      <c r="AW109" s="253">
        <f t="shared" si="7"/>
        <v>1135.26</v>
      </c>
      <c r="AX109" s="254">
        <f t="shared" si="8"/>
        <v>43133.18</v>
      </c>
    </row>
    <row r="110" spans="2:50" s="228" customFormat="1" outlineLevel="1" x14ac:dyDescent="0.25">
      <c r="B110" s="229" t="s">
        <v>712</v>
      </c>
      <c r="C110" s="230">
        <v>53</v>
      </c>
      <c r="D110" s="231" t="s">
        <v>1029</v>
      </c>
      <c r="E110" s="232" t="s">
        <v>1030</v>
      </c>
      <c r="F110" s="233" t="s">
        <v>1031</v>
      </c>
      <c r="G110" s="233" t="s">
        <v>1032</v>
      </c>
      <c r="H110" s="233" t="s">
        <v>1033</v>
      </c>
      <c r="I110" s="233" t="s">
        <v>718</v>
      </c>
      <c r="J110" s="234">
        <v>292889</v>
      </c>
      <c r="K110" s="235">
        <v>194084</v>
      </c>
      <c r="L110" s="235"/>
      <c r="M110" s="235"/>
      <c r="N110" s="236"/>
      <c r="O110" s="236"/>
      <c r="P110" s="236"/>
      <c r="Q110" s="236" t="s">
        <v>719</v>
      </c>
      <c r="R110" s="237">
        <v>20200</v>
      </c>
      <c r="S110" s="237">
        <v>20200</v>
      </c>
      <c r="T110" s="237">
        <v>20200</v>
      </c>
      <c r="U110" s="237">
        <v>20200</v>
      </c>
      <c r="V110" s="237">
        <v>20200</v>
      </c>
      <c r="W110" s="237">
        <v>20200</v>
      </c>
      <c r="X110" s="237">
        <v>20200</v>
      </c>
      <c r="Y110" s="237">
        <v>20200</v>
      </c>
      <c r="Z110" s="237">
        <v>20200</v>
      </c>
      <c r="AA110" s="237">
        <f>20200-7916</f>
        <v>12284</v>
      </c>
      <c r="AB110" s="237"/>
      <c r="AC110" s="237"/>
      <c r="AD110" s="237"/>
      <c r="AE110" s="237">
        <v>0</v>
      </c>
      <c r="AF110" s="237">
        <v>0</v>
      </c>
      <c r="AG110" s="237">
        <v>0</v>
      </c>
      <c r="AH110" s="237">
        <v>0</v>
      </c>
      <c r="AI110" s="237">
        <v>0</v>
      </c>
      <c r="AJ110" s="237">
        <v>0</v>
      </c>
      <c r="AK110" s="237">
        <v>0</v>
      </c>
      <c r="AL110" s="237">
        <v>0</v>
      </c>
      <c r="AM110" s="237">
        <v>0</v>
      </c>
      <c r="AN110" s="237">
        <v>0</v>
      </c>
      <c r="AO110" s="237">
        <v>0</v>
      </c>
      <c r="AP110" s="237">
        <v>0</v>
      </c>
      <c r="AQ110" s="237">
        <v>0</v>
      </c>
      <c r="AR110" s="237">
        <v>0</v>
      </c>
      <c r="AS110" s="237"/>
      <c r="AT110" s="237"/>
      <c r="AU110" s="238">
        <f t="shared" si="5"/>
        <v>194084</v>
      </c>
      <c r="AV110" s="239">
        <f t="shared" si="6"/>
        <v>0</v>
      </c>
      <c r="AW110" s="240">
        <f t="shared" si="7"/>
        <v>52684</v>
      </c>
      <c r="AX110" s="241">
        <f t="shared" si="8"/>
        <v>194084</v>
      </c>
    </row>
    <row r="111" spans="2:50" outlineLevel="1" x14ac:dyDescent="0.25">
      <c r="B111" s="243" t="s">
        <v>712</v>
      </c>
      <c r="C111" s="244"/>
      <c r="D111" s="245" t="s">
        <v>1034</v>
      </c>
      <c r="E111" s="246"/>
      <c r="F111" s="247"/>
      <c r="G111" s="247"/>
      <c r="H111" s="247"/>
      <c r="I111" s="247"/>
      <c r="J111" s="248"/>
      <c r="K111" s="248"/>
      <c r="L111" s="248">
        <v>0</v>
      </c>
      <c r="M111" s="248"/>
      <c r="N111" s="249">
        <f>SUM(O111:P111)</f>
        <v>3.5</v>
      </c>
      <c r="O111" s="249">
        <f>3.41+0.09</f>
        <v>3.5</v>
      </c>
      <c r="P111" s="249">
        <f>$P$4</f>
        <v>0</v>
      </c>
      <c r="Q111" s="249" t="s">
        <v>722</v>
      </c>
      <c r="R111" s="251">
        <v>8924.75</v>
      </c>
      <c r="S111" s="251">
        <f>SUM(S110:$AR110)*$N111/100</f>
        <v>6085.94</v>
      </c>
      <c r="T111" s="251">
        <f>SUM(T110:$AR110)*$N111/100</f>
        <v>5378.94</v>
      </c>
      <c r="U111" s="251">
        <f>SUM(U110:$AR110)*$N111/100</f>
        <v>4671.9399999999996</v>
      </c>
      <c r="V111" s="251">
        <f>SUM(V110:$AR110)*$N111/100</f>
        <v>3964.94</v>
      </c>
      <c r="W111" s="251">
        <f>SUM(W110:$AR110)*$N111/100</f>
        <v>3257.94</v>
      </c>
      <c r="X111" s="251">
        <f>SUM(X110:$AR110)*$N111/100</f>
        <v>2550.94</v>
      </c>
      <c r="Y111" s="251">
        <f>SUM(Y110:$AR110)*$N111/100</f>
        <v>1843.94</v>
      </c>
      <c r="Z111" s="251">
        <f>SUM(Z110:$AR110)*$N111/100</f>
        <v>1136.94</v>
      </c>
      <c r="AA111" s="251">
        <f>SUM(AA110:$AR110)*$N111/100</f>
        <v>429.94</v>
      </c>
      <c r="AB111" s="251">
        <f>SUM(AB110:$AR110)*$N111/100</f>
        <v>0</v>
      </c>
      <c r="AC111" s="251">
        <f>SUM(AC110:$AR110)*$N111/100</f>
        <v>0</v>
      </c>
      <c r="AD111" s="251">
        <f>SUM(AD110:$AR110)*$N111/100</f>
        <v>0</v>
      </c>
      <c r="AE111" s="251">
        <v>0</v>
      </c>
      <c r="AF111" s="251">
        <v>0</v>
      </c>
      <c r="AG111" s="251">
        <v>0</v>
      </c>
      <c r="AH111" s="251">
        <v>0</v>
      </c>
      <c r="AI111" s="251">
        <v>0</v>
      </c>
      <c r="AJ111" s="251">
        <v>0</v>
      </c>
      <c r="AK111" s="251">
        <v>0</v>
      </c>
      <c r="AL111" s="251">
        <v>0</v>
      </c>
      <c r="AM111" s="251">
        <v>0</v>
      </c>
      <c r="AN111" s="251">
        <v>0</v>
      </c>
      <c r="AO111" s="251">
        <v>0</v>
      </c>
      <c r="AP111" s="251">
        <v>0</v>
      </c>
      <c r="AQ111" s="251">
        <v>0</v>
      </c>
      <c r="AR111" s="251">
        <v>0</v>
      </c>
      <c r="AS111" s="251"/>
      <c r="AT111" s="251"/>
      <c r="AU111" s="252">
        <f t="shared" si="5"/>
        <v>38246.21</v>
      </c>
      <c r="AV111" s="239">
        <f t="shared" si="6"/>
        <v>0</v>
      </c>
      <c r="AW111" s="253">
        <f t="shared" si="7"/>
        <v>3410.82</v>
      </c>
      <c r="AX111" s="254">
        <f t="shared" si="8"/>
        <v>38246.209999999992</v>
      </c>
    </row>
    <row r="112" spans="2:50" s="228" customFormat="1" outlineLevel="1" x14ac:dyDescent="0.25">
      <c r="B112" s="229" t="s">
        <v>757</v>
      </c>
      <c r="C112" s="230">
        <v>54</v>
      </c>
      <c r="D112" s="231" t="s">
        <v>1035</v>
      </c>
      <c r="E112" s="232" t="s">
        <v>1036</v>
      </c>
      <c r="F112" s="233" t="s">
        <v>1037</v>
      </c>
      <c r="G112" s="233" t="s">
        <v>1038</v>
      </c>
      <c r="H112" s="233" t="s">
        <v>933</v>
      </c>
      <c r="I112" s="233" t="s">
        <v>718</v>
      </c>
      <c r="J112" s="234">
        <v>495501</v>
      </c>
      <c r="K112" s="266">
        <v>469422</v>
      </c>
      <c r="L112" s="235"/>
      <c r="M112" s="235"/>
      <c r="N112" s="236"/>
      <c r="O112" s="236"/>
      <c r="P112" s="236"/>
      <c r="Q112" s="236" t="s">
        <v>719</v>
      </c>
      <c r="R112" s="237">
        <v>34772</v>
      </c>
      <c r="S112" s="237">
        <v>34772</v>
      </c>
      <c r="T112" s="237">
        <v>34772</v>
      </c>
      <c r="U112" s="237">
        <v>34772</v>
      </c>
      <c r="V112" s="237">
        <v>34772</v>
      </c>
      <c r="W112" s="237">
        <v>34772</v>
      </c>
      <c r="X112" s="237">
        <v>34772</v>
      </c>
      <c r="Y112" s="237">
        <v>34772</v>
      </c>
      <c r="Z112" s="237">
        <v>34772</v>
      </c>
      <c r="AA112" s="237">
        <v>34772</v>
      </c>
      <c r="AB112" s="237">
        <v>34772</v>
      </c>
      <c r="AC112" s="237">
        <v>34772</v>
      </c>
      <c r="AD112" s="237">
        <v>34772</v>
      </c>
      <c r="AE112" s="237">
        <v>17386</v>
      </c>
      <c r="AF112" s="237">
        <v>0</v>
      </c>
      <c r="AG112" s="237">
        <v>0</v>
      </c>
      <c r="AH112" s="237">
        <v>0</v>
      </c>
      <c r="AI112" s="237">
        <v>0</v>
      </c>
      <c r="AJ112" s="237">
        <v>0</v>
      </c>
      <c r="AK112" s="237">
        <v>0</v>
      </c>
      <c r="AL112" s="237">
        <v>0</v>
      </c>
      <c r="AM112" s="237">
        <v>0</v>
      </c>
      <c r="AN112" s="237">
        <v>0</v>
      </c>
      <c r="AO112" s="237">
        <v>0</v>
      </c>
      <c r="AP112" s="237">
        <v>0</v>
      </c>
      <c r="AQ112" s="237">
        <v>0</v>
      </c>
      <c r="AR112" s="237">
        <v>0</v>
      </c>
      <c r="AS112" s="237"/>
      <c r="AT112" s="237"/>
      <c r="AU112" s="238">
        <f t="shared" si="5"/>
        <v>469422</v>
      </c>
      <c r="AV112" s="239">
        <f t="shared" si="6"/>
        <v>0</v>
      </c>
      <c r="AW112" s="240">
        <f t="shared" si="7"/>
        <v>226018</v>
      </c>
      <c r="AX112" s="241">
        <f t="shared" si="8"/>
        <v>469422</v>
      </c>
    </row>
    <row r="113" spans="2:51" outlineLevel="1" x14ac:dyDescent="0.25">
      <c r="B113" s="243" t="s">
        <v>757</v>
      </c>
      <c r="C113" s="244"/>
      <c r="D113" s="245" t="s">
        <v>1039</v>
      </c>
      <c r="E113" s="246"/>
      <c r="F113" s="247"/>
      <c r="G113" s="247"/>
      <c r="H113" s="247"/>
      <c r="I113" s="247"/>
      <c r="J113" s="248"/>
      <c r="K113" s="255"/>
      <c r="L113" s="248" t="s">
        <v>1040</v>
      </c>
      <c r="M113" s="248"/>
      <c r="N113" s="249">
        <f>SUM(O113:P113)</f>
        <v>4.9909999999999997</v>
      </c>
      <c r="O113" s="249">
        <v>4.9909999999999997</v>
      </c>
      <c r="P113" s="249">
        <f>$P$4</f>
        <v>0</v>
      </c>
      <c r="Q113" s="249" t="s">
        <v>722</v>
      </c>
      <c r="R113" s="251">
        <v>22121.41</v>
      </c>
      <c r="S113" s="251">
        <f>SUM(S112:$AR112)*$N113/100</f>
        <v>21693.3815</v>
      </c>
      <c r="T113" s="251">
        <f>SUM(T112:$AR112)*$N113/100</f>
        <v>19957.910979999997</v>
      </c>
      <c r="U113" s="251">
        <f>SUM(U112:$AR112)*$N113/100</f>
        <v>18222.440459999998</v>
      </c>
      <c r="V113" s="251">
        <f>SUM(V112:$AR112)*$N113/100</f>
        <v>16486.969939999999</v>
      </c>
      <c r="W113" s="251">
        <f>SUM(W112:$AR112)*$N113/100</f>
        <v>14751.499419999998</v>
      </c>
      <c r="X113" s="251">
        <f>SUM(X112:$AR112)*$N113/100</f>
        <v>13016.028899999999</v>
      </c>
      <c r="Y113" s="251">
        <f>SUM(Y112:$AR112)*$N113/100</f>
        <v>11280.55838</v>
      </c>
      <c r="Z113" s="251">
        <f>SUM(Z112:$AR112)*$N113/100</f>
        <v>9545.0878599999996</v>
      </c>
      <c r="AA113" s="251">
        <f>SUM(AA112:$AR112)*$N113/100</f>
        <v>7809.6173399999998</v>
      </c>
      <c r="AB113" s="251">
        <f>SUM(AB112:$AR112)*$N113/100</f>
        <v>6074.146819999999</v>
      </c>
      <c r="AC113" s="251">
        <f>SUM(AC112:$AR112)*$N113/100</f>
        <v>4338.6762999999992</v>
      </c>
      <c r="AD113" s="251">
        <f>SUM(AD112:$AR112)*$N113/100</f>
        <v>2603.2057799999998</v>
      </c>
      <c r="AE113" s="251">
        <f>SUM(AE112:$AR112)*$N113/100</f>
        <v>867.73525999999993</v>
      </c>
      <c r="AF113" s="251">
        <v>0</v>
      </c>
      <c r="AG113" s="251">
        <v>0</v>
      </c>
      <c r="AH113" s="251">
        <v>0</v>
      </c>
      <c r="AI113" s="251">
        <v>0</v>
      </c>
      <c r="AJ113" s="251">
        <v>0</v>
      </c>
      <c r="AK113" s="251">
        <v>0</v>
      </c>
      <c r="AL113" s="251">
        <v>0</v>
      </c>
      <c r="AM113" s="251">
        <v>0</v>
      </c>
      <c r="AN113" s="251">
        <v>0</v>
      </c>
      <c r="AO113" s="251">
        <v>0</v>
      </c>
      <c r="AP113" s="251">
        <v>0</v>
      </c>
      <c r="AQ113" s="251">
        <v>0</v>
      </c>
      <c r="AR113" s="251">
        <v>0</v>
      </c>
      <c r="AS113" s="251"/>
      <c r="AT113" s="251"/>
      <c r="AU113" s="252">
        <f t="shared" si="5"/>
        <v>168768.66893999994</v>
      </c>
      <c r="AV113" s="239">
        <f t="shared" si="6"/>
        <v>0</v>
      </c>
      <c r="AW113" s="253">
        <f t="shared" si="7"/>
        <v>42519.027739999998</v>
      </c>
      <c r="AX113" s="254">
        <f t="shared" si="8"/>
        <v>168768.66893999997</v>
      </c>
    </row>
    <row r="114" spans="2:51" s="261" customFormat="1" x14ac:dyDescent="0.25">
      <c r="B114" s="257" t="s">
        <v>712</v>
      </c>
      <c r="C114" s="258">
        <v>55</v>
      </c>
      <c r="D114" s="259" t="s">
        <v>1041</v>
      </c>
      <c r="E114" s="232" t="s">
        <v>1042</v>
      </c>
      <c r="F114" s="232" t="s">
        <v>1043</v>
      </c>
      <c r="G114" s="267">
        <v>45159</v>
      </c>
      <c r="H114" s="232" t="s">
        <v>1044</v>
      </c>
      <c r="I114" s="232" t="s">
        <v>718</v>
      </c>
      <c r="J114" s="234">
        <v>165176</v>
      </c>
      <c r="K114" s="235">
        <v>149634</v>
      </c>
      <c r="L114" s="235"/>
      <c r="M114" s="235"/>
      <c r="N114" s="236"/>
      <c r="O114" s="236"/>
      <c r="P114" s="236"/>
      <c r="Q114" s="236" t="s">
        <v>719</v>
      </c>
      <c r="R114" s="237">
        <v>31084</v>
      </c>
      <c r="S114" s="237">
        <v>31084</v>
      </c>
      <c r="T114" s="237">
        <v>31084</v>
      </c>
      <c r="U114" s="237">
        <v>31084</v>
      </c>
      <c r="V114" s="237">
        <f>31084-5786</f>
        <v>25298</v>
      </c>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8">
        <f t="shared" si="5"/>
        <v>149634</v>
      </c>
      <c r="AV114" s="239">
        <f t="shared" si="6"/>
        <v>0</v>
      </c>
      <c r="AW114" s="240">
        <f t="shared" si="7"/>
        <v>0</v>
      </c>
      <c r="AX114" s="241">
        <f t="shared" si="8"/>
        <v>149634</v>
      </c>
    </row>
    <row r="115" spans="2:51" s="210" customFormat="1" x14ac:dyDescent="0.25">
      <c r="B115" s="262" t="s">
        <v>712</v>
      </c>
      <c r="C115" s="263"/>
      <c r="D115" s="264" t="s">
        <v>1045</v>
      </c>
      <c r="E115" s="246"/>
      <c r="F115" s="246"/>
      <c r="G115" s="246"/>
      <c r="H115" s="246"/>
      <c r="I115" s="246"/>
      <c r="J115" s="248"/>
      <c r="K115" s="248"/>
      <c r="L115" s="248" t="s">
        <v>1046</v>
      </c>
      <c r="M115" s="248"/>
      <c r="N115" s="249">
        <f>SUM(O115:P115)</f>
        <v>4.2270000000000003</v>
      </c>
      <c r="O115" s="249">
        <v>4.2270000000000003</v>
      </c>
      <c r="P115" s="249">
        <f>$P$4</f>
        <v>0</v>
      </c>
      <c r="Q115" s="249" t="s">
        <v>722</v>
      </c>
      <c r="R115" s="251">
        <v>6100.36</v>
      </c>
      <c r="S115" s="251">
        <f>SUM(S114:$AR114)*$N115/100</f>
        <v>5011.1085000000003</v>
      </c>
      <c r="T115" s="251">
        <f>SUM(T114:$AR114)*$N115/100</f>
        <v>3697.1878200000001</v>
      </c>
      <c r="U115" s="251">
        <f>SUM(U114:$AR114)*$N115/100</f>
        <v>2383.2671399999999</v>
      </c>
      <c r="V115" s="251">
        <f>SUM(V114:$AR114)*$N115/100</f>
        <v>1069.34646</v>
      </c>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2">
        <f t="shared" si="5"/>
        <v>18261.269919999999</v>
      </c>
      <c r="AV115" s="239">
        <f t="shared" si="6"/>
        <v>0</v>
      </c>
      <c r="AW115" s="253">
        <f t="shared" si="7"/>
        <v>0</v>
      </c>
      <c r="AX115" s="254">
        <f t="shared" si="8"/>
        <v>18261.269919999999</v>
      </c>
    </row>
    <row r="116" spans="2:51" s="261" customFormat="1" x14ac:dyDescent="0.25">
      <c r="B116" s="257" t="s">
        <v>712</v>
      </c>
      <c r="C116" s="258">
        <v>56</v>
      </c>
      <c r="D116" s="259" t="s">
        <v>1047</v>
      </c>
      <c r="E116" s="232" t="s">
        <v>1048</v>
      </c>
      <c r="F116" s="232" t="s">
        <v>1049</v>
      </c>
      <c r="G116" s="267">
        <v>45215</v>
      </c>
      <c r="H116" s="267">
        <v>49572</v>
      </c>
      <c r="I116" s="232" t="s">
        <v>718</v>
      </c>
      <c r="J116" s="234">
        <v>353750</v>
      </c>
      <c r="K116" s="235">
        <v>314930</v>
      </c>
      <c r="L116" s="235"/>
      <c r="M116" s="235"/>
      <c r="N116" s="236"/>
      <c r="O116" s="236"/>
      <c r="P116" s="236"/>
      <c r="Q116" s="236" t="s">
        <v>719</v>
      </c>
      <c r="R116" s="237">
        <f t="shared" ref="R116:AA116" si="9">7527*4</f>
        <v>30108</v>
      </c>
      <c r="S116" s="237">
        <f t="shared" si="9"/>
        <v>30108</v>
      </c>
      <c r="T116" s="237">
        <f t="shared" si="9"/>
        <v>30108</v>
      </c>
      <c r="U116" s="237">
        <f t="shared" si="9"/>
        <v>30108</v>
      </c>
      <c r="V116" s="237">
        <f t="shared" si="9"/>
        <v>30108</v>
      </c>
      <c r="W116" s="237">
        <f t="shared" si="9"/>
        <v>30108</v>
      </c>
      <c r="X116" s="237">
        <f t="shared" si="9"/>
        <v>30108</v>
      </c>
      <c r="Y116" s="237">
        <f t="shared" si="9"/>
        <v>30108</v>
      </c>
      <c r="Z116" s="237">
        <f t="shared" si="9"/>
        <v>30108</v>
      </c>
      <c r="AA116" s="237">
        <f t="shared" si="9"/>
        <v>30108</v>
      </c>
      <c r="AB116" s="237">
        <f>7527*2+7508-8712</f>
        <v>13850</v>
      </c>
      <c r="AC116" s="237"/>
      <c r="AD116" s="237"/>
      <c r="AE116" s="237"/>
      <c r="AF116" s="237"/>
      <c r="AG116" s="237"/>
      <c r="AH116" s="237"/>
      <c r="AI116" s="237"/>
      <c r="AJ116" s="237"/>
      <c r="AK116" s="237"/>
      <c r="AL116" s="237"/>
      <c r="AM116" s="237"/>
      <c r="AN116" s="237"/>
      <c r="AO116" s="237"/>
      <c r="AP116" s="237"/>
      <c r="AQ116" s="237"/>
      <c r="AR116" s="237"/>
      <c r="AS116" s="237"/>
      <c r="AT116" s="237"/>
      <c r="AU116" s="238">
        <f t="shared" si="5"/>
        <v>314930</v>
      </c>
      <c r="AV116" s="239">
        <f t="shared" si="6"/>
        <v>0</v>
      </c>
      <c r="AW116" s="240">
        <f t="shared" si="7"/>
        <v>104174</v>
      </c>
      <c r="AX116" s="241">
        <f t="shared" si="8"/>
        <v>314930</v>
      </c>
    </row>
    <row r="117" spans="2:51" s="210" customFormat="1" x14ac:dyDescent="0.25">
      <c r="B117" s="262" t="s">
        <v>712</v>
      </c>
      <c r="C117" s="263"/>
      <c r="D117" s="264" t="s">
        <v>1050</v>
      </c>
      <c r="E117" s="246"/>
      <c r="F117" s="246"/>
      <c r="G117" s="246"/>
      <c r="H117" s="246"/>
      <c r="I117" s="246"/>
      <c r="J117" s="255"/>
      <c r="K117" s="248"/>
      <c r="L117" s="248"/>
      <c r="M117" s="248"/>
      <c r="N117" s="249">
        <f>SUM(O117:P117)</f>
        <v>3.5</v>
      </c>
      <c r="O117" s="249">
        <f>3.41+0.09</f>
        <v>3.5</v>
      </c>
      <c r="P117" s="249"/>
      <c r="Q117" s="249" t="s">
        <v>722</v>
      </c>
      <c r="R117" s="251">
        <v>14441.35</v>
      </c>
      <c r="S117" s="251">
        <f>SUM(S116:$AR116)*$N117/100</f>
        <v>9968.77</v>
      </c>
      <c r="T117" s="251">
        <f>SUM(T116:$AR116)*$N117/100</f>
        <v>8914.99</v>
      </c>
      <c r="U117" s="251">
        <f>SUM(U116:$AR116)*$N117/100</f>
        <v>7861.21</v>
      </c>
      <c r="V117" s="251">
        <f>SUM(V116:$AR116)*$N117/100</f>
        <v>6807.43</v>
      </c>
      <c r="W117" s="251">
        <f>SUM(W116:$AR116)*$N117/100</f>
        <v>5753.65</v>
      </c>
      <c r="X117" s="251">
        <f>SUM(X116:$AR116)*$N117/100</f>
        <v>4699.87</v>
      </c>
      <c r="Y117" s="251">
        <f>SUM(Y116:$AR116)*$N117/100</f>
        <v>3646.09</v>
      </c>
      <c r="Z117" s="251">
        <f>SUM(Z116:$AR116)*$N117/100</f>
        <v>2592.31</v>
      </c>
      <c r="AA117" s="251">
        <f>SUM(AA116:$AR116)*$N117/100</f>
        <v>1538.53</v>
      </c>
      <c r="AB117" s="251">
        <f>SUM(AB116:$AR116)*$N117/100</f>
        <v>484.75</v>
      </c>
      <c r="AC117" s="251"/>
      <c r="AD117" s="251"/>
      <c r="AE117" s="251"/>
      <c r="AF117" s="251"/>
      <c r="AG117" s="251"/>
      <c r="AH117" s="251"/>
      <c r="AI117" s="251"/>
      <c r="AJ117" s="251"/>
      <c r="AK117" s="251"/>
      <c r="AL117" s="251"/>
      <c r="AM117" s="251"/>
      <c r="AN117" s="251"/>
      <c r="AO117" s="251"/>
      <c r="AP117" s="251"/>
      <c r="AQ117" s="251"/>
      <c r="AR117" s="251"/>
      <c r="AS117" s="251"/>
      <c r="AT117" s="251"/>
      <c r="AU117" s="252">
        <f t="shared" si="5"/>
        <v>66708.95</v>
      </c>
      <c r="AV117" s="239">
        <f t="shared" si="6"/>
        <v>0</v>
      </c>
      <c r="AW117" s="253">
        <f t="shared" si="7"/>
        <v>8261.68</v>
      </c>
      <c r="AX117" s="254">
        <f t="shared" si="8"/>
        <v>66708.950000000012</v>
      </c>
    </row>
    <row r="118" spans="2:51" s="261" customFormat="1" x14ac:dyDescent="0.25">
      <c r="B118" s="257"/>
      <c r="C118" s="258">
        <v>57</v>
      </c>
      <c r="D118" s="259" t="s">
        <v>1051</v>
      </c>
      <c r="E118" s="232" t="s">
        <v>1052</v>
      </c>
      <c r="F118" s="232" t="s">
        <v>1053</v>
      </c>
      <c r="G118" s="267">
        <v>45561</v>
      </c>
      <c r="H118" s="267">
        <v>49207</v>
      </c>
      <c r="I118" s="232" t="s">
        <v>718</v>
      </c>
      <c r="J118" s="268">
        <v>631001</v>
      </c>
      <c r="K118" s="235">
        <v>631001</v>
      </c>
      <c r="L118" s="235"/>
      <c r="M118" s="235"/>
      <c r="N118" s="236"/>
      <c r="O118" s="236"/>
      <c r="P118" s="236"/>
      <c r="Q118" s="236" t="s">
        <v>719</v>
      </c>
      <c r="R118" s="237">
        <f>19715*2</f>
        <v>39430</v>
      </c>
      <c r="S118" s="237">
        <f>19715*4</f>
        <v>78860</v>
      </c>
      <c r="T118" s="237">
        <f t="shared" ref="T118:Y118" si="10">19715*4</f>
        <v>78860</v>
      </c>
      <c r="U118" s="237">
        <f t="shared" si="10"/>
        <v>78860</v>
      </c>
      <c r="V118" s="237">
        <f t="shared" si="10"/>
        <v>78860</v>
      </c>
      <c r="W118" s="237">
        <f t="shared" si="10"/>
        <v>78860</v>
      </c>
      <c r="X118" s="237">
        <f t="shared" si="10"/>
        <v>78860</v>
      </c>
      <c r="Y118" s="237">
        <f t="shared" si="10"/>
        <v>78860</v>
      </c>
      <c r="Z118" s="237">
        <f>19715*2+121</f>
        <v>39551</v>
      </c>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8">
        <f>SUM(R118:AT118)</f>
        <v>631001</v>
      </c>
      <c r="AV118" s="239">
        <f>AU118-SUM(R118:AT118)</f>
        <v>0</v>
      </c>
      <c r="AW118" s="240">
        <f>SUM(Y118:AT118)</f>
        <v>118411</v>
      </c>
      <c r="AX118" s="241">
        <f>SUM(R118:X118,AW118)</f>
        <v>631001</v>
      </c>
    </row>
    <row r="119" spans="2:51" s="210" customFormat="1" ht="14.25" customHeight="1" x14ac:dyDescent="0.25">
      <c r="B119" s="262"/>
      <c r="C119" s="263"/>
      <c r="D119" s="264" t="s">
        <v>1054</v>
      </c>
      <c r="E119" s="246"/>
      <c r="F119" s="246"/>
      <c r="G119" s="246"/>
      <c r="H119" s="246"/>
      <c r="I119" s="246"/>
      <c r="J119" s="255"/>
      <c r="K119" s="248"/>
      <c r="L119" s="248" t="s">
        <v>1055</v>
      </c>
      <c r="M119" s="248"/>
      <c r="N119" s="249">
        <f>SUM(O119:P119)</f>
        <v>3.976</v>
      </c>
      <c r="O119" s="249">
        <v>3.976</v>
      </c>
      <c r="P119" s="249">
        <f>$P$4</f>
        <v>0</v>
      </c>
      <c r="Q119" s="249" t="s">
        <v>722</v>
      </c>
      <c r="R119" s="251">
        <f>SUM(R118:$AR118)*$N119/100</f>
        <v>25088.599759999997</v>
      </c>
      <c r="S119" s="251">
        <f>SUM(S118:$AR118)*$N119/100</f>
        <v>23520.862960000002</v>
      </c>
      <c r="T119" s="251">
        <f>SUM(T118:$AR118)*$N119/100</f>
        <v>20385.389360000001</v>
      </c>
      <c r="U119" s="251">
        <f>SUM(U118:$AR118)*$N119/100</f>
        <v>17249.91576</v>
      </c>
      <c r="V119" s="251">
        <f>SUM(V118:$AR118)*$N119/100</f>
        <v>14114.442160000001</v>
      </c>
      <c r="W119" s="251">
        <f>SUM(W118:$AR118)*$N119/100</f>
        <v>10978.968559999999</v>
      </c>
      <c r="X119" s="251">
        <f>SUM(X118:$AR118)*$N119/100</f>
        <v>7843.49496</v>
      </c>
      <c r="Y119" s="251">
        <f>SUM(Y118:$AR118)*$N119/100</f>
        <v>4708.0213599999997</v>
      </c>
      <c r="Z119" s="251">
        <f>SUM(Z118:$AR118)*$N119/100</f>
        <v>1572.5477600000002</v>
      </c>
      <c r="AA119" s="251">
        <f>SUM(AA118:$AR118)*$N119/100</f>
        <v>0</v>
      </c>
      <c r="AB119" s="251">
        <f>SUM(AB118:$AR118)*$N119/100</f>
        <v>0</v>
      </c>
      <c r="AC119" s="251"/>
      <c r="AD119" s="251"/>
      <c r="AE119" s="251"/>
      <c r="AF119" s="251"/>
      <c r="AG119" s="251"/>
      <c r="AH119" s="251"/>
      <c r="AI119" s="251"/>
      <c r="AJ119" s="251"/>
      <c r="AK119" s="251"/>
      <c r="AL119" s="251"/>
      <c r="AM119" s="251"/>
      <c r="AN119" s="251"/>
      <c r="AO119" s="251"/>
      <c r="AP119" s="251"/>
      <c r="AQ119" s="251"/>
      <c r="AR119" s="251"/>
      <c r="AS119" s="251"/>
      <c r="AT119" s="251"/>
      <c r="AU119" s="252">
        <f>SUM(R119:AT119)</f>
        <v>125462.24264</v>
      </c>
      <c r="AV119" s="239">
        <f>AU119-SUM(R119:AT119)</f>
        <v>0</v>
      </c>
      <c r="AW119" s="253">
        <f>SUM(Y119:AT119)</f>
        <v>6280.5691200000001</v>
      </c>
      <c r="AX119" s="254">
        <f>SUM(R119:X119,AW119)</f>
        <v>125462.24264</v>
      </c>
    </row>
    <row r="120" spans="2:51" s="210" customFormat="1" x14ac:dyDescent="0.25">
      <c r="B120" s="257" t="s">
        <v>712</v>
      </c>
      <c r="C120" s="258">
        <v>58</v>
      </c>
      <c r="D120" s="259" t="s">
        <v>447</v>
      </c>
      <c r="E120" s="232" t="s">
        <v>1056</v>
      </c>
      <c r="F120" s="232" t="s">
        <v>1057</v>
      </c>
      <c r="G120" s="267">
        <v>45616</v>
      </c>
      <c r="H120" s="267">
        <v>47411</v>
      </c>
      <c r="I120" s="232" t="s">
        <v>718</v>
      </c>
      <c r="J120" s="268">
        <v>123379.93</v>
      </c>
      <c r="K120" s="235">
        <v>123379.93</v>
      </c>
      <c r="L120" s="268"/>
      <c r="M120" s="268"/>
      <c r="N120" s="269"/>
      <c r="O120" s="269"/>
      <c r="P120" s="269"/>
      <c r="Q120" s="265" t="s">
        <v>719</v>
      </c>
      <c r="R120" s="270">
        <f>6494*3+44448</f>
        <v>63930</v>
      </c>
      <c r="S120" s="270">
        <f>6494*4</f>
        <v>25976</v>
      </c>
      <c r="T120" s="270">
        <f>6494*4</f>
        <v>25976</v>
      </c>
      <c r="U120" s="270">
        <f>6494*4-18478</f>
        <v>7498</v>
      </c>
      <c r="V120" s="270">
        <f>6494*3+6488-25970</f>
        <v>0</v>
      </c>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41">
        <f>SUM(R120:AT120)</f>
        <v>123380</v>
      </c>
      <c r="AV120" s="260">
        <f>AU120-SUM(R120:AT120)</f>
        <v>0</v>
      </c>
      <c r="AW120" s="271">
        <f>SUM(Y120:AT120)</f>
        <v>0</v>
      </c>
      <c r="AX120" s="241">
        <f>SUM(R120:X120,AW120)</f>
        <v>123380</v>
      </c>
    </row>
    <row r="121" spans="2:51" s="210" customFormat="1" x14ac:dyDescent="0.25">
      <c r="B121" s="262" t="s">
        <v>712</v>
      </c>
      <c r="C121" s="272"/>
      <c r="D121" s="264"/>
      <c r="E121" s="246"/>
      <c r="F121" s="246"/>
      <c r="G121" s="246"/>
      <c r="H121" s="246"/>
      <c r="I121" s="246"/>
      <c r="J121" s="255"/>
      <c r="K121" s="255"/>
      <c r="L121" s="255" t="s">
        <v>1058</v>
      </c>
      <c r="M121" s="255"/>
      <c r="N121" s="256">
        <f>SUM(O121:P121)</f>
        <v>3.3959999999999999</v>
      </c>
      <c r="O121" s="256">
        <v>3.3959999999999999</v>
      </c>
      <c r="P121" s="256">
        <f>$P$4</f>
        <v>0</v>
      </c>
      <c r="Q121" s="256" t="s">
        <v>722</v>
      </c>
      <c r="R121" s="273">
        <f>3318.3+1000</f>
        <v>4318.3</v>
      </c>
      <c r="S121" s="273">
        <f>SUM(S120:$AR120)*$N121/100</f>
        <v>2018.9219999999998</v>
      </c>
      <c r="T121" s="273">
        <f>SUM(T120:$AR120)*$N121/100</f>
        <v>1136.7770399999999</v>
      </c>
      <c r="U121" s="273">
        <f>SUM(U120:$AR120)*$N121/100</f>
        <v>254.63207999999997</v>
      </c>
      <c r="V121" s="273">
        <f>SUM(V120:$AR120)*$N121/100</f>
        <v>0</v>
      </c>
      <c r="W121" s="273"/>
      <c r="X121" s="273"/>
      <c r="Y121" s="273"/>
      <c r="Z121" s="273"/>
      <c r="AA121" s="273"/>
      <c r="AB121" s="273"/>
      <c r="AC121" s="273"/>
      <c r="AD121" s="273"/>
      <c r="AE121" s="273"/>
      <c r="AF121" s="273"/>
      <c r="AG121" s="273"/>
      <c r="AH121" s="273"/>
      <c r="AI121" s="273"/>
      <c r="AJ121" s="273"/>
      <c r="AK121" s="273"/>
      <c r="AL121" s="273"/>
      <c r="AM121" s="273"/>
      <c r="AN121" s="273"/>
      <c r="AO121" s="273"/>
      <c r="AP121" s="273"/>
      <c r="AQ121" s="273"/>
      <c r="AR121" s="273"/>
      <c r="AS121" s="273"/>
      <c r="AT121" s="273"/>
      <c r="AU121" s="254">
        <f>SUM(R121:AT121)</f>
        <v>7728.63112</v>
      </c>
      <c r="AV121" s="260">
        <f>AU121-SUM(R121:AT121)</f>
        <v>0</v>
      </c>
      <c r="AW121" s="274">
        <f>SUM(Y121:AT121)</f>
        <v>0</v>
      </c>
      <c r="AX121" s="254">
        <f>SUM(R121:X121,AW121)</f>
        <v>7728.63112</v>
      </c>
    </row>
    <row r="122" spans="2:51" s="287" customFormat="1" x14ac:dyDescent="0.25">
      <c r="B122" s="275" t="s">
        <v>757</v>
      </c>
      <c r="C122" s="276">
        <v>59</v>
      </c>
      <c r="D122" s="277" t="s">
        <v>1059</v>
      </c>
      <c r="E122" s="278" t="s">
        <v>1060</v>
      </c>
      <c r="F122" s="278"/>
      <c r="G122" s="278">
        <v>2025</v>
      </c>
      <c r="H122" s="278">
        <v>2029</v>
      </c>
      <c r="I122" s="278" t="s">
        <v>718</v>
      </c>
      <c r="J122" s="279">
        <v>223584</v>
      </c>
      <c r="K122" s="280"/>
      <c r="L122" s="280"/>
      <c r="M122" s="280"/>
      <c r="N122" s="281"/>
      <c r="O122" s="281"/>
      <c r="P122" s="281"/>
      <c r="Q122" s="282" t="s">
        <v>719</v>
      </c>
      <c r="R122" s="283"/>
      <c r="S122" s="283">
        <f>$J$122/5</f>
        <v>44716.800000000003</v>
      </c>
      <c r="T122" s="283">
        <f>$J$122/5</f>
        <v>44716.800000000003</v>
      </c>
      <c r="U122" s="283">
        <f>$J$122/5</f>
        <v>44716.800000000003</v>
      </c>
      <c r="V122" s="283">
        <f>$J$122/5</f>
        <v>44716.800000000003</v>
      </c>
      <c r="W122" s="283">
        <f>$J$122/5</f>
        <v>44716.800000000003</v>
      </c>
      <c r="X122" s="283"/>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4">
        <f t="shared" si="5"/>
        <v>223584</v>
      </c>
      <c r="AV122" s="285">
        <f t="shared" si="6"/>
        <v>0</v>
      </c>
      <c r="AW122" s="286">
        <f t="shared" si="7"/>
        <v>0</v>
      </c>
      <c r="AX122" s="284">
        <f t="shared" si="8"/>
        <v>223584</v>
      </c>
    </row>
    <row r="123" spans="2:51" s="287" customFormat="1" x14ac:dyDescent="0.25">
      <c r="B123" s="289" t="s">
        <v>757</v>
      </c>
      <c r="C123" s="290"/>
      <c r="D123" s="291" t="s">
        <v>1061</v>
      </c>
      <c r="E123" s="292"/>
      <c r="F123" s="292"/>
      <c r="G123" s="292"/>
      <c r="H123" s="292"/>
      <c r="I123" s="292"/>
      <c r="J123" s="293"/>
      <c r="K123" s="294"/>
      <c r="L123" s="294"/>
      <c r="M123" s="294"/>
      <c r="N123" s="295">
        <f>SUM(O123:P123)</f>
        <v>3.47</v>
      </c>
      <c r="O123" s="295">
        <f>1+2.47</f>
        <v>3.47</v>
      </c>
      <c r="P123" s="295">
        <f>$P$4</f>
        <v>0</v>
      </c>
      <c r="Q123" s="295" t="s">
        <v>722</v>
      </c>
      <c r="R123" s="296">
        <f>SUM(R122:$AR122)*$N123/100</f>
        <v>7758.3648000000012</v>
      </c>
      <c r="S123" s="296">
        <f>SUM(S122:$AR122)*$N123/100</f>
        <v>7758.3648000000012</v>
      </c>
      <c r="T123" s="296">
        <f>SUM(T122:$AR122)*$N123/100</f>
        <v>6206.6918400000013</v>
      </c>
      <c r="U123" s="296">
        <f>SUM(U122:$AR122)*$N123/100</f>
        <v>4655.0188800000005</v>
      </c>
      <c r="V123" s="296">
        <f>SUM(V122:$AR122)*$N123/100</f>
        <v>3103.3459200000007</v>
      </c>
      <c r="W123" s="296">
        <f>SUM(W122:$AR122)*$N123/100</f>
        <v>1551.6729600000003</v>
      </c>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7">
        <f t="shared" si="5"/>
        <v>31033.459200000005</v>
      </c>
      <c r="AV123" s="285">
        <f t="shared" si="6"/>
        <v>0</v>
      </c>
      <c r="AW123" s="298">
        <f t="shared" si="7"/>
        <v>0</v>
      </c>
      <c r="AX123" s="297">
        <f t="shared" si="8"/>
        <v>31033.459200000005</v>
      </c>
    </row>
    <row r="124" spans="2:51" s="287" customFormat="1" x14ac:dyDescent="0.25">
      <c r="B124" s="275" t="s">
        <v>757</v>
      </c>
      <c r="C124" s="276">
        <v>60</v>
      </c>
      <c r="D124" s="277" t="s">
        <v>235</v>
      </c>
      <c r="E124" s="278" t="s">
        <v>1060</v>
      </c>
      <c r="F124" s="278"/>
      <c r="G124" s="278">
        <v>2025</v>
      </c>
      <c r="H124" s="278">
        <v>2039</v>
      </c>
      <c r="I124" s="278" t="s">
        <v>718</v>
      </c>
      <c r="J124" s="279">
        <v>3177000</v>
      </c>
      <c r="K124" s="280"/>
      <c r="L124" s="280"/>
      <c r="M124" s="280"/>
      <c r="N124" s="281"/>
      <c r="O124" s="281"/>
      <c r="P124" s="281"/>
      <c r="Q124" s="282" t="s">
        <v>719</v>
      </c>
      <c r="R124" s="299"/>
      <c r="S124" s="296">
        <v>660000</v>
      </c>
      <c r="T124" s="296"/>
      <c r="U124" s="296">
        <f>($J$124-$S$124)/13</f>
        <v>193615.38461538462</v>
      </c>
      <c r="V124" s="296">
        <f t="shared" ref="V124:AG124" si="11">($J$124-$S$124)/13</f>
        <v>193615.38461538462</v>
      </c>
      <c r="W124" s="283">
        <f t="shared" si="11"/>
        <v>193615.38461538462</v>
      </c>
      <c r="X124" s="283">
        <f t="shared" si="11"/>
        <v>193615.38461538462</v>
      </c>
      <c r="Y124" s="283">
        <f t="shared" si="11"/>
        <v>193615.38461538462</v>
      </c>
      <c r="Z124" s="283">
        <f t="shared" si="11"/>
        <v>193615.38461538462</v>
      </c>
      <c r="AA124" s="283">
        <f t="shared" si="11"/>
        <v>193615.38461538462</v>
      </c>
      <c r="AB124" s="283">
        <f t="shared" si="11"/>
        <v>193615.38461538462</v>
      </c>
      <c r="AC124" s="283">
        <f t="shared" si="11"/>
        <v>193615.38461538462</v>
      </c>
      <c r="AD124" s="283">
        <f t="shared" si="11"/>
        <v>193615.38461538462</v>
      </c>
      <c r="AE124" s="283">
        <f t="shared" si="11"/>
        <v>193615.38461538462</v>
      </c>
      <c r="AF124" s="283">
        <f t="shared" si="11"/>
        <v>193615.38461538462</v>
      </c>
      <c r="AG124" s="283">
        <f t="shared" si="11"/>
        <v>193615.38461538462</v>
      </c>
      <c r="AH124" s="283"/>
      <c r="AI124" s="283"/>
      <c r="AJ124" s="283"/>
      <c r="AK124" s="283"/>
      <c r="AL124" s="283"/>
      <c r="AM124" s="283"/>
      <c r="AN124" s="283"/>
      <c r="AO124" s="283"/>
      <c r="AP124" s="283"/>
      <c r="AQ124" s="283"/>
      <c r="AR124" s="283"/>
      <c r="AS124" s="283"/>
      <c r="AT124" s="283"/>
      <c r="AU124" s="284">
        <f>SUM(R124:AT124)</f>
        <v>3176999.9999999991</v>
      </c>
      <c r="AV124" s="285">
        <f t="shared" si="6"/>
        <v>0</v>
      </c>
      <c r="AW124" s="286">
        <f t="shared" si="7"/>
        <v>1742538.4615384615</v>
      </c>
      <c r="AX124" s="284">
        <f t="shared" si="8"/>
        <v>3177000</v>
      </c>
      <c r="AY124" s="288" t="b">
        <f>J124=AU124</f>
        <v>1</v>
      </c>
    </row>
    <row r="125" spans="2:51" s="287" customFormat="1" x14ac:dyDescent="0.25">
      <c r="B125" s="289" t="s">
        <v>757</v>
      </c>
      <c r="C125" s="290"/>
      <c r="D125" s="291"/>
      <c r="E125" s="292"/>
      <c r="F125" s="292"/>
      <c r="G125" s="292"/>
      <c r="H125" s="292"/>
      <c r="I125" s="292"/>
      <c r="J125" s="292"/>
      <c r="K125" s="294"/>
      <c r="L125" s="294"/>
      <c r="M125" s="294"/>
      <c r="N125" s="295">
        <f>SUM(O125:P125)</f>
        <v>3.952</v>
      </c>
      <c r="O125" s="295">
        <f>1.482+2.47</f>
        <v>3.952</v>
      </c>
      <c r="P125" s="295">
        <f>$P$4</f>
        <v>0</v>
      </c>
      <c r="Q125" s="295" t="s">
        <v>722</v>
      </c>
      <c r="R125" s="296">
        <f>SUM(R124:$AR124)*$N125/100-57142</f>
        <v>68413.039999999964</v>
      </c>
      <c r="S125" s="296">
        <f>SUM(S124:$AR124)*$N125/100</f>
        <v>125555.03999999996</v>
      </c>
      <c r="T125" s="296">
        <f>SUM(T124:$AR124)*$N125/100</f>
        <v>99471.839999999982</v>
      </c>
      <c r="U125" s="296">
        <f>SUM(U124:$AR124)*$N125/100</f>
        <v>99471.839999999982</v>
      </c>
      <c r="V125" s="296">
        <f>SUM(V124:$AR124)*$N125/100</f>
        <v>91820.159999999974</v>
      </c>
      <c r="W125" s="296">
        <f>SUM(W124:$AR124)*$N125/100</f>
        <v>84168.479999999981</v>
      </c>
      <c r="X125" s="296">
        <f>SUM(X124:$AR124)*$N125/100</f>
        <v>76516.799999999988</v>
      </c>
      <c r="Y125" s="296">
        <f>SUM(Y124:$AR124)*$N125/100</f>
        <v>68865.119999999995</v>
      </c>
      <c r="Z125" s="296">
        <f>SUM(Z124:$AR124)*$N125/100</f>
        <v>61213.440000000002</v>
      </c>
      <c r="AA125" s="296">
        <f>SUM(AA124:$AR124)*$N125/100</f>
        <v>53561.760000000009</v>
      </c>
      <c r="AB125" s="296">
        <f>SUM(AB124:$AR124)*$N125/100</f>
        <v>45910.080000000002</v>
      </c>
      <c r="AC125" s="296">
        <f>SUM(AC124:$AR124)*$N125/100</f>
        <v>38258.400000000001</v>
      </c>
      <c r="AD125" s="296">
        <f>SUM(AD124:$AR124)*$N125/100</f>
        <v>30606.720000000001</v>
      </c>
      <c r="AE125" s="296">
        <f>SUM(AE124:$AR124)*$N125/100</f>
        <v>22955.040000000001</v>
      </c>
      <c r="AF125" s="296">
        <f>SUM(AF124:$AR124)*$N125/100</f>
        <v>15303.36</v>
      </c>
      <c r="AG125" s="296">
        <f>SUM(AG124:$AR124)*$N125/100</f>
        <v>7651.68</v>
      </c>
      <c r="AH125" s="296">
        <f>SUM(AH124:$AR124)*$N125/100</f>
        <v>0</v>
      </c>
      <c r="AI125" s="296"/>
      <c r="AJ125" s="296"/>
      <c r="AK125" s="296"/>
      <c r="AL125" s="296"/>
      <c r="AM125" s="296"/>
      <c r="AN125" s="296"/>
      <c r="AO125" s="296"/>
      <c r="AP125" s="296"/>
      <c r="AQ125" s="296"/>
      <c r="AR125" s="296"/>
      <c r="AS125" s="296"/>
      <c r="AT125" s="296"/>
      <c r="AU125" s="297">
        <f t="shared" si="5"/>
        <v>989742.8</v>
      </c>
      <c r="AV125" s="285">
        <f t="shared" si="6"/>
        <v>0</v>
      </c>
      <c r="AW125" s="298">
        <f t="shared" si="7"/>
        <v>344325.6</v>
      </c>
      <c r="AX125" s="297">
        <f t="shared" si="8"/>
        <v>989742.79999999993</v>
      </c>
    </row>
    <row r="126" spans="2:51" s="287" customFormat="1" x14ac:dyDescent="0.25">
      <c r="B126" s="275" t="s">
        <v>712</v>
      </c>
      <c r="C126" s="276">
        <v>61</v>
      </c>
      <c r="D126" s="277" t="s">
        <v>1062</v>
      </c>
      <c r="E126" s="278" t="s">
        <v>1060</v>
      </c>
      <c r="F126" s="278"/>
      <c r="G126" s="278">
        <v>2026</v>
      </c>
      <c r="H126" s="278">
        <v>2045</v>
      </c>
      <c r="I126" s="278" t="s">
        <v>718</v>
      </c>
      <c r="J126" s="279">
        <v>9672043</v>
      </c>
      <c r="K126" s="280"/>
      <c r="L126" s="280"/>
      <c r="M126" s="280"/>
      <c r="N126" s="281"/>
      <c r="O126" s="281"/>
      <c r="P126" s="281"/>
      <c r="Q126" s="282" t="s">
        <v>719</v>
      </c>
      <c r="R126" s="283"/>
      <c r="S126" s="283"/>
      <c r="T126" s="283">
        <f>$J$126/18/2</f>
        <v>268667.86111111112</v>
      </c>
      <c r="U126" s="283">
        <f>$J$126/18</f>
        <v>537335.72222222225</v>
      </c>
      <c r="V126" s="283">
        <f t="shared" ref="V126:AK126" si="12">$J$126/18</f>
        <v>537335.72222222225</v>
      </c>
      <c r="W126" s="283">
        <f t="shared" si="12"/>
        <v>537335.72222222225</v>
      </c>
      <c r="X126" s="283">
        <f t="shared" si="12"/>
        <v>537335.72222222225</v>
      </c>
      <c r="Y126" s="283">
        <f t="shared" si="12"/>
        <v>537335.72222222225</v>
      </c>
      <c r="Z126" s="283">
        <f t="shared" si="12"/>
        <v>537335.72222222225</v>
      </c>
      <c r="AA126" s="283">
        <f t="shared" si="12"/>
        <v>537335.72222222225</v>
      </c>
      <c r="AB126" s="283">
        <f t="shared" si="12"/>
        <v>537335.72222222225</v>
      </c>
      <c r="AC126" s="283">
        <f t="shared" si="12"/>
        <v>537335.72222222225</v>
      </c>
      <c r="AD126" s="283">
        <f t="shared" si="12"/>
        <v>537335.72222222225</v>
      </c>
      <c r="AE126" s="283">
        <f t="shared" si="12"/>
        <v>537335.72222222225</v>
      </c>
      <c r="AF126" s="283">
        <f t="shared" si="12"/>
        <v>537335.72222222225</v>
      </c>
      <c r="AG126" s="283">
        <f t="shared" si="12"/>
        <v>537335.72222222225</v>
      </c>
      <c r="AH126" s="283">
        <f t="shared" si="12"/>
        <v>537335.72222222225</v>
      </c>
      <c r="AI126" s="283">
        <f t="shared" si="12"/>
        <v>537335.72222222225</v>
      </c>
      <c r="AJ126" s="283">
        <f t="shared" si="12"/>
        <v>537335.72222222225</v>
      </c>
      <c r="AK126" s="283">
        <f t="shared" si="12"/>
        <v>537335.72222222225</v>
      </c>
      <c r="AL126" s="283">
        <f>$J$126/18/2</f>
        <v>268667.86111111112</v>
      </c>
      <c r="AM126" s="283"/>
      <c r="AN126" s="283"/>
      <c r="AO126" s="283"/>
      <c r="AP126" s="283"/>
      <c r="AQ126" s="283"/>
      <c r="AR126" s="283"/>
      <c r="AS126" s="283"/>
      <c r="AT126" s="283"/>
      <c r="AU126" s="284">
        <f>SUM(R126:AT126)</f>
        <v>9672042.9999999981</v>
      </c>
      <c r="AV126" s="285">
        <f t="shared" si="6"/>
        <v>0</v>
      </c>
      <c r="AW126" s="286">
        <f t="shared" si="7"/>
        <v>7254032.2499999981</v>
      </c>
      <c r="AX126" s="284">
        <f t="shared" si="8"/>
        <v>9672042.9999999981</v>
      </c>
      <c r="AY126" s="288" t="b">
        <f>J126=AU126</f>
        <v>1</v>
      </c>
    </row>
    <row r="127" spans="2:51" s="287" customFormat="1" x14ac:dyDescent="0.25">
      <c r="B127" s="289" t="s">
        <v>712</v>
      </c>
      <c r="C127" s="290"/>
      <c r="D127" s="292"/>
      <c r="E127" s="292"/>
      <c r="F127" s="292"/>
      <c r="G127" s="292"/>
      <c r="H127" s="292"/>
      <c r="I127" s="292"/>
      <c r="J127" s="293"/>
      <c r="K127" s="294"/>
      <c r="L127" s="294"/>
      <c r="M127" s="294"/>
      <c r="N127" s="295">
        <f>SUM(O127:P127)</f>
        <v>4.1930000000000005</v>
      </c>
      <c r="O127" s="295">
        <f>1.723+2.47</f>
        <v>4.1930000000000005</v>
      </c>
      <c r="P127" s="295">
        <f>$P$4</f>
        <v>0</v>
      </c>
      <c r="Q127" s="295" t="s">
        <v>722</v>
      </c>
      <c r="R127" s="296">
        <f>SUM(R126:$AR126)*$N127/100/2-50000+35641-22043+80000-20000-2950-50000</f>
        <v>173422.38149499998</v>
      </c>
      <c r="S127" s="296">
        <f>SUM(S126:$AR126)*$N127/100</f>
        <v>405548.76298999996</v>
      </c>
      <c r="T127" s="296">
        <f>SUM(T126:$AR126)*$N127/100</f>
        <v>405548.76298999996</v>
      </c>
      <c r="U127" s="296">
        <f>SUM(U126:$AR126)*$N127/100</f>
        <v>394283.51957361109</v>
      </c>
      <c r="V127" s="296">
        <f>SUM(V126:$AR126)*$N127/100</f>
        <v>371753.03274083341</v>
      </c>
      <c r="W127" s="296">
        <f>SUM(W126:$AR126)*$N127/100</f>
        <v>349222.5459080555</v>
      </c>
      <c r="X127" s="296">
        <f>SUM(X126:$AR126)*$N127/100</f>
        <v>326692.05907527776</v>
      </c>
      <c r="Y127" s="296">
        <f>SUM(Y126:$AR126)*$N127/100</f>
        <v>304161.57224249997</v>
      </c>
      <c r="Z127" s="296">
        <f>SUM(Z126:$AR126)*$N127/100</f>
        <v>281631.08540972217</v>
      </c>
      <c r="AA127" s="296">
        <f>SUM(AA126:$AR126)*$N127/100</f>
        <v>259100.59857694444</v>
      </c>
      <c r="AB127" s="296">
        <f>SUM(AB126:$AR126)*$N127/100</f>
        <v>236570.11174416664</v>
      </c>
      <c r="AC127" s="296">
        <f>SUM(AC126:$AR126)*$N127/100</f>
        <v>214039.62491138888</v>
      </c>
      <c r="AD127" s="296">
        <f>SUM(AD126:$AR126)*$N127/100</f>
        <v>191509.13807861108</v>
      </c>
      <c r="AE127" s="296">
        <f>SUM(AE126:$AR126)*$N127/100</f>
        <v>168978.65124583335</v>
      </c>
      <c r="AF127" s="296">
        <f>SUM(AF126:$AR126)*$N127/100</f>
        <v>146448.16441305555</v>
      </c>
      <c r="AG127" s="296">
        <f>SUM(AG126:$AR126)*$N127/100</f>
        <v>123917.67758027778</v>
      </c>
      <c r="AH127" s="296">
        <f>SUM(AH126:$AR126)*$N127/100</f>
        <v>101387.1907475</v>
      </c>
      <c r="AI127" s="296">
        <f>SUM(AI126:$AR126)*$N127/100</f>
        <v>78856.703914722239</v>
      </c>
      <c r="AJ127" s="296">
        <f>SUM(AJ126:$AR126)*$N127/100</f>
        <v>56326.217081944451</v>
      </c>
      <c r="AK127" s="296">
        <f>SUM(AK126:$AR126)*$N127/100</f>
        <v>33795.730249166671</v>
      </c>
      <c r="AL127" s="296">
        <f>SUM(AL126:$AR126)*$N127/100</f>
        <v>11265.243416388892</v>
      </c>
      <c r="AM127" s="296"/>
      <c r="AN127" s="296"/>
      <c r="AO127" s="296"/>
      <c r="AP127" s="296"/>
      <c r="AQ127" s="296"/>
      <c r="AR127" s="296"/>
      <c r="AS127" s="296"/>
      <c r="AT127" s="296"/>
      <c r="AU127" s="297">
        <f>SUM(R127:AT127)</f>
        <v>4634458.7743849996</v>
      </c>
      <c r="AV127" s="300">
        <f t="shared" si="6"/>
        <v>0</v>
      </c>
      <c r="AW127" s="298">
        <f t="shared" si="7"/>
        <v>2207987.7096122224</v>
      </c>
      <c r="AX127" s="297">
        <f t="shared" si="8"/>
        <v>4634458.7743849996</v>
      </c>
    </row>
    <row r="128" spans="2:51" s="287" customFormat="1" x14ac:dyDescent="0.25">
      <c r="B128" s="275" t="s">
        <v>712</v>
      </c>
      <c r="C128" s="276">
        <v>62</v>
      </c>
      <c r="D128" s="277" t="s">
        <v>1063</v>
      </c>
      <c r="E128" s="278" t="s">
        <v>1060</v>
      </c>
      <c r="F128" s="278"/>
      <c r="G128" s="278">
        <v>2026</v>
      </c>
      <c r="H128" s="278">
        <v>2036</v>
      </c>
      <c r="I128" s="278" t="s">
        <v>718</v>
      </c>
      <c r="J128" s="279">
        <v>576745</v>
      </c>
      <c r="K128" s="280"/>
      <c r="L128" s="280"/>
      <c r="M128" s="280"/>
      <c r="N128" s="281"/>
      <c r="O128" s="281"/>
      <c r="P128" s="281"/>
      <c r="Q128" s="282" t="s">
        <v>719</v>
      </c>
      <c r="R128" s="283"/>
      <c r="S128" s="283"/>
      <c r="T128" s="283">
        <f>$J$128/8/2</f>
        <v>36046.5625</v>
      </c>
      <c r="U128" s="283">
        <f>$J$128/8</f>
        <v>72093.125</v>
      </c>
      <c r="V128" s="283">
        <f t="shared" ref="V128:AA128" si="13">$J$128/8</f>
        <v>72093.125</v>
      </c>
      <c r="W128" s="283">
        <f t="shared" si="13"/>
        <v>72093.125</v>
      </c>
      <c r="X128" s="283">
        <f t="shared" si="13"/>
        <v>72093.125</v>
      </c>
      <c r="Y128" s="283">
        <f t="shared" si="13"/>
        <v>72093.125</v>
      </c>
      <c r="Z128" s="283">
        <f t="shared" si="13"/>
        <v>72093.125</v>
      </c>
      <c r="AA128" s="283">
        <f t="shared" si="13"/>
        <v>72093.125</v>
      </c>
      <c r="AB128" s="283">
        <f>$J$128/8/2</f>
        <v>36046.5625</v>
      </c>
      <c r="AC128" s="283"/>
      <c r="AD128" s="283"/>
      <c r="AE128" s="283"/>
      <c r="AF128" s="283"/>
      <c r="AG128" s="283"/>
      <c r="AH128" s="283"/>
      <c r="AI128" s="283"/>
      <c r="AJ128" s="283"/>
      <c r="AK128" s="283"/>
      <c r="AL128" s="283"/>
      <c r="AM128" s="283"/>
      <c r="AN128" s="283"/>
      <c r="AO128" s="283"/>
      <c r="AP128" s="283"/>
      <c r="AQ128" s="283"/>
      <c r="AR128" s="283"/>
      <c r="AS128" s="283"/>
      <c r="AT128" s="283"/>
      <c r="AU128" s="284">
        <f>SUM(R128:AT128)</f>
        <v>576745</v>
      </c>
      <c r="AV128" s="285">
        <f t="shared" si="6"/>
        <v>0</v>
      </c>
      <c r="AW128" s="286">
        <f t="shared" si="7"/>
        <v>252325.9375</v>
      </c>
      <c r="AX128" s="284">
        <f>SUM(R128:X128,AW128)</f>
        <v>576745</v>
      </c>
      <c r="AY128" s="288" t="b">
        <f>J128=AU128</f>
        <v>1</v>
      </c>
    </row>
    <row r="129" spans="2:51" s="287" customFormat="1" x14ac:dyDescent="0.25">
      <c r="B129" s="289" t="s">
        <v>712</v>
      </c>
      <c r="C129" s="290"/>
      <c r="D129" s="292"/>
      <c r="E129" s="292"/>
      <c r="F129" s="292"/>
      <c r="G129" s="292"/>
      <c r="H129" s="292"/>
      <c r="I129" s="292"/>
      <c r="J129" s="293"/>
      <c r="K129" s="294"/>
      <c r="L129" s="294"/>
      <c r="M129" s="294"/>
      <c r="N129" s="295">
        <f>SUM(O129:P129)</f>
        <v>4.1930000000000005</v>
      </c>
      <c r="O129" s="295">
        <f>1.723+2.47</f>
        <v>4.1930000000000005</v>
      </c>
      <c r="P129" s="295">
        <f>$P$4</f>
        <v>0</v>
      </c>
      <c r="Q129" s="295" t="s">
        <v>722</v>
      </c>
      <c r="R129" s="296">
        <f>SUM(R128:$AR128)*$N129/100</f>
        <v>24182.917850000002</v>
      </c>
      <c r="S129" s="296">
        <f>SUM(S128:$AR128)*$N129/100</f>
        <v>24182.917850000002</v>
      </c>
      <c r="T129" s="296">
        <f>SUM(T128:$AR128)*$N129/100</f>
        <v>24182.917850000002</v>
      </c>
      <c r="U129" s="296">
        <f>SUM(U128:$AR128)*$N129/100</f>
        <v>22671.485484375004</v>
      </c>
      <c r="V129" s="296">
        <f>SUM(V128:$AR128)*$N129/100</f>
        <v>19648.620753125</v>
      </c>
      <c r="W129" s="296">
        <f>SUM(W128:$AR128)*$N129/100</f>
        <v>16625.756021875</v>
      </c>
      <c r="X129" s="296">
        <f>SUM(X128:$AR128)*$N129/100</f>
        <v>13602.891290625001</v>
      </c>
      <c r="Y129" s="296">
        <f>SUM(Y128:$AR128)*$N129/100</f>
        <v>10580.026559375001</v>
      </c>
      <c r="Z129" s="296">
        <f>SUM(Z128:$AR128)*$N129/100</f>
        <v>7557.1618281250003</v>
      </c>
      <c r="AA129" s="296">
        <f>SUM(AA128:$AR128)*$N129/100</f>
        <v>4534.2970968750005</v>
      </c>
      <c r="AB129" s="296">
        <f>SUM(AB128:$AR128)*$N129/100</f>
        <v>1511.4323656250001</v>
      </c>
      <c r="AC129" s="296"/>
      <c r="AD129" s="296"/>
      <c r="AE129" s="296"/>
      <c r="AF129" s="296"/>
      <c r="AG129" s="296"/>
      <c r="AH129" s="296"/>
      <c r="AI129" s="296"/>
      <c r="AJ129" s="296"/>
      <c r="AK129" s="296"/>
      <c r="AL129" s="296"/>
      <c r="AM129" s="296"/>
      <c r="AN129" s="296"/>
      <c r="AO129" s="296"/>
      <c r="AP129" s="296"/>
      <c r="AQ129" s="296"/>
      <c r="AR129" s="296"/>
      <c r="AS129" s="296"/>
      <c r="AT129" s="296"/>
      <c r="AU129" s="297">
        <f t="shared" ref="AU129:AU137" si="14">SUM(R129:AT129)</f>
        <v>169280.42495000002</v>
      </c>
      <c r="AV129" s="300">
        <f t="shared" si="6"/>
        <v>0</v>
      </c>
      <c r="AW129" s="298">
        <f t="shared" si="7"/>
        <v>24182.917850000005</v>
      </c>
      <c r="AX129" s="297">
        <f t="shared" ref="AX129:AX137" si="15">SUM(R129:X129,AW129)</f>
        <v>169280.42495000002</v>
      </c>
      <c r="AY129" s="288"/>
    </row>
    <row r="130" spans="2:51" s="287" customFormat="1" x14ac:dyDescent="0.25">
      <c r="C130" s="276">
        <v>63</v>
      </c>
      <c r="D130" s="277" t="s">
        <v>1064</v>
      </c>
      <c r="E130" s="278" t="s">
        <v>1060</v>
      </c>
      <c r="F130" s="278"/>
      <c r="G130" s="278">
        <v>2025</v>
      </c>
      <c r="H130" s="278">
        <v>2030</v>
      </c>
      <c r="I130" s="278" t="s">
        <v>718</v>
      </c>
      <c r="J130" s="279">
        <v>85000</v>
      </c>
      <c r="K130" s="280"/>
      <c r="L130" s="280"/>
      <c r="M130" s="280"/>
      <c r="N130" s="281"/>
      <c r="O130" s="281"/>
      <c r="P130" s="281"/>
      <c r="Q130" s="282" t="s">
        <v>719</v>
      </c>
      <c r="R130" s="301"/>
      <c r="S130" s="283">
        <f>$J$130/5</f>
        <v>17000</v>
      </c>
      <c r="T130" s="283">
        <f>$J$130/5</f>
        <v>17000</v>
      </c>
      <c r="U130" s="283">
        <f>$J$130/5</f>
        <v>17000</v>
      </c>
      <c r="V130" s="283">
        <f>$J$130/5</f>
        <v>17000</v>
      </c>
      <c r="W130" s="283">
        <f>$J$130/5</f>
        <v>17000</v>
      </c>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4">
        <f t="shared" si="14"/>
        <v>85000</v>
      </c>
      <c r="AV130" s="285"/>
      <c r="AW130" s="286">
        <f t="shared" si="7"/>
        <v>0</v>
      </c>
      <c r="AX130" s="284">
        <f t="shared" si="15"/>
        <v>85000</v>
      </c>
      <c r="AY130" s="288" t="b">
        <f t="shared" ref="AY130:AY138" si="16">J130=AU130</f>
        <v>1</v>
      </c>
    </row>
    <row r="131" spans="2:51" s="287" customFormat="1" x14ac:dyDescent="0.25">
      <c r="C131" s="290"/>
      <c r="D131" s="302" t="s">
        <v>1065</v>
      </c>
      <c r="E131" s="303"/>
      <c r="F131" s="292"/>
      <c r="G131" s="292"/>
      <c r="H131" s="292"/>
      <c r="I131" s="292"/>
      <c r="J131" s="293"/>
      <c r="K131" s="294"/>
      <c r="L131" s="294"/>
      <c r="M131" s="294"/>
      <c r="N131" s="295">
        <f>SUM(O131:P131)</f>
        <v>3.47</v>
      </c>
      <c r="O131" s="295">
        <f>1+2.47</f>
        <v>3.47</v>
      </c>
      <c r="P131" s="295">
        <f>$P$4</f>
        <v>0</v>
      </c>
      <c r="Q131" s="295" t="s">
        <v>722</v>
      </c>
      <c r="R131" s="296">
        <f>SUM(R130:$AR130)*$N131/100</f>
        <v>2949.5</v>
      </c>
      <c r="S131" s="296">
        <f>SUM(S130:$AR130)*$N131/100</f>
        <v>2949.5</v>
      </c>
      <c r="T131" s="296">
        <f>SUM(T130:$AR130)*$N131/100</f>
        <v>2359.6</v>
      </c>
      <c r="U131" s="296">
        <f>SUM(U130:$AR130)*$N131/100</f>
        <v>1769.7</v>
      </c>
      <c r="V131" s="296">
        <f>SUM(V130:$AR130)*$N131/100</f>
        <v>1179.8</v>
      </c>
      <c r="W131" s="296">
        <f>SUM(W130:$AR130)*$N131/100</f>
        <v>589.9</v>
      </c>
      <c r="X131" s="301"/>
      <c r="Y131" s="301"/>
      <c r="Z131" s="301"/>
      <c r="AA131" s="301"/>
      <c r="AB131" s="301"/>
      <c r="AC131" s="296"/>
      <c r="AD131" s="296"/>
      <c r="AE131" s="296"/>
      <c r="AF131" s="296"/>
      <c r="AG131" s="296"/>
      <c r="AH131" s="296"/>
      <c r="AI131" s="296"/>
      <c r="AJ131" s="296"/>
      <c r="AK131" s="296"/>
      <c r="AL131" s="296"/>
      <c r="AM131" s="296"/>
      <c r="AN131" s="296"/>
      <c r="AO131" s="296"/>
      <c r="AP131" s="296"/>
      <c r="AQ131" s="296"/>
      <c r="AR131" s="296"/>
      <c r="AS131" s="296"/>
      <c r="AT131" s="296"/>
      <c r="AU131" s="297">
        <f t="shared" si="14"/>
        <v>11798</v>
      </c>
      <c r="AV131" s="285"/>
      <c r="AW131" s="298">
        <f t="shared" si="7"/>
        <v>0</v>
      </c>
      <c r="AX131" s="297">
        <f t="shared" si="15"/>
        <v>11798</v>
      </c>
      <c r="AY131" s="288"/>
    </row>
    <row r="132" spans="2:51" s="287" customFormat="1" x14ac:dyDescent="0.25">
      <c r="C132" s="276">
        <v>64</v>
      </c>
      <c r="D132" s="277" t="s">
        <v>309</v>
      </c>
      <c r="E132" s="278" t="s">
        <v>1060</v>
      </c>
      <c r="F132" s="278"/>
      <c r="G132" s="278">
        <v>2025</v>
      </c>
      <c r="H132" s="278">
        <v>2035</v>
      </c>
      <c r="I132" s="278" t="s">
        <v>718</v>
      </c>
      <c r="J132" s="279">
        <v>255000</v>
      </c>
      <c r="K132" s="280"/>
      <c r="L132" s="280"/>
      <c r="M132" s="280"/>
      <c r="N132" s="281"/>
      <c r="O132" s="281"/>
      <c r="P132" s="281"/>
      <c r="Q132" s="282" t="s">
        <v>719</v>
      </c>
      <c r="R132" s="301"/>
      <c r="S132" s="283">
        <f>$J$132/10</f>
        <v>25500</v>
      </c>
      <c r="T132" s="283">
        <f t="shared" ref="T132:AB132" si="17">$J$132/10</f>
        <v>25500</v>
      </c>
      <c r="U132" s="283">
        <f t="shared" si="17"/>
        <v>25500</v>
      </c>
      <c r="V132" s="283">
        <f t="shared" si="17"/>
        <v>25500</v>
      </c>
      <c r="W132" s="283">
        <f t="shared" si="17"/>
        <v>25500</v>
      </c>
      <c r="X132" s="283">
        <f t="shared" si="17"/>
        <v>25500</v>
      </c>
      <c r="Y132" s="283">
        <f t="shared" si="17"/>
        <v>25500</v>
      </c>
      <c r="Z132" s="283">
        <f>$J$132/10</f>
        <v>25500</v>
      </c>
      <c r="AA132" s="283">
        <f t="shared" si="17"/>
        <v>25500</v>
      </c>
      <c r="AB132" s="283">
        <f t="shared" si="17"/>
        <v>25500</v>
      </c>
      <c r="AC132" s="283"/>
      <c r="AD132" s="283"/>
      <c r="AE132" s="283"/>
      <c r="AF132" s="283"/>
      <c r="AG132" s="283"/>
      <c r="AH132" s="283"/>
      <c r="AI132" s="283"/>
      <c r="AJ132" s="283"/>
      <c r="AK132" s="283"/>
      <c r="AL132" s="283"/>
      <c r="AM132" s="283"/>
      <c r="AN132" s="283"/>
      <c r="AO132" s="283"/>
      <c r="AP132" s="283"/>
      <c r="AQ132" s="283"/>
      <c r="AR132" s="283"/>
      <c r="AS132" s="283"/>
      <c r="AT132" s="283"/>
      <c r="AU132" s="284">
        <f t="shared" si="14"/>
        <v>255000</v>
      </c>
      <c r="AV132" s="285"/>
      <c r="AW132" s="286">
        <f t="shared" si="7"/>
        <v>102000</v>
      </c>
      <c r="AX132" s="284">
        <f t="shared" si="15"/>
        <v>255000</v>
      </c>
      <c r="AY132" s="288" t="b">
        <f t="shared" si="16"/>
        <v>1</v>
      </c>
    </row>
    <row r="133" spans="2:51" s="287" customFormat="1" x14ac:dyDescent="0.25">
      <c r="C133" s="290"/>
      <c r="D133" s="303"/>
      <c r="E133" s="303"/>
      <c r="F133" s="292"/>
      <c r="G133" s="292"/>
      <c r="H133" s="292"/>
      <c r="I133" s="292"/>
      <c r="J133" s="293"/>
      <c r="K133" s="294"/>
      <c r="L133" s="294"/>
      <c r="M133" s="294"/>
      <c r="N133" s="295">
        <f>SUM(O133:P133)</f>
        <v>3.47</v>
      </c>
      <c r="O133" s="295">
        <f>1+2.47</f>
        <v>3.47</v>
      </c>
      <c r="P133" s="295">
        <f>$P$4</f>
        <v>0</v>
      </c>
      <c r="Q133" s="295" t="s">
        <v>722</v>
      </c>
      <c r="R133" s="296">
        <f>SUM(R132:$AR132)*$N133/100</f>
        <v>8848.5</v>
      </c>
      <c r="S133" s="296">
        <f>SUM(S132:$AR132)*$N133/100</f>
        <v>8848.5</v>
      </c>
      <c r="T133" s="296">
        <f>SUM(T132:$AR132)*$N133/100</f>
        <v>7963.65</v>
      </c>
      <c r="U133" s="296">
        <f>SUM(U132:$AR132)*$N133/100</f>
        <v>7078.8</v>
      </c>
      <c r="V133" s="296">
        <f>SUM(V132:$AR132)*$N133/100</f>
        <v>6193.95</v>
      </c>
      <c r="W133" s="296">
        <f>SUM(W132:$AR132)*$N133/100</f>
        <v>5309.1</v>
      </c>
      <c r="X133" s="296">
        <f>SUM(X132:$AR132)*$N133/100</f>
        <v>4424.25</v>
      </c>
      <c r="Y133" s="296">
        <f>SUM(Y132:$AR132)*$N133/100</f>
        <v>3539.4</v>
      </c>
      <c r="Z133" s="296">
        <f>SUM(Z132:$AR132)*$N133/100</f>
        <v>2654.55</v>
      </c>
      <c r="AA133" s="296">
        <f>SUM(AA132:$AR132)*$N133/100</f>
        <v>1769.7</v>
      </c>
      <c r="AB133" s="296">
        <f>SUM(AB132:$AR132)*$N133/100</f>
        <v>884.85</v>
      </c>
      <c r="AC133" s="296"/>
      <c r="AD133" s="296"/>
      <c r="AE133" s="296"/>
      <c r="AF133" s="296"/>
      <c r="AG133" s="296"/>
      <c r="AH133" s="296"/>
      <c r="AI133" s="296"/>
      <c r="AJ133" s="296"/>
      <c r="AK133" s="296"/>
      <c r="AL133" s="296"/>
      <c r="AM133" s="296"/>
      <c r="AN133" s="296"/>
      <c r="AO133" s="296"/>
      <c r="AP133" s="296"/>
      <c r="AQ133" s="296"/>
      <c r="AR133" s="296"/>
      <c r="AS133" s="296"/>
      <c r="AT133" s="296"/>
      <c r="AU133" s="297">
        <f t="shared" si="14"/>
        <v>57515.25</v>
      </c>
      <c r="AV133" s="285"/>
      <c r="AW133" s="298">
        <f t="shared" si="7"/>
        <v>8848.5</v>
      </c>
      <c r="AX133" s="297">
        <f t="shared" si="15"/>
        <v>57515.25</v>
      </c>
      <c r="AY133" s="288"/>
    </row>
    <row r="134" spans="2:51" s="287" customFormat="1" x14ac:dyDescent="0.25">
      <c r="C134" s="276">
        <v>65</v>
      </c>
      <c r="D134" s="277" t="s">
        <v>1066</v>
      </c>
      <c r="E134" s="278" t="s">
        <v>1060</v>
      </c>
      <c r="F134" s="278"/>
      <c r="G134" s="278">
        <v>2025</v>
      </c>
      <c r="H134" s="278">
        <v>2035</v>
      </c>
      <c r="I134" s="278" t="s">
        <v>718</v>
      </c>
      <c r="J134" s="279">
        <v>295238</v>
      </c>
      <c r="K134" s="280"/>
      <c r="L134" s="280"/>
      <c r="M134" s="280"/>
      <c r="N134" s="281"/>
      <c r="O134" s="281"/>
      <c r="P134" s="281"/>
      <c r="Q134" s="282" t="s">
        <v>719</v>
      </c>
      <c r="R134" s="301"/>
      <c r="S134" s="283">
        <f>$J$134/10</f>
        <v>29523.8</v>
      </c>
      <c r="T134" s="283">
        <f t="shared" ref="T134:AB134" si="18">$J$134/10</f>
        <v>29523.8</v>
      </c>
      <c r="U134" s="283">
        <f t="shared" si="18"/>
        <v>29523.8</v>
      </c>
      <c r="V134" s="283">
        <f t="shared" si="18"/>
        <v>29523.8</v>
      </c>
      <c r="W134" s="283">
        <f t="shared" si="18"/>
        <v>29523.8</v>
      </c>
      <c r="X134" s="283">
        <f t="shared" si="18"/>
        <v>29523.8</v>
      </c>
      <c r="Y134" s="283">
        <f t="shared" si="18"/>
        <v>29523.8</v>
      </c>
      <c r="Z134" s="283">
        <f t="shared" si="18"/>
        <v>29523.8</v>
      </c>
      <c r="AA134" s="283">
        <f t="shared" si="18"/>
        <v>29523.8</v>
      </c>
      <c r="AB134" s="283">
        <f t="shared" si="18"/>
        <v>29523.8</v>
      </c>
      <c r="AC134" s="283"/>
      <c r="AD134" s="283"/>
      <c r="AE134" s="283"/>
      <c r="AF134" s="283"/>
      <c r="AG134" s="283"/>
      <c r="AH134" s="283"/>
      <c r="AI134" s="283"/>
      <c r="AJ134" s="283"/>
      <c r="AK134" s="283"/>
      <c r="AL134" s="283"/>
      <c r="AM134" s="283"/>
      <c r="AN134" s="283"/>
      <c r="AO134" s="283"/>
      <c r="AP134" s="283"/>
      <c r="AQ134" s="283"/>
      <c r="AR134" s="283"/>
      <c r="AS134" s="283"/>
      <c r="AT134" s="283"/>
      <c r="AU134" s="284">
        <f t="shared" si="14"/>
        <v>295237.99999999994</v>
      </c>
      <c r="AV134" s="285"/>
      <c r="AW134" s="286">
        <f t="shared" si="7"/>
        <v>118095.2</v>
      </c>
      <c r="AX134" s="284">
        <f t="shared" si="15"/>
        <v>295238</v>
      </c>
      <c r="AY134" s="288" t="b">
        <f t="shared" si="16"/>
        <v>1</v>
      </c>
    </row>
    <row r="135" spans="2:51" s="287" customFormat="1" x14ac:dyDescent="0.25">
      <c r="C135" s="290"/>
      <c r="D135" s="302" t="s">
        <v>1067</v>
      </c>
      <c r="E135" s="303"/>
      <c r="F135" s="292"/>
      <c r="G135" s="292"/>
      <c r="H135" s="292"/>
      <c r="I135" s="292"/>
      <c r="J135" s="293"/>
      <c r="K135" s="294"/>
      <c r="L135" s="294"/>
      <c r="M135" s="294"/>
      <c r="N135" s="295">
        <f>SUM(O135:P135)</f>
        <v>3.47</v>
      </c>
      <c r="O135" s="295">
        <f>1+2.47</f>
        <v>3.47</v>
      </c>
      <c r="P135" s="295">
        <f>$P$4</f>
        <v>0</v>
      </c>
      <c r="Q135" s="295" t="s">
        <v>722</v>
      </c>
      <c r="R135" s="296">
        <f>SUM(R134:$AR134)*$N135/100</f>
        <v>10244.758599999999</v>
      </c>
      <c r="S135" s="296">
        <f>SUM(S134:$AR134)*$N135/100</f>
        <v>10244.758599999999</v>
      </c>
      <c r="T135" s="296">
        <f>SUM(T134:$AR134)*$N135/100</f>
        <v>9220.2827399999987</v>
      </c>
      <c r="U135" s="296">
        <f>SUM(U134:$AR134)*$N135/100</f>
        <v>8195.8068800000001</v>
      </c>
      <c r="V135" s="296">
        <f>SUM(V134:$AR134)*$N135/100</f>
        <v>7171.3310199999996</v>
      </c>
      <c r="W135" s="296">
        <f>SUM(W134:$AR134)*$N135/100</f>
        <v>6146.8551599999992</v>
      </c>
      <c r="X135" s="296">
        <f>SUM(X134:$AR134)*$N135/100</f>
        <v>5122.3793000000005</v>
      </c>
      <c r="Y135" s="296">
        <f>SUM(Y134:$AR134)*$N135/100</f>
        <v>4097.90344</v>
      </c>
      <c r="Z135" s="296">
        <f>SUM(Z134:$AR134)*$N135/100</f>
        <v>3073.4275799999996</v>
      </c>
      <c r="AA135" s="296">
        <f>SUM(AA134:$AR134)*$N135/100</f>
        <v>2048.95172</v>
      </c>
      <c r="AB135" s="296">
        <f>SUM(AB134:$AR134)*$N135/100</f>
        <v>1024.47586</v>
      </c>
      <c r="AC135" s="296"/>
      <c r="AD135" s="296"/>
      <c r="AE135" s="296"/>
      <c r="AF135" s="296"/>
      <c r="AG135" s="296"/>
      <c r="AH135" s="296"/>
      <c r="AI135" s="296"/>
      <c r="AJ135" s="296"/>
      <c r="AK135" s="296"/>
      <c r="AL135" s="296"/>
      <c r="AM135" s="296"/>
      <c r="AN135" s="296"/>
      <c r="AO135" s="296"/>
      <c r="AP135" s="296"/>
      <c r="AQ135" s="296"/>
      <c r="AR135" s="296"/>
      <c r="AS135" s="296"/>
      <c r="AT135" s="296"/>
      <c r="AU135" s="297">
        <f t="shared" si="14"/>
        <v>66590.930900000007</v>
      </c>
      <c r="AV135" s="285"/>
      <c r="AW135" s="298">
        <f t="shared" si="7"/>
        <v>10244.758599999999</v>
      </c>
      <c r="AX135" s="297">
        <f t="shared" si="15"/>
        <v>66590.930899999992</v>
      </c>
      <c r="AY135" s="288"/>
    </row>
    <row r="136" spans="2:51" s="287" customFormat="1" x14ac:dyDescent="0.25">
      <c r="C136" s="304">
        <v>66</v>
      </c>
      <c r="D136" s="277" t="s">
        <v>1068</v>
      </c>
      <c r="E136" s="278" t="s">
        <v>1060</v>
      </c>
      <c r="F136" s="303"/>
      <c r="G136" s="303">
        <v>2025</v>
      </c>
      <c r="H136" s="303">
        <v>2028</v>
      </c>
      <c r="I136" s="278" t="s">
        <v>718</v>
      </c>
      <c r="J136" s="305">
        <v>85000</v>
      </c>
      <c r="K136" s="306"/>
      <c r="L136" s="306"/>
      <c r="M136" s="306"/>
      <c r="N136" s="307"/>
      <c r="O136" s="307"/>
      <c r="P136" s="307"/>
      <c r="Q136" s="282" t="s">
        <v>719</v>
      </c>
      <c r="R136" s="301"/>
      <c r="S136" s="301">
        <f>$J$136/3</f>
        <v>28333.333333333332</v>
      </c>
      <c r="T136" s="301">
        <f>$J$136/3</f>
        <v>28333.333333333332</v>
      </c>
      <c r="U136" s="301">
        <f>$J$136/3</f>
        <v>28333.333333333332</v>
      </c>
      <c r="V136" s="301"/>
      <c r="W136" s="301"/>
      <c r="X136" s="301"/>
      <c r="Y136" s="301"/>
      <c r="Z136" s="301"/>
      <c r="AA136" s="301"/>
      <c r="AB136" s="301"/>
      <c r="AC136" s="301"/>
      <c r="AD136" s="301"/>
      <c r="AE136" s="301"/>
      <c r="AF136" s="301"/>
      <c r="AG136" s="301"/>
      <c r="AH136" s="301"/>
      <c r="AI136" s="301"/>
      <c r="AJ136" s="301"/>
      <c r="AK136" s="301"/>
      <c r="AL136" s="301"/>
      <c r="AM136" s="301"/>
      <c r="AN136" s="301"/>
      <c r="AO136" s="301"/>
      <c r="AP136" s="301"/>
      <c r="AQ136" s="301"/>
      <c r="AR136" s="301"/>
      <c r="AS136" s="301"/>
      <c r="AT136" s="301"/>
      <c r="AU136" s="284">
        <f t="shared" si="14"/>
        <v>85000</v>
      </c>
      <c r="AV136" s="285"/>
      <c r="AW136" s="286">
        <f t="shared" si="7"/>
        <v>0</v>
      </c>
      <c r="AX136" s="284">
        <f t="shared" si="15"/>
        <v>85000</v>
      </c>
      <c r="AY136" s="288"/>
    </row>
    <row r="137" spans="2:51" s="287" customFormat="1" x14ac:dyDescent="0.25">
      <c r="C137" s="304"/>
      <c r="D137" s="303"/>
      <c r="E137" s="303"/>
      <c r="F137" s="303"/>
      <c r="G137" s="303"/>
      <c r="H137" s="303"/>
      <c r="I137" s="303"/>
      <c r="J137" s="305"/>
      <c r="K137" s="306"/>
      <c r="L137" s="306"/>
      <c r="M137" s="306"/>
      <c r="N137" s="295">
        <f>SUM(O137:P137)</f>
        <v>3.47</v>
      </c>
      <c r="O137" s="295">
        <f>1+2.47</f>
        <v>3.47</v>
      </c>
      <c r="P137" s="295">
        <f>$P$4</f>
        <v>0</v>
      </c>
      <c r="Q137" s="295" t="s">
        <v>722</v>
      </c>
      <c r="R137" s="296">
        <f>SUM(R136:$AR136)*$N137/100</f>
        <v>2949.5</v>
      </c>
      <c r="S137" s="296">
        <f>SUM(S136:$AR136)*$N137/100</f>
        <v>2949.5</v>
      </c>
      <c r="T137" s="296">
        <f>SUM(T136:$AR136)*$N137/100</f>
        <v>1966.3333333333335</v>
      </c>
      <c r="U137" s="296">
        <f>SUM(U136:$AR136)*$N137/100</f>
        <v>983.16666666666674</v>
      </c>
      <c r="V137" s="301"/>
      <c r="W137" s="301"/>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c r="AU137" s="297">
        <f t="shared" si="14"/>
        <v>8848.5</v>
      </c>
      <c r="AV137" s="285"/>
      <c r="AW137" s="298">
        <f t="shared" si="7"/>
        <v>0</v>
      </c>
      <c r="AX137" s="297">
        <f t="shared" si="15"/>
        <v>8848.5</v>
      </c>
      <c r="AY137" s="288"/>
    </row>
    <row r="138" spans="2:51" s="287" customFormat="1" x14ac:dyDescent="0.25">
      <c r="B138" s="275" t="s">
        <v>712</v>
      </c>
      <c r="C138" s="276">
        <v>67</v>
      </c>
      <c r="D138" s="277" t="s">
        <v>1069</v>
      </c>
      <c r="E138" s="278" t="s">
        <v>1060</v>
      </c>
      <c r="F138" s="278"/>
      <c r="G138" s="278">
        <v>2026</v>
      </c>
      <c r="H138" s="278">
        <v>2038</v>
      </c>
      <c r="I138" s="278" t="s">
        <v>718</v>
      </c>
      <c r="J138" s="305">
        <v>512760</v>
      </c>
      <c r="K138" s="280"/>
      <c r="L138" s="280"/>
      <c r="M138" s="280"/>
      <c r="N138" s="281"/>
      <c r="O138" s="281"/>
      <c r="P138" s="281"/>
      <c r="Q138" s="282" t="s">
        <v>719</v>
      </c>
      <c r="R138" s="283"/>
      <c r="S138" s="283">
        <f>$J$138/12/2</f>
        <v>21365</v>
      </c>
      <c r="T138" s="283">
        <f>$J$138/12</f>
        <v>42730</v>
      </c>
      <c r="U138" s="283">
        <f t="shared" ref="U138:AD138" si="19">$J$138/12</f>
        <v>42730</v>
      </c>
      <c r="V138" s="283">
        <f t="shared" si="19"/>
        <v>42730</v>
      </c>
      <c r="W138" s="283">
        <f t="shared" si="19"/>
        <v>42730</v>
      </c>
      <c r="X138" s="283">
        <f t="shared" si="19"/>
        <v>42730</v>
      </c>
      <c r="Y138" s="283">
        <f t="shared" si="19"/>
        <v>42730</v>
      </c>
      <c r="Z138" s="283">
        <f t="shared" si="19"/>
        <v>42730</v>
      </c>
      <c r="AA138" s="283">
        <f t="shared" si="19"/>
        <v>42730</v>
      </c>
      <c r="AB138" s="283">
        <f t="shared" si="19"/>
        <v>42730</v>
      </c>
      <c r="AC138" s="283">
        <f t="shared" si="19"/>
        <v>42730</v>
      </c>
      <c r="AD138" s="283">
        <f t="shared" si="19"/>
        <v>42730</v>
      </c>
      <c r="AE138" s="283">
        <f>$J$138/12/2</f>
        <v>21365</v>
      </c>
      <c r="AF138" s="283"/>
      <c r="AG138" s="283"/>
      <c r="AH138" s="283"/>
      <c r="AI138" s="283"/>
      <c r="AJ138" s="283"/>
      <c r="AK138" s="283"/>
      <c r="AL138" s="283"/>
      <c r="AM138" s="283"/>
      <c r="AN138" s="283"/>
      <c r="AO138" s="283"/>
      <c r="AP138" s="283"/>
      <c r="AQ138" s="283"/>
      <c r="AR138" s="283"/>
      <c r="AS138" s="283"/>
      <c r="AT138" s="283"/>
      <c r="AU138" s="284">
        <f>SUM(R138:AT138)</f>
        <v>512760</v>
      </c>
      <c r="AV138" s="285">
        <f t="shared" si="6"/>
        <v>0</v>
      </c>
      <c r="AW138" s="286">
        <f t="shared" si="7"/>
        <v>277745</v>
      </c>
      <c r="AX138" s="284">
        <f>SUM(R138:X138,AW138)</f>
        <v>512760</v>
      </c>
      <c r="AY138" s="288" t="b">
        <f t="shared" si="16"/>
        <v>1</v>
      </c>
    </row>
    <row r="139" spans="2:51" s="287" customFormat="1" x14ac:dyDescent="0.25">
      <c r="B139" s="289" t="s">
        <v>712</v>
      </c>
      <c r="C139" s="290"/>
      <c r="D139" s="292"/>
      <c r="E139" s="292"/>
      <c r="F139" s="292"/>
      <c r="G139" s="292"/>
      <c r="H139" s="292"/>
      <c r="I139" s="292"/>
      <c r="J139" s="293"/>
      <c r="K139" s="294"/>
      <c r="L139" s="294"/>
      <c r="M139" s="294"/>
      <c r="N139" s="295">
        <f>SUM(O139:P139)</f>
        <v>4.1930000000000005</v>
      </c>
      <c r="O139" s="295">
        <f>1.723+2.47</f>
        <v>4.1930000000000005</v>
      </c>
      <c r="P139" s="295">
        <f>$P$4</f>
        <v>0</v>
      </c>
      <c r="Q139" s="295" t="s">
        <v>722</v>
      </c>
      <c r="R139" s="296">
        <f>SUM(R138:$AR138)*$N139/100-116</f>
        <v>21384.026800000003</v>
      </c>
      <c r="S139" s="296">
        <f>SUM(S138:$AR138)*$N139/100</f>
        <v>21500.026800000003</v>
      </c>
      <c r="T139" s="296">
        <f>SUM(T138:$AR138)*$N139/100</f>
        <v>20604.192350000005</v>
      </c>
      <c r="U139" s="296">
        <f>SUM(U138:$AR138)*$N139/100</f>
        <v>18812.523450000001</v>
      </c>
      <c r="V139" s="296">
        <f>SUM(V138:$AR138)*$N139/100</f>
        <v>17020.854550000004</v>
      </c>
      <c r="W139" s="296">
        <f>SUM(W138:$AR138)*$N139/100</f>
        <v>15229.185650000001</v>
      </c>
      <c r="X139" s="296">
        <f>SUM(X138:$AR138)*$N139/100</f>
        <v>13437.516750000001</v>
      </c>
      <c r="Y139" s="296">
        <f>SUM(Y138:$AR138)*$N139/100</f>
        <v>11645.847850000002</v>
      </c>
      <c r="Z139" s="296">
        <f>SUM(Z138:$AR138)*$N139/100</f>
        <v>9854.1789500000014</v>
      </c>
      <c r="AA139" s="296">
        <f>SUM(AA138:$AR138)*$N139/100</f>
        <v>8062.5100500000008</v>
      </c>
      <c r="AB139" s="296">
        <f>SUM(AB138:$AR138)*$N139/100</f>
        <v>6270.8411500000011</v>
      </c>
      <c r="AC139" s="296">
        <f>SUM(AC138:$AR138)*$N139/100</f>
        <v>4479.1722500000005</v>
      </c>
      <c r="AD139" s="296">
        <f>SUM(AD138:$AR138)*$N139/100</f>
        <v>2687.5033500000004</v>
      </c>
      <c r="AE139" s="296">
        <f>SUM(AE138:$AR138)*$N139/100</f>
        <v>895.83445000000006</v>
      </c>
      <c r="AF139" s="296">
        <f>SUM(AF138:$AR138)*$N139/100</f>
        <v>0</v>
      </c>
      <c r="AG139" s="296">
        <f>SUM(AG138:$AR138)*$N139/100</f>
        <v>0</v>
      </c>
      <c r="AH139" s="296">
        <f>SUM(AH138:$AR138)*$N139/100</f>
        <v>0</v>
      </c>
      <c r="AI139" s="296">
        <f>SUM(AI138:$AR138)*$N139/100</f>
        <v>0</v>
      </c>
      <c r="AJ139" s="296">
        <f>SUM(AJ138:$AR138)*$N139/100</f>
        <v>0</v>
      </c>
      <c r="AK139" s="296">
        <f>SUM(AK138:$AR138)*$N139/100</f>
        <v>0</v>
      </c>
      <c r="AL139" s="296"/>
      <c r="AM139" s="296"/>
      <c r="AN139" s="296"/>
      <c r="AO139" s="296"/>
      <c r="AP139" s="296"/>
      <c r="AQ139" s="296"/>
      <c r="AR139" s="296"/>
      <c r="AS139" s="296"/>
      <c r="AT139" s="296"/>
      <c r="AU139" s="297">
        <f>SUM(R139:AT139)</f>
        <v>171884.21440000003</v>
      </c>
      <c r="AV139" s="300">
        <f t="shared" si="6"/>
        <v>0</v>
      </c>
      <c r="AW139" s="298">
        <f t="shared" si="7"/>
        <v>43895.888050000009</v>
      </c>
      <c r="AX139" s="297">
        <f t="shared" ref="AX139:AX144" si="20">SUM(R139:X139,AW139)</f>
        <v>171884.21440000003</v>
      </c>
      <c r="AY139" s="288"/>
    </row>
    <row r="140" spans="2:51" x14ac:dyDescent="0.25">
      <c r="J140" s="308"/>
      <c r="K140" s="308"/>
      <c r="L140" s="308"/>
      <c r="M140" s="308"/>
      <c r="N140" s="309"/>
      <c r="O140" s="309"/>
      <c r="P140" s="309"/>
      <c r="Q140" s="310"/>
      <c r="S140" s="308"/>
      <c r="T140" s="308"/>
      <c r="U140" s="308"/>
      <c r="V140" s="308"/>
      <c r="W140" s="308"/>
      <c r="X140" s="308"/>
      <c r="Y140" s="308"/>
      <c r="Z140" s="308"/>
      <c r="AA140" s="308"/>
      <c r="AB140" s="308"/>
      <c r="AC140" s="308"/>
      <c r="AD140" s="308"/>
      <c r="AE140" s="308"/>
      <c r="AF140" s="308"/>
      <c r="AG140" s="308"/>
      <c r="AH140" s="308"/>
      <c r="AI140" s="308"/>
      <c r="AJ140" s="308"/>
      <c r="AK140" s="308"/>
      <c r="AL140" s="308"/>
      <c r="AM140" s="308"/>
      <c r="AN140" s="308"/>
      <c r="AO140" s="308"/>
      <c r="AP140" s="308"/>
      <c r="AQ140" s="308"/>
      <c r="AR140" s="308"/>
      <c r="AS140" s="308"/>
      <c r="AT140" s="308"/>
      <c r="AU140" s="308"/>
      <c r="AV140" s="300">
        <f t="shared" si="6"/>
        <v>0</v>
      </c>
      <c r="AW140" s="308">
        <f t="shared" si="7"/>
        <v>0</v>
      </c>
      <c r="AX140" s="308">
        <f t="shared" si="20"/>
        <v>0</v>
      </c>
    </row>
    <row r="141" spans="2:51" outlineLevel="1" x14ac:dyDescent="0.25">
      <c r="J141" s="311">
        <f>SUM(J6:J139)</f>
        <v>81786927.709999993</v>
      </c>
      <c r="K141" s="308"/>
      <c r="L141" s="308"/>
      <c r="M141" s="308"/>
      <c r="N141" s="309"/>
      <c r="O141" s="309"/>
      <c r="P141" s="309"/>
      <c r="Q141" s="309"/>
      <c r="S141" s="308"/>
      <c r="T141" s="308"/>
      <c r="U141" s="308"/>
      <c r="V141" s="308"/>
      <c r="W141" s="308"/>
      <c r="X141" s="308"/>
      <c r="Y141" s="308"/>
      <c r="Z141" s="308"/>
      <c r="AA141" s="308"/>
      <c r="AB141" s="308"/>
      <c r="AC141" s="308"/>
      <c r="AD141" s="308"/>
      <c r="AE141" s="308"/>
      <c r="AF141" s="308"/>
      <c r="AG141" s="308"/>
      <c r="AH141" s="308"/>
      <c r="AI141" s="308"/>
      <c r="AJ141" s="308"/>
      <c r="AK141" s="308"/>
      <c r="AL141" s="308"/>
      <c r="AM141" s="308"/>
      <c r="AN141" s="308"/>
      <c r="AO141" s="308"/>
      <c r="AP141" s="308"/>
      <c r="AQ141" s="308"/>
      <c r="AR141" s="308"/>
      <c r="AS141" s="308"/>
      <c r="AT141" s="308"/>
      <c r="AU141" s="308"/>
      <c r="AV141" s="300">
        <f>AU141-SUM(R141:AT141)</f>
        <v>0</v>
      </c>
      <c r="AW141" s="308">
        <f>SUM(Y141:AT141)</f>
        <v>0</v>
      </c>
      <c r="AX141" s="308">
        <f t="shared" si="20"/>
        <v>0</v>
      </c>
    </row>
    <row r="142" spans="2:51" s="228" customFormat="1" x14ac:dyDescent="0.25">
      <c r="E142" s="261"/>
      <c r="H142" s="312"/>
      <c r="I142" s="313"/>
      <c r="J142" s="242"/>
      <c r="K142" s="314">
        <f>SUM(K6:K139)</f>
        <v>47956936.93</v>
      </c>
      <c r="L142" s="242"/>
      <c r="M142" s="242"/>
      <c r="N142" s="315">
        <f>AVERAGE(N7:N139)</f>
        <v>3.4949552238805968</v>
      </c>
      <c r="O142" s="316">
        <v>3467034.49</v>
      </c>
      <c r="P142" s="308">
        <f>R142-'[1]Līgumu saraksts_2025'!R153</f>
        <v>238661.79999999981</v>
      </c>
      <c r="Q142" s="317" t="s">
        <v>719</v>
      </c>
      <c r="R142" s="318">
        <f t="shared" ref="R142:AG143" si="21">SUMIF($Q$6:$Q$139,$Q142,R$6:R$139)</f>
        <v>3702737.49</v>
      </c>
      <c r="S142" s="318">
        <f t="shared" si="21"/>
        <v>4284189.0933333328</v>
      </c>
      <c r="T142" s="318">
        <f t="shared" si="21"/>
        <v>3791880.8169444441</v>
      </c>
      <c r="U142" s="318">
        <f t="shared" si="21"/>
        <v>4231749.3251709398</v>
      </c>
      <c r="V142" s="318">
        <f t="shared" si="21"/>
        <v>4125322.9918376068</v>
      </c>
      <c r="W142" s="318">
        <f t="shared" si="21"/>
        <v>4070961.9918376068</v>
      </c>
      <c r="X142" s="318">
        <f t="shared" si="21"/>
        <v>3962242.8518376062</v>
      </c>
      <c r="Y142" s="318">
        <f t="shared" si="21"/>
        <v>3303615.7418376068</v>
      </c>
      <c r="Z142" s="318">
        <f t="shared" si="21"/>
        <v>3101574.7818376068</v>
      </c>
      <c r="AA142" s="318">
        <f t="shared" si="21"/>
        <v>2712035.7918376066</v>
      </c>
      <c r="AB142" s="318">
        <f t="shared" si="21"/>
        <v>2531225.2293376066</v>
      </c>
      <c r="AC142" s="318">
        <f t="shared" si="21"/>
        <v>2319757.816837607</v>
      </c>
      <c r="AD142" s="318">
        <f t="shared" si="21"/>
        <v>2208945.106837607</v>
      </c>
      <c r="AE142" s="318">
        <f t="shared" si="21"/>
        <v>2073376.1068376068</v>
      </c>
      <c r="AF142" s="318">
        <f t="shared" si="21"/>
        <v>1979883.1068376068</v>
      </c>
      <c r="AG142" s="318">
        <f t="shared" si="21"/>
        <v>1938833.1468376068</v>
      </c>
      <c r="AH142" s="318">
        <f t="shared" ref="AH142:AT143" si="22">SUMIF($Q$6:$Q$139,$Q142,AH$6:AH$139)</f>
        <v>1728696.7922222223</v>
      </c>
      <c r="AI142" s="318">
        <f t="shared" si="22"/>
        <v>1721683.7222222222</v>
      </c>
      <c r="AJ142" s="318">
        <f t="shared" si="22"/>
        <v>1721683.7222222222</v>
      </c>
      <c r="AK142" s="318">
        <f t="shared" si="22"/>
        <v>1721683.7222222222</v>
      </c>
      <c r="AL142" s="318">
        <f t="shared" si="22"/>
        <v>1453015.861111111</v>
      </c>
      <c r="AM142" s="318">
        <f t="shared" si="22"/>
        <v>1184348</v>
      </c>
      <c r="AN142" s="318">
        <f t="shared" si="22"/>
        <v>1184348</v>
      </c>
      <c r="AO142" s="318">
        <f t="shared" si="22"/>
        <v>867315.83000000007</v>
      </c>
      <c r="AP142" s="318">
        <f t="shared" si="22"/>
        <v>452632</v>
      </c>
      <c r="AQ142" s="318">
        <f t="shared" si="22"/>
        <v>409981</v>
      </c>
      <c r="AR142" s="318">
        <f t="shared" si="22"/>
        <v>55587.92</v>
      </c>
      <c r="AS142" s="318">
        <f t="shared" si="22"/>
        <v>0</v>
      </c>
      <c r="AT142" s="318">
        <f t="shared" si="22"/>
        <v>0</v>
      </c>
      <c r="AU142" s="318">
        <f>SUM(R142:AT142)</f>
        <v>62839307.960000001</v>
      </c>
      <c r="AV142" s="300">
        <f>AU142-SUM(R142:AT142)</f>
        <v>0</v>
      </c>
      <c r="AW142" s="318">
        <f>SUM(Y142:AT142)</f>
        <v>34670223.399038471</v>
      </c>
      <c r="AX142" s="318">
        <f t="shared" si="20"/>
        <v>62839307.960000008</v>
      </c>
    </row>
    <row r="143" spans="2:51" x14ac:dyDescent="0.25">
      <c r="H143" s="312"/>
      <c r="J143" s="242"/>
      <c r="K143" s="214"/>
      <c r="L143" s="214"/>
      <c r="M143" s="214"/>
      <c r="N143" s="214">
        <f>R143-O143</f>
        <v>10000.020440000109</v>
      </c>
      <c r="O143" s="319">
        <v>2042431.3688650005</v>
      </c>
      <c r="P143" s="308">
        <f>R143-'[1]Līgumu saraksts_2025'!R154</f>
        <v>-123649.84848539997</v>
      </c>
      <c r="Q143" s="320" t="s">
        <v>722</v>
      </c>
      <c r="R143" s="321">
        <f t="shared" si="21"/>
        <v>2052431.3893050007</v>
      </c>
      <c r="S143" s="321">
        <f t="shared" si="21"/>
        <v>2222786.7019227999</v>
      </c>
      <c r="T143" s="321">
        <f t="shared" si="21"/>
        <v>2065160.0721181328</v>
      </c>
      <c r="U143" s="321">
        <f t="shared" si="21"/>
        <v>1924852.4314520529</v>
      </c>
      <c r="V143" s="321">
        <f t="shared" si="21"/>
        <v>1766261.2303333585</v>
      </c>
      <c r="W143" s="321">
        <f t="shared" si="21"/>
        <v>1611381.4694113305</v>
      </c>
      <c r="X143" s="321">
        <f t="shared" si="21"/>
        <v>1458631.6137193027</v>
      </c>
      <c r="Y143" s="321">
        <f t="shared" si="21"/>
        <v>1309913.4743222748</v>
      </c>
      <c r="Z143" s="321">
        <f t="shared" si="21"/>
        <v>1184085.068798247</v>
      </c>
      <c r="AA143" s="321">
        <f t="shared" si="21"/>
        <v>1066469.7926724192</v>
      </c>
      <c r="AB143" s="321">
        <f t="shared" si="21"/>
        <v>963270.30234839173</v>
      </c>
      <c r="AC143" s="321">
        <f t="shared" si="21"/>
        <v>867146.2653899889</v>
      </c>
      <c r="AD143" s="321">
        <f t="shared" si="21"/>
        <v>779065.94145221112</v>
      </c>
      <c r="AE143" s="321">
        <f t="shared" si="21"/>
        <v>694919.46871943329</v>
      </c>
      <c r="AF143" s="321">
        <f t="shared" si="21"/>
        <v>615990.3233966555</v>
      </c>
      <c r="AG143" s="321">
        <f t="shared" si="21"/>
        <v>540733.17376387771</v>
      </c>
      <c r="AH143" s="321">
        <f t="shared" si="22"/>
        <v>466685.53863749997</v>
      </c>
      <c r="AI143" s="321">
        <f t="shared" si="22"/>
        <v>400865.28293972224</v>
      </c>
      <c r="AJ143" s="321">
        <f t="shared" si="22"/>
        <v>335293.99122694443</v>
      </c>
      <c r="AK143" s="321">
        <f t="shared" si="22"/>
        <v>269722.69951416668</v>
      </c>
      <c r="AL143" s="321">
        <f t="shared" si="22"/>
        <v>204151.40780138888</v>
      </c>
      <c r="AM143" s="321">
        <f t="shared" si="22"/>
        <v>149845.35950499997</v>
      </c>
      <c r="AN143" s="321">
        <f t="shared" si="22"/>
        <v>106804.55462499999</v>
      </c>
      <c r="AO143" s="321">
        <f t="shared" si="22"/>
        <v>63763.749744999986</v>
      </c>
      <c r="AP143" s="321">
        <f t="shared" si="22"/>
        <v>32654.391700000004</v>
      </c>
      <c r="AQ143" s="321">
        <f t="shared" si="22"/>
        <v>16552.664819999998</v>
      </c>
      <c r="AR143" s="321">
        <f t="shared" si="22"/>
        <v>1973.3711599999997</v>
      </c>
      <c r="AS143" s="321">
        <f t="shared" si="22"/>
        <v>0</v>
      </c>
      <c r="AT143" s="321">
        <f t="shared" si="22"/>
        <v>0</v>
      </c>
      <c r="AU143" s="321">
        <f>SUM(R143:AT143)</f>
        <v>23171411.730800208</v>
      </c>
      <c r="AV143" s="300">
        <f>AU143-SUM(R143:AT143)</f>
        <v>0</v>
      </c>
      <c r="AW143" s="321">
        <f>SUM(Y143:AT143)</f>
        <v>10069906.822538225</v>
      </c>
      <c r="AX143" s="321">
        <f t="shared" si="20"/>
        <v>23171411.730800204</v>
      </c>
    </row>
    <row r="144" spans="2:51" s="261" customFormat="1" x14ac:dyDescent="0.25">
      <c r="H144" s="312"/>
      <c r="J144" s="242"/>
      <c r="O144" s="322">
        <v>5509465.8588650003</v>
      </c>
      <c r="P144" s="308"/>
      <c r="Q144" s="317" t="s">
        <v>1070</v>
      </c>
      <c r="R144" s="323">
        <f>SUM(R142:R143)</f>
        <v>5755168.8793050013</v>
      </c>
      <c r="S144" s="323">
        <f t="shared" ref="S144:AT144" si="23">SUM(S142:S143)</f>
        <v>6506975.7952561323</v>
      </c>
      <c r="T144" s="323">
        <f t="shared" si="23"/>
        <v>5857040.8890625769</v>
      </c>
      <c r="U144" s="323">
        <f t="shared" si="23"/>
        <v>6156601.7566229925</v>
      </c>
      <c r="V144" s="323">
        <f t="shared" si="23"/>
        <v>5891584.2221709657</v>
      </c>
      <c r="W144" s="323">
        <f t="shared" si="23"/>
        <v>5682343.4612489371</v>
      </c>
      <c r="X144" s="323">
        <f t="shared" si="23"/>
        <v>5420874.4655569084</v>
      </c>
      <c r="Y144" s="323">
        <f t="shared" si="23"/>
        <v>4613529.216159882</v>
      </c>
      <c r="Z144" s="323">
        <f t="shared" si="23"/>
        <v>4285659.8506358536</v>
      </c>
      <c r="AA144" s="323">
        <f t="shared" si="23"/>
        <v>3778505.5845100256</v>
      </c>
      <c r="AB144" s="323">
        <f t="shared" si="23"/>
        <v>3494495.5316859982</v>
      </c>
      <c r="AC144" s="323">
        <f t="shared" si="23"/>
        <v>3186904.0822275961</v>
      </c>
      <c r="AD144" s="323">
        <f t="shared" si="23"/>
        <v>2988011.0482898182</v>
      </c>
      <c r="AE144" s="323">
        <f t="shared" si="23"/>
        <v>2768295.5755570401</v>
      </c>
      <c r="AF144" s="323">
        <f t="shared" si="23"/>
        <v>2595873.4302342623</v>
      </c>
      <c r="AG144" s="323">
        <f t="shared" si="23"/>
        <v>2479566.3206014847</v>
      </c>
      <c r="AH144" s="323">
        <f t="shared" si="23"/>
        <v>2195382.3308597221</v>
      </c>
      <c r="AI144" s="323">
        <f t="shared" si="23"/>
        <v>2122549.0051619443</v>
      </c>
      <c r="AJ144" s="323">
        <f t="shared" si="23"/>
        <v>2056977.7134491666</v>
      </c>
      <c r="AK144" s="323">
        <f t="shared" si="23"/>
        <v>1991406.4217363889</v>
      </c>
      <c r="AL144" s="323">
        <f t="shared" si="23"/>
        <v>1657167.2689124998</v>
      </c>
      <c r="AM144" s="323">
        <f t="shared" si="23"/>
        <v>1334193.3595050001</v>
      </c>
      <c r="AN144" s="323">
        <f t="shared" si="23"/>
        <v>1291152.5546249999</v>
      </c>
      <c r="AO144" s="323">
        <f t="shared" si="23"/>
        <v>931079.57974500011</v>
      </c>
      <c r="AP144" s="323">
        <f t="shared" si="23"/>
        <v>485286.39169999998</v>
      </c>
      <c r="AQ144" s="323">
        <f t="shared" si="23"/>
        <v>426533.66482000001</v>
      </c>
      <c r="AR144" s="323">
        <f t="shared" si="23"/>
        <v>57561.291160000001</v>
      </c>
      <c r="AS144" s="323">
        <f t="shared" si="23"/>
        <v>0</v>
      </c>
      <c r="AT144" s="323">
        <f t="shared" si="23"/>
        <v>0</v>
      </c>
      <c r="AU144" s="323">
        <f>SUM(R144:AT144)</f>
        <v>86010719.69080019</v>
      </c>
      <c r="AV144" s="300">
        <f>AU144-SUM(R144:AT144)</f>
        <v>0</v>
      </c>
      <c r="AW144" s="323">
        <f>SUM(Y144:AT144)</f>
        <v>44740130.221576676</v>
      </c>
      <c r="AX144" s="323">
        <f t="shared" si="20"/>
        <v>86010719.69080019</v>
      </c>
    </row>
    <row r="145" spans="2:50" x14ac:dyDescent="0.25">
      <c r="K145" s="261"/>
      <c r="R145" s="324"/>
      <c r="S145" s="325"/>
      <c r="T145" s="325"/>
      <c r="U145" s="214"/>
      <c r="V145" s="214"/>
      <c r="W145" s="214"/>
      <c r="AX145" s="214"/>
    </row>
    <row r="146" spans="2:50" x14ac:dyDescent="0.25">
      <c r="I146" s="326"/>
      <c r="J146" s="327"/>
      <c r="K146" s="261"/>
      <c r="R146" s="324"/>
      <c r="S146" s="328"/>
      <c r="T146" s="325"/>
      <c r="U146" s="329"/>
      <c r="V146" s="329"/>
      <c r="W146" s="329"/>
      <c r="X146" s="329"/>
      <c r="Y146" s="329"/>
      <c r="Z146" s="329"/>
      <c r="AA146" s="329"/>
      <c r="AB146" s="329"/>
      <c r="AC146" s="329"/>
      <c r="AD146" s="329"/>
      <c r="AE146" s="329"/>
      <c r="AF146" s="329"/>
      <c r="AG146" s="329"/>
      <c r="AH146" s="329"/>
      <c r="AI146" s="329"/>
      <c r="AJ146" s="329"/>
      <c r="AK146" s="329"/>
      <c r="AL146" s="329"/>
      <c r="AM146" s="329"/>
      <c r="AN146" s="329"/>
      <c r="AO146" s="329"/>
      <c r="AP146" s="329"/>
      <c r="AQ146" s="329"/>
      <c r="AR146" s="329"/>
      <c r="AS146" s="329"/>
      <c r="AT146" s="329"/>
      <c r="AU146" s="329"/>
      <c r="AV146" s="329"/>
      <c r="AW146" s="329"/>
      <c r="AX146" s="329"/>
    </row>
    <row r="147" spans="2:50" x14ac:dyDescent="0.25">
      <c r="I147" s="326"/>
      <c r="J147" s="327"/>
      <c r="K147" s="261"/>
      <c r="R147" s="324"/>
      <c r="S147" s="328"/>
      <c r="T147" s="325"/>
      <c r="W147" s="214"/>
      <c r="X147" s="329"/>
      <c r="Y147" s="329"/>
      <c r="Z147" s="329"/>
      <c r="AA147" s="329"/>
      <c r="AB147" s="329"/>
      <c r="AC147" s="329"/>
      <c r="AD147" s="329"/>
      <c r="AE147" s="329"/>
      <c r="AF147" s="329"/>
      <c r="AG147" s="329"/>
      <c r="AH147" s="329"/>
      <c r="AI147" s="329"/>
      <c r="AJ147" s="329"/>
      <c r="AK147" s="329"/>
      <c r="AL147" s="329"/>
      <c r="AM147" s="329"/>
      <c r="AN147" s="329"/>
      <c r="AO147" s="329"/>
      <c r="AP147" s="329"/>
      <c r="AQ147" s="329"/>
      <c r="AR147" s="329"/>
      <c r="AS147" s="329"/>
      <c r="AT147" s="329"/>
      <c r="AU147" s="329"/>
      <c r="AV147" s="329"/>
      <c r="AW147" s="329"/>
      <c r="AX147" s="329"/>
    </row>
    <row r="148" spans="2:50" ht="15.75" x14ac:dyDescent="0.25">
      <c r="C148" s="215" t="s">
        <v>1071</v>
      </c>
      <c r="J148" s="330"/>
    </row>
    <row r="149" spans="2:50" ht="60" x14ac:dyDescent="0.25">
      <c r="C149" s="222" t="s">
        <v>694</v>
      </c>
      <c r="D149" s="222" t="s">
        <v>1072</v>
      </c>
      <c r="E149" s="222" t="s">
        <v>1073</v>
      </c>
      <c r="F149" s="222" t="s">
        <v>1074</v>
      </c>
      <c r="G149" s="222" t="s">
        <v>698</v>
      </c>
      <c r="H149" s="222" t="s">
        <v>699</v>
      </c>
      <c r="I149" s="222" t="s">
        <v>700</v>
      </c>
      <c r="J149" s="224" t="s">
        <v>1075</v>
      </c>
      <c r="K149" s="224" t="s">
        <v>702</v>
      </c>
      <c r="L149" s="224" t="s">
        <v>703</v>
      </c>
      <c r="M149" s="224" t="s">
        <v>704</v>
      </c>
      <c r="N149" s="224" t="s">
        <v>705</v>
      </c>
      <c r="O149" s="224" t="s">
        <v>706</v>
      </c>
      <c r="P149" s="224" t="s">
        <v>707</v>
      </c>
      <c r="Q149" s="226" t="s">
        <v>708</v>
      </c>
      <c r="R149" s="223">
        <v>2025</v>
      </c>
      <c r="S149" s="223">
        <v>2026</v>
      </c>
      <c r="T149" s="223">
        <v>2027</v>
      </c>
      <c r="U149" s="223">
        <v>2028</v>
      </c>
      <c r="V149" s="223">
        <v>2029</v>
      </c>
      <c r="W149" s="223">
        <v>2030</v>
      </c>
      <c r="X149" s="223">
        <v>2031</v>
      </c>
      <c r="Y149" s="223">
        <v>2032</v>
      </c>
      <c r="Z149" s="223">
        <v>2033</v>
      </c>
      <c r="AA149" s="223">
        <v>2034</v>
      </c>
      <c r="AB149" s="223">
        <v>2035</v>
      </c>
      <c r="AC149" s="223">
        <v>2036</v>
      </c>
      <c r="AD149" s="223">
        <v>2037</v>
      </c>
      <c r="AE149" s="223">
        <v>2038</v>
      </c>
      <c r="AF149" s="223">
        <v>2039</v>
      </c>
      <c r="AG149" s="223">
        <v>2040</v>
      </c>
      <c r="AH149" s="223">
        <v>2041</v>
      </c>
      <c r="AI149" s="223">
        <v>2042</v>
      </c>
      <c r="AJ149" s="223">
        <v>2043</v>
      </c>
      <c r="AK149" s="223">
        <v>2044</v>
      </c>
      <c r="AL149" s="223">
        <v>2045</v>
      </c>
      <c r="AM149" s="223">
        <v>2046</v>
      </c>
      <c r="AN149" s="223">
        <v>2047</v>
      </c>
      <c r="AO149" s="223">
        <v>2048</v>
      </c>
      <c r="AP149" s="223">
        <v>2049</v>
      </c>
      <c r="AQ149" s="223">
        <v>2050</v>
      </c>
      <c r="AR149" s="223">
        <v>2051</v>
      </c>
      <c r="AS149" s="223">
        <v>2052</v>
      </c>
      <c r="AT149" s="223">
        <v>2053</v>
      </c>
      <c r="AU149" s="222" t="s">
        <v>709</v>
      </c>
      <c r="AW149" s="221" t="s">
        <v>710</v>
      </c>
      <c r="AX149" s="222" t="s">
        <v>711</v>
      </c>
    </row>
    <row r="150" spans="2:50" s="228" customFormat="1" x14ac:dyDescent="0.25">
      <c r="B150" s="229"/>
      <c r="C150" s="231">
        <v>1</v>
      </c>
      <c r="D150" s="231" t="s">
        <v>1076</v>
      </c>
      <c r="E150" s="232" t="s">
        <v>1077</v>
      </c>
      <c r="F150" s="231"/>
      <c r="G150" s="233">
        <v>3.2017000000000002</v>
      </c>
      <c r="H150" s="233">
        <v>3.2031999999999998</v>
      </c>
      <c r="I150" s="233" t="s">
        <v>718</v>
      </c>
      <c r="J150" s="234">
        <v>129553</v>
      </c>
      <c r="K150" s="235"/>
      <c r="L150" s="235"/>
      <c r="M150" s="235"/>
      <c r="N150" s="236"/>
      <c r="O150" s="236"/>
      <c r="P150" s="236"/>
      <c r="Q150" s="236" t="s">
        <v>719</v>
      </c>
      <c r="R150" s="237">
        <v>8936</v>
      </c>
      <c r="S150" s="237">
        <v>8936</v>
      </c>
      <c r="T150" s="237">
        <v>8936</v>
      </c>
      <c r="U150" s="237">
        <v>8936</v>
      </c>
      <c r="V150" s="237">
        <v>8936</v>
      </c>
      <c r="W150" s="237">
        <v>8936</v>
      </c>
      <c r="X150" s="237">
        <v>8936</v>
      </c>
      <c r="Y150" s="237">
        <v>2234</v>
      </c>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41">
        <f t="shared" ref="AU150:AU156" si="24">SUM(R150:AT150)</f>
        <v>64786</v>
      </c>
      <c r="AV150" s="331"/>
      <c r="AW150" s="240">
        <f t="shared" ref="AW150:AW156" si="25">SUM(Y150:AT150)</f>
        <v>2234</v>
      </c>
      <c r="AX150" s="241">
        <f t="shared" ref="AX150:AX156" si="26">SUM(R150:X150,AW150)</f>
        <v>64786</v>
      </c>
    </row>
    <row r="151" spans="2:50" x14ac:dyDescent="0.25">
      <c r="B151" s="243"/>
      <c r="C151" s="247"/>
      <c r="D151" s="247"/>
      <c r="E151" s="246"/>
      <c r="F151" s="247"/>
      <c r="G151" s="247"/>
      <c r="H151" s="247"/>
      <c r="I151" s="247"/>
      <c r="J151" s="248"/>
      <c r="K151" s="248"/>
      <c r="L151" s="248"/>
      <c r="M151" s="248"/>
      <c r="N151" s="249">
        <f>SUM(O151:P151)</f>
        <v>3.0089999999999999</v>
      </c>
      <c r="O151" s="249">
        <v>2.7589999999999999</v>
      </c>
      <c r="P151" s="249">
        <v>0.25</v>
      </c>
      <c r="Q151" s="249" t="s">
        <v>722</v>
      </c>
      <c r="R151" s="251">
        <f>SUM(R150:$AR150)*$N151/100</f>
        <v>1949.41074</v>
      </c>
      <c r="S151" s="251">
        <f>SUM(S150:$AR150)*$N151/100</f>
        <v>1680.5264999999999</v>
      </c>
      <c r="T151" s="251">
        <f>SUM(T150:$AR150)*$N151/100</f>
        <v>1411.6422599999999</v>
      </c>
      <c r="U151" s="251">
        <f>SUM(U150:$AR150)*$N151/100</f>
        <v>1142.75802</v>
      </c>
      <c r="V151" s="251">
        <f>SUM(V150:$AR150)*$N151/100</f>
        <v>873.87378000000001</v>
      </c>
      <c r="W151" s="251">
        <f>SUM(W150:$AR150)*$N151/100</f>
        <v>604.98954000000003</v>
      </c>
      <c r="X151" s="251">
        <f>SUM(X150:$AR150)*$N151/100</f>
        <v>336.1053</v>
      </c>
      <c r="Y151" s="251">
        <f>SUM(Y150:$AR150)*$N151/100</f>
        <v>67.221059999999994</v>
      </c>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4">
        <f t="shared" si="24"/>
        <v>8066.5271999999995</v>
      </c>
      <c r="AV151" s="332"/>
      <c r="AW151" s="253">
        <f t="shared" si="25"/>
        <v>67.221059999999994</v>
      </c>
      <c r="AX151" s="254">
        <f t="shared" si="26"/>
        <v>8066.5271999999995</v>
      </c>
    </row>
    <row r="152" spans="2:50" s="228" customFormat="1" x14ac:dyDescent="0.25">
      <c r="B152" s="229"/>
      <c r="C152" s="231">
        <v>2</v>
      </c>
      <c r="D152" s="231" t="s">
        <v>1076</v>
      </c>
      <c r="E152" s="232" t="s">
        <v>1078</v>
      </c>
      <c r="F152" s="231"/>
      <c r="G152" s="333">
        <v>44655</v>
      </c>
      <c r="H152" s="333">
        <v>55598</v>
      </c>
      <c r="I152" s="233" t="s">
        <v>718</v>
      </c>
      <c r="J152" s="234">
        <v>2209678</v>
      </c>
      <c r="K152" s="235"/>
      <c r="L152" s="235"/>
      <c r="M152" s="235"/>
      <c r="N152" s="236"/>
      <c r="O152" s="236"/>
      <c r="P152" s="236"/>
      <c r="Q152" s="236" t="s">
        <v>719</v>
      </c>
      <c r="R152" s="237">
        <v>67990</v>
      </c>
      <c r="S152" s="237">
        <v>81588</v>
      </c>
      <c r="T152" s="237">
        <v>81588</v>
      </c>
      <c r="U152" s="237">
        <v>81588</v>
      </c>
      <c r="V152" s="237">
        <v>81588</v>
      </c>
      <c r="W152" s="237">
        <v>81588</v>
      </c>
      <c r="X152" s="237">
        <v>81588</v>
      </c>
      <c r="Y152" s="237">
        <v>81588</v>
      </c>
      <c r="Z152" s="237">
        <v>81588</v>
      </c>
      <c r="AA152" s="237">
        <v>81588</v>
      </c>
      <c r="AB152" s="237">
        <v>81588</v>
      </c>
      <c r="AC152" s="237">
        <v>81588</v>
      </c>
      <c r="AD152" s="237">
        <v>81588</v>
      </c>
      <c r="AE152" s="237">
        <v>81588</v>
      </c>
      <c r="AF152" s="237">
        <v>81588</v>
      </c>
      <c r="AG152" s="237">
        <v>81588</v>
      </c>
      <c r="AH152" s="237">
        <v>81588</v>
      </c>
      <c r="AI152" s="237">
        <v>81588</v>
      </c>
      <c r="AJ152" s="237">
        <v>81588</v>
      </c>
      <c r="AK152" s="237">
        <v>81588</v>
      </c>
      <c r="AL152" s="237">
        <v>81588</v>
      </c>
      <c r="AM152" s="237">
        <v>81588</v>
      </c>
      <c r="AN152" s="237">
        <v>81588</v>
      </c>
      <c r="AO152" s="237">
        <v>81588</v>
      </c>
      <c r="AP152" s="237">
        <v>81588</v>
      </c>
      <c r="AQ152" s="237">
        <v>81588</v>
      </c>
      <c r="AR152" s="237">
        <v>81588</v>
      </c>
      <c r="AS152" s="237">
        <v>81588</v>
      </c>
      <c r="AT152" s="237">
        <v>20400</v>
      </c>
      <c r="AU152" s="241">
        <f t="shared" si="24"/>
        <v>2291266</v>
      </c>
      <c r="AV152" s="331"/>
      <c r="AW152" s="240">
        <f t="shared" si="25"/>
        <v>1733748</v>
      </c>
      <c r="AX152" s="241">
        <f t="shared" si="26"/>
        <v>2291266</v>
      </c>
    </row>
    <row r="153" spans="2:50" x14ac:dyDescent="0.25">
      <c r="B153" s="243"/>
      <c r="C153" s="247"/>
      <c r="D153" s="247"/>
      <c r="E153" s="246"/>
      <c r="F153" s="247"/>
      <c r="G153" s="247"/>
      <c r="H153" s="247"/>
      <c r="I153" s="247"/>
      <c r="J153" s="248"/>
      <c r="K153" s="248"/>
      <c r="L153" s="248"/>
      <c r="M153" s="248"/>
      <c r="N153" s="249">
        <f>SUM(O153:P153)</f>
        <v>3.008</v>
      </c>
      <c r="O153" s="249">
        <v>2.758</v>
      </c>
      <c r="P153" s="249">
        <v>0.25</v>
      </c>
      <c r="Q153" s="249" t="s">
        <v>722</v>
      </c>
      <c r="R153" s="251">
        <f>SUM(R152:$AT152)*$N153/100</f>
        <v>68921.281279999996</v>
      </c>
      <c r="S153" s="251">
        <f>SUM(S152:$AT152)*$N153/100</f>
        <v>66876.142079999991</v>
      </c>
      <c r="T153" s="251">
        <f>SUM(T152:$AT152)*$N153/100</f>
        <v>64421.975039999998</v>
      </c>
      <c r="U153" s="251">
        <f>SUM(U152:$AT152)*$N153/100</f>
        <v>61967.807999999997</v>
      </c>
      <c r="V153" s="251">
        <f>SUM(V152:$AT152)*$N153/100</f>
        <v>59513.640959999997</v>
      </c>
      <c r="W153" s="251">
        <f>SUM(W152:$AT152)*$N153/100</f>
        <v>57059.473919999997</v>
      </c>
      <c r="X153" s="251">
        <f>SUM(X152:$AT152)*$N153/100</f>
        <v>54605.306880000004</v>
      </c>
      <c r="Y153" s="251">
        <f>SUM(Y152:$AT152)*$N153/100</f>
        <v>52151.139840000003</v>
      </c>
      <c r="Z153" s="251">
        <f>SUM(Z152:$AT152)*$N153/100</f>
        <v>49696.972800000003</v>
      </c>
      <c r="AA153" s="251">
        <f>SUM(AA152:$AT152)*$N153/100</f>
        <v>47242.805760000003</v>
      </c>
      <c r="AB153" s="251">
        <f>SUM(AB152:$AT152)*$N153/100</f>
        <v>44788.638720000003</v>
      </c>
      <c r="AC153" s="251">
        <f>SUM(AC152:$AT152)*$N153/100</f>
        <v>42334.471679999995</v>
      </c>
      <c r="AD153" s="251">
        <f>SUM(AD152:$AT152)*$N153/100</f>
        <v>39880.304640000002</v>
      </c>
      <c r="AE153" s="251">
        <f>SUM(AE152:$AT152)*$N153/100</f>
        <v>37426.137599999995</v>
      </c>
      <c r="AF153" s="251">
        <f>SUM(AF152:$AT152)*$N153/100</f>
        <v>34971.970560000002</v>
      </c>
      <c r="AG153" s="251">
        <f>SUM(AG152:$AT152)*$N153/100</f>
        <v>32517.803520000001</v>
      </c>
      <c r="AH153" s="251">
        <f>SUM(AH152:$AT152)*$N153/100</f>
        <v>30063.636480000001</v>
      </c>
      <c r="AI153" s="251">
        <f>SUM(AI152:$AT152)*$N153/100</f>
        <v>27609.469440000001</v>
      </c>
      <c r="AJ153" s="251">
        <f>SUM(AJ152:$AT152)*$N153/100</f>
        <v>25155.3024</v>
      </c>
      <c r="AK153" s="251">
        <f>SUM(AK152:$AT152)*$N153/100</f>
        <v>22701.13536</v>
      </c>
      <c r="AL153" s="251">
        <f>SUM(AL152:$AT152)*$N153/100</f>
        <v>20246.96832</v>
      </c>
      <c r="AM153" s="251">
        <f>SUM(AM152:$AT152)*$N153/100</f>
        <v>17792.80128</v>
      </c>
      <c r="AN153" s="251">
        <f>SUM(AN152:$AT152)*$N153/100</f>
        <v>15338.634240000001</v>
      </c>
      <c r="AO153" s="251">
        <f>SUM(AO152:$AT152)*$N153/100</f>
        <v>12884.467199999999</v>
      </c>
      <c r="AP153" s="251">
        <f>SUM(AP152:$AT152)*$N153/100</f>
        <v>10430.300159999999</v>
      </c>
      <c r="AQ153" s="251">
        <f>SUM(AQ152:$AT152)*$N153/100</f>
        <v>7976.1331200000004</v>
      </c>
      <c r="AR153" s="251">
        <f>SUM(AR152:$AT152)*$N153/100</f>
        <v>5521.9660800000001</v>
      </c>
      <c r="AS153" s="251">
        <f>SUM(AS152:$AT152)*$N153/100</f>
        <v>3067.7990399999999</v>
      </c>
      <c r="AT153" s="251">
        <f>SUM(AT152:$AT152)*$N153/100</f>
        <v>613.63199999999995</v>
      </c>
      <c r="AU153" s="254">
        <f t="shared" si="24"/>
        <v>1013778.1184</v>
      </c>
      <c r="AV153" s="239"/>
      <c r="AW153" s="253">
        <f t="shared" si="25"/>
        <v>580412.49023999996</v>
      </c>
      <c r="AX153" s="254">
        <f t="shared" si="26"/>
        <v>1013778.1183999999</v>
      </c>
    </row>
    <row r="154" spans="2:50" s="261" customFormat="1" x14ac:dyDescent="0.25">
      <c r="B154" s="257"/>
      <c r="C154" s="259">
        <v>3</v>
      </c>
      <c r="D154" s="259" t="s">
        <v>1076</v>
      </c>
      <c r="E154" s="259"/>
      <c r="F154" s="259"/>
      <c r="G154" s="267" t="s">
        <v>1060</v>
      </c>
      <c r="H154" s="267">
        <v>49572</v>
      </c>
      <c r="I154" s="232" t="s">
        <v>718</v>
      </c>
      <c r="J154" s="234">
        <v>801681</v>
      </c>
      <c r="K154" s="235"/>
      <c r="L154" s="235"/>
      <c r="M154" s="235"/>
      <c r="N154" s="236"/>
      <c r="O154" s="236"/>
      <c r="P154" s="236"/>
      <c r="Q154" s="236" t="s">
        <v>719</v>
      </c>
      <c r="R154" s="237"/>
      <c r="S154" s="237"/>
      <c r="T154" s="237">
        <f t="shared" ref="T154:AC154" si="27">$J$154/40*4</f>
        <v>80168.100000000006</v>
      </c>
      <c r="U154" s="237">
        <f t="shared" si="27"/>
        <v>80168.100000000006</v>
      </c>
      <c r="V154" s="237">
        <f t="shared" si="27"/>
        <v>80168.100000000006</v>
      </c>
      <c r="W154" s="237">
        <f t="shared" si="27"/>
        <v>80168.100000000006</v>
      </c>
      <c r="X154" s="237">
        <f t="shared" si="27"/>
        <v>80168.100000000006</v>
      </c>
      <c r="Y154" s="237">
        <f t="shared" si="27"/>
        <v>80168.100000000006</v>
      </c>
      <c r="Z154" s="237">
        <f t="shared" si="27"/>
        <v>80168.100000000006</v>
      </c>
      <c r="AA154" s="237">
        <f t="shared" si="27"/>
        <v>80168.100000000006</v>
      </c>
      <c r="AB154" s="237">
        <f t="shared" si="27"/>
        <v>80168.100000000006</v>
      </c>
      <c r="AC154" s="237">
        <f t="shared" si="27"/>
        <v>80168.100000000006</v>
      </c>
      <c r="AD154" s="237"/>
      <c r="AE154" s="237"/>
      <c r="AF154" s="237"/>
      <c r="AG154" s="237"/>
      <c r="AH154" s="237"/>
      <c r="AI154" s="237"/>
      <c r="AJ154" s="237"/>
      <c r="AK154" s="237"/>
      <c r="AL154" s="237"/>
      <c r="AM154" s="237"/>
      <c r="AN154" s="237"/>
      <c r="AO154" s="237"/>
      <c r="AP154" s="237"/>
      <c r="AQ154" s="237"/>
      <c r="AR154" s="237"/>
      <c r="AS154" s="237"/>
      <c r="AT154" s="237"/>
      <c r="AU154" s="241">
        <f t="shared" si="24"/>
        <v>801680.99999999988</v>
      </c>
      <c r="AV154" s="334"/>
      <c r="AW154" s="240">
        <f t="shared" si="25"/>
        <v>400840.5</v>
      </c>
      <c r="AX154" s="241">
        <f t="shared" si="26"/>
        <v>801681</v>
      </c>
    </row>
    <row r="155" spans="2:50" s="210" customFormat="1" x14ac:dyDescent="0.25">
      <c r="B155" s="262"/>
      <c r="C155" s="246"/>
      <c r="D155" s="264" t="s">
        <v>1079</v>
      </c>
      <c r="E155" s="246"/>
      <c r="F155" s="246"/>
      <c r="G155" s="246"/>
      <c r="H155" s="246"/>
      <c r="I155" s="246"/>
      <c r="J155" s="248"/>
      <c r="K155" s="248"/>
      <c r="L155" s="248"/>
      <c r="M155" s="248"/>
      <c r="N155" s="249">
        <f>SUM(O155:P155)</f>
        <v>4.915</v>
      </c>
      <c r="O155" s="249">
        <v>4.665</v>
      </c>
      <c r="P155" s="249">
        <v>0.25</v>
      </c>
      <c r="Q155" s="249" t="s">
        <v>722</v>
      </c>
      <c r="R155" s="251">
        <f>SUM(R154:$AT154)*$N155/100</f>
        <v>39402.621149999992</v>
      </c>
      <c r="S155" s="251">
        <f>SUM(S154:$AT154)*$N155/100</f>
        <v>39402.621149999992</v>
      </c>
      <c r="T155" s="251">
        <f>SUM(T154:$AT154)*$N155/100</f>
        <v>39402.621149999992</v>
      </c>
      <c r="U155" s="251">
        <f>SUM(U154:$AT154)*$N155/100</f>
        <v>35462.359034999994</v>
      </c>
      <c r="V155" s="251">
        <f>SUM(V154:$AT154)*$N155/100</f>
        <v>31522.096919999996</v>
      </c>
      <c r="W155" s="251">
        <f>SUM(W154:$AT154)*$N155/100</f>
        <v>27581.834804999995</v>
      </c>
      <c r="X155" s="251">
        <f>SUM(X154:$AT154)*$N155/100</f>
        <v>23641.572689999997</v>
      </c>
      <c r="Y155" s="251">
        <f>SUM(Y154:$AT154)*$N155/100</f>
        <v>19701.310575</v>
      </c>
      <c r="Z155" s="251">
        <f>SUM(Z154:$AT154)*$N155/100</f>
        <v>15761.048460000002</v>
      </c>
      <c r="AA155" s="251">
        <f>SUM(AA154:$AT154)*$N155/100</f>
        <v>11820.786345000002</v>
      </c>
      <c r="AB155" s="251">
        <f>SUM(AB154:$AT154)*$N155/100</f>
        <v>7880.5242300000009</v>
      </c>
      <c r="AC155" s="251">
        <f>SUM(AC154:$AT154)*$N155/100</f>
        <v>3940.2621150000004</v>
      </c>
      <c r="AD155" s="251">
        <f>SUM(AD154:$AT154)*$N155/100</f>
        <v>0</v>
      </c>
      <c r="AE155" s="251">
        <f>SUM(AE154:$AT154)*$N155/100</f>
        <v>0</v>
      </c>
      <c r="AF155" s="251">
        <f>SUM(AF154:$AT154)*$N155/100</f>
        <v>0</v>
      </c>
      <c r="AG155" s="251">
        <f>SUM(AG154:$AT154)*$N155/100</f>
        <v>0</v>
      </c>
      <c r="AH155" s="251">
        <f>SUM(AH154:$AT154)*$N155/100</f>
        <v>0</v>
      </c>
      <c r="AI155" s="251">
        <f>SUM(AI154:$AT154)*$N155/100</f>
        <v>0</v>
      </c>
      <c r="AJ155" s="251">
        <f>SUM(AJ154:$AT154)*$N155/100</f>
        <v>0</v>
      </c>
      <c r="AK155" s="251">
        <f>SUM(AK154:$AT154)*$N155/100</f>
        <v>0</v>
      </c>
      <c r="AL155" s="251">
        <f>SUM(AL154:$AT154)*$N155/100</f>
        <v>0</v>
      </c>
      <c r="AM155" s="251">
        <f>SUM(AM154:$AT154)*$N155/100</f>
        <v>0</v>
      </c>
      <c r="AN155" s="251">
        <f>SUM(AN154:$AT154)*$N155/100</f>
        <v>0</v>
      </c>
      <c r="AO155" s="251">
        <f>SUM(AO154:$AT154)*$N155/100</f>
        <v>0</v>
      </c>
      <c r="AP155" s="251">
        <f>SUM(AP154:$AT154)*$N155/100</f>
        <v>0</v>
      </c>
      <c r="AQ155" s="251">
        <f>SUM(AQ154:$AT154)*$N155/100</f>
        <v>0</v>
      </c>
      <c r="AR155" s="251">
        <f>SUM(AR154:$AT154)*$N155/100</f>
        <v>0</v>
      </c>
      <c r="AS155" s="251">
        <f>SUM(AS154:$AT154)*$N155/100</f>
        <v>0</v>
      </c>
      <c r="AT155" s="251">
        <f>SUM(AT154:$AT154)*$N155/100</f>
        <v>0</v>
      </c>
      <c r="AU155" s="254">
        <f t="shared" si="24"/>
        <v>295519.65862499998</v>
      </c>
      <c r="AV155" s="260"/>
      <c r="AW155" s="253">
        <f t="shared" si="25"/>
        <v>59103.931725000002</v>
      </c>
      <c r="AX155" s="254">
        <f t="shared" si="26"/>
        <v>295519.65862499992</v>
      </c>
    </row>
    <row r="156" spans="2:50" s="261" customFormat="1" x14ac:dyDescent="0.25">
      <c r="C156" s="334"/>
      <c r="D156" s="334"/>
      <c r="E156" s="334"/>
      <c r="F156" s="334"/>
      <c r="G156" s="334"/>
      <c r="H156" s="334"/>
      <c r="I156" s="334"/>
      <c r="J156" s="334"/>
      <c r="K156" s="334"/>
      <c r="L156" s="334"/>
      <c r="M156" s="334"/>
      <c r="N156" s="334"/>
      <c r="O156" s="334"/>
      <c r="P156" s="334"/>
      <c r="Q156" s="335" t="s">
        <v>1080</v>
      </c>
      <c r="R156" s="336">
        <f t="shared" ref="R156:AT156" si="28">SUM(R150:R155)</f>
        <v>187199.31316999998</v>
      </c>
      <c r="S156" s="336">
        <f t="shared" si="28"/>
        <v>198483.28972999999</v>
      </c>
      <c r="T156" s="336">
        <f t="shared" si="28"/>
        <v>275928.33844999998</v>
      </c>
      <c r="U156" s="336">
        <f t="shared" si="28"/>
        <v>269265.02505499998</v>
      </c>
      <c r="V156" s="336">
        <f t="shared" si="28"/>
        <v>262601.71165999997</v>
      </c>
      <c r="W156" s="336">
        <f t="shared" si="28"/>
        <v>255938.398265</v>
      </c>
      <c r="X156" s="336">
        <f t="shared" si="28"/>
        <v>249275.08486999999</v>
      </c>
      <c r="Y156" s="336">
        <f t="shared" si="28"/>
        <v>235909.77147500002</v>
      </c>
      <c r="Z156" s="336">
        <f t="shared" si="28"/>
        <v>227214.12125999999</v>
      </c>
      <c r="AA156" s="336">
        <f t="shared" si="28"/>
        <v>220819.69210499999</v>
      </c>
      <c r="AB156" s="336">
        <f t="shared" si="28"/>
        <v>214425.26295000003</v>
      </c>
      <c r="AC156" s="336">
        <f t="shared" si="28"/>
        <v>208030.83379499998</v>
      </c>
      <c r="AD156" s="336">
        <f t="shared" si="28"/>
        <v>121468.30464</v>
      </c>
      <c r="AE156" s="336">
        <f t="shared" si="28"/>
        <v>119014.13759999999</v>
      </c>
      <c r="AF156" s="336">
        <f t="shared" si="28"/>
        <v>116559.97056</v>
      </c>
      <c r="AG156" s="336">
        <f t="shared" si="28"/>
        <v>114105.80352</v>
      </c>
      <c r="AH156" s="336">
        <f t="shared" si="28"/>
        <v>111651.63648</v>
      </c>
      <c r="AI156" s="336">
        <f t="shared" si="28"/>
        <v>109197.46944</v>
      </c>
      <c r="AJ156" s="336">
        <f t="shared" si="28"/>
        <v>106743.3024</v>
      </c>
      <c r="AK156" s="336">
        <f t="shared" si="28"/>
        <v>104289.13536</v>
      </c>
      <c r="AL156" s="336">
        <f t="shared" si="28"/>
        <v>101834.96832</v>
      </c>
      <c r="AM156" s="336">
        <f t="shared" si="28"/>
        <v>99380.80128</v>
      </c>
      <c r="AN156" s="336">
        <f t="shared" si="28"/>
        <v>96926.634239999999</v>
      </c>
      <c r="AO156" s="336">
        <f t="shared" si="28"/>
        <v>94472.467199999999</v>
      </c>
      <c r="AP156" s="336">
        <f t="shared" si="28"/>
        <v>92018.300159999999</v>
      </c>
      <c r="AQ156" s="336">
        <f t="shared" si="28"/>
        <v>89564.133119999999</v>
      </c>
      <c r="AR156" s="336">
        <f t="shared" si="28"/>
        <v>87109.966079999998</v>
      </c>
      <c r="AS156" s="336">
        <f t="shared" si="28"/>
        <v>84655.799039999998</v>
      </c>
      <c r="AT156" s="336">
        <f t="shared" si="28"/>
        <v>21013.632000000001</v>
      </c>
      <c r="AU156" s="337">
        <f t="shared" si="24"/>
        <v>4475097.3042249996</v>
      </c>
      <c r="AV156" s="334"/>
      <c r="AW156" s="338">
        <f t="shared" si="25"/>
        <v>2776406.1430250001</v>
      </c>
      <c r="AX156" s="338">
        <f t="shared" si="26"/>
        <v>4475097.3042249996</v>
      </c>
    </row>
    <row r="159" spans="2:50" ht="30" x14ac:dyDescent="0.25">
      <c r="R159" s="223">
        <v>2025</v>
      </c>
      <c r="S159" s="223">
        <v>2026</v>
      </c>
      <c r="T159" s="223">
        <v>2027</v>
      </c>
      <c r="U159" s="223">
        <v>2028</v>
      </c>
      <c r="V159" s="223">
        <v>2029</v>
      </c>
      <c r="W159" s="223">
        <v>2030</v>
      </c>
      <c r="X159" s="223">
        <v>2031</v>
      </c>
      <c r="Y159" s="223">
        <v>2032</v>
      </c>
      <c r="Z159" s="223">
        <v>2033</v>
      </c>
      <c r="AA159" s="223">
        <v>2034</v>
      </c>
      <c r="AB159" s="223">
        <v>2035</v>
      </c>
      <c r="AC159" s="223">
        <v>2036</v>
      </c>
      <c r="AD159" s="223">
        <v>2037</v>
      </c>
      <c r="AE159" s="223">
        <v>2038</v>
      </c>
      <c r="AF159" s="223">
        <v>2039</v>
      </c>
      <c r="AG159" s="223">
        <v>2040</v>
      </c>
      <c r="AH159" s="223">
        <v>2041</v>
      </c>
      <c r="AI159" s="223">
        <v>2042</v>
      </c>
      <c r="AJ159" s="223">
        <v>2043</v>
      </c>
      <c r="AK159" s="223">
        <v>2044</v>
      </c>
      <c r="AL159" s="223">
        <v>2045</v>
      </c>
      <c r="AM159" s="223">
        <v>2046</v>
      </c>
      <c r="AN159" s="223">
        <v>2047</v>
      </c>
      <c r="AO159" s="223">
        <v>2048</v>
      </c>
      <c r="AP159" s="223">
        <v>2049</v>
      </c>
      <c r="AQ159" s="223">
        <v>2050</v>
      </c>
      <c r="AR159" s="223">
        <v>2051</v>
      </c>
      <c r="AS159" s="223">
        <v>2052</v>
      </c>
      <c r="AT159" s="223">
        <v>2053</v>
      </c>
      <c r="AU159" s="222" t="s">
        <v>709</v>
      </c>
      <c r="AW159" s="223" t="s">
        <v>710</v>
      </c>
      <c r="AX159" s="222" t="s">
        <v>711</v>
      </c>
    </row>
    <row r="160" spans="2:50" x14ac:dyDescent="0.25">
      <c r="Q160" s="339" t="s">
        <v>1081</v>
      </c>
      <c r="R160" s="340">
        <f t="shared" ref="R160:AT161" si="29">R142</f>
        <v>3702737.49</v>
      </c>
      <c r="S160" s="340">
        <f t="shared" si="29"/>
        <v>4284189.0933333328</v>
      </c>
      <c r="T160" s="340">
        <f t="shared" si="29"/>
        <v>3791880.8169444441</v>
      </c>
      <c r="U160" s="340">
        <f t="shared" si="29"/>
        <v>4231749.3251709398</v>
      </c>
      <c r="V160" s="340">
        <f t="shared" si="29"/>
        <v>4125322.9918376068</v>
      </c>
      <c r="W160" s="340">
        <f t="shared" si="29"/>
        <v>4070961.9918376068</v>
      </c>
      <c r="X160" s="340">
        <f t="shared" si="29"/>
        <v>3962242.8518376062</v>
      </c>
      <c r="Y160" s="340">
        <f t="shared" si="29"/>
        <v>3303615.7418376068</v>
      </c>
      <c r="Z160" s="340">
        <f t="shared" si="29"/>
        <v>3101574.7818376068</v>
      </c>
      <c r="AA160" s="340">
        <f t="shared" si="29"/>
        <v>2712035.7918376066</v>
      </c>
      <c r="AB160" s="340">
        <f t="shared" si="29"/>
        <v>2531225.2293376066</v>
      </c>
      <c r="AC160" s="340">
        <f t="shared" si="29"/>
        <v>2319757.816837607</v>
      </c>
      <c r="AD160" s="340">
        <f t="shared" si="29"/>
        <v>2208945.106837607</v>
      </c>
      <c r="AE160" s="340">
        <f t="shared" si="29"/>
        <v>2073376.1068376068</v>
      </c>
      <c r="AF160" s="340">
        <f t="shared" si="29"/>
        <v>1979883.1068376068</v>
      </c>
      <c r="AG160" s="340">
        <f t="shared" si="29"/>
        <v>1938833.1468376068</v>
      </c>
      <c r="AH160" s="340">
        <f t="shared" si="29"/>
        <v>1728696.7922222223</v>
      </c>
      <c r="AI160" s="340">
        <f t="shared" si="29"/>
        <v>1721683.7222222222</v>
      </c>
      <c r="AJ160" s="340">
        <f t="shared" si="29"/>
        <v>1721683.7222222222</v>
      </c>
      <c r="AK160" s="340">
        <f t="shared" si="29"/>
        <v>1721683.7222222222</v>
      </c>
      <c r="AL160" s="340">
        <f t="shared" si="29"/>
        <v>1453015.861111111</v>
      </c>
      <c r="AM160" s="340">
        <f t="shared" si="29"/>
        <v>1184348</v>
      </c>
      <c r="AN160" s="340">
        <f t="shared" si="29"/>
        <v>1184348</v>
      </c>
      <c r="AO160" s="340">
        <f t="shared" si="29"/>
        <v>867315.83000000007</v>
      </c>
      <c r="AP160" s="340">
        <f t="shared" si="29"/>
        <v>452632</v>
      </c>
      <c r="AQ160" s="340">
        <f t="shared" si="29"/>
        <v>409981</v>
      </c>
      <c r="AR160" s="340">
        <f t="shared" si="29"/>
        <v>55587.92</v>
      </c>
      <c r="AS160" s="340">
        <f t="shared" si="29"/>
        <v>0</v>
      </c>
      <c r="AT160" s="340">
        <f t="shared" si="29"/>
        <v>0</v>
      </c>
      <c r="AU160" s="341">
        <f>SUM(R160:AT160)</f>
        <v>62839307.960000001</v>
      </c>
      <c r="AW160" s="342">
        <f>SUM(Y160:AT160)</f>
        <v>34670223.399038471</v>
      </c>
      <c r="AX160" s="241">
        <f>SUM(R160:X160,AW160)</f>
        <v>62839307.960000008</v>
      </c>
    </row>
    <row r="161" spans="6:50" x14ac:dyDescent="0.25">
      <c r="Q161" s="339" t="s">
        <v>1082</v>
      </c>
      <c r="R161" s="340">
        <f t="shared" si="29"/>
        <v>2052431.3893050007</v>
      </c>
      <c r="S161" s="340">
        <f t="shared" si="29"/>
        <v>2222786.7019227999</v>
      </c>
      <c r="T161" s="340">
        <f t="shared" si="29"/>
        <v>2065160.0721181328</v>
      </c>
      <c r="U161" s="340">
        <f t="shared" si="29"/>
        <v>1924852.4314520529</v>
      </c>
      <c r="V161" s="340">
        <f t="shared" si="29"/>
        <v>1766261.2303333585</v>
      </c>
      <c r="W161" s="340">
        <f t="shared" si="29"/>
        <v>1611381.4694113305</v>
      </c>
      <c r="X161" s="340">
        <f t="shared" si="29"/>
        <v>1458631.6137193027</v>
      </c>
      <c r="Y161" s="340">
        <f t="shared" si="29"/>
        <v>1309913.4743222748</v>
      </c>
      <c r="Z161" s="340">
        <f t="shared" si="29"/>
        <v>1184085.068798247</v>
      </c>
      <c r="AA161" s="340">
        <f t="shared" si="29"/>
        <v>1066469.7926724192</v>
      </c>
      <c r="AB161" s="340">
        <f t="shared" si="29"/>
        <v>963270.30234839173</v>
      </c>
      <c r="AC161" s="340">
        <f t="shared" si="29"/>
        <v>867146.2653899889</v>
      </c>
      <c r="AD161" s="340">
        <f t="shared" si="29"/>
        <v>779065.94145221112</v>
      </c>
      <c r="AE161" s="340">
        <f t="shared" si="29"/>
        <v>694919.46871943329</v>
      </c>
      <c r="AF161" s="340">
        <f t="shared" si="29"/>
        <v>615990.3233966555</v>
      </c>
      <c r="AG161" s="340">
        <f t="shared" si="29"/>
        <v>540733.17376387771</v>
      </c>
      <c r="AH161" s="340">
        <f t="shared" si="29"/>
        <v>466685.53863749997</v>
      </c>
      <c r="AI161" s="340">
        <f t="shared" si="29"/>
        <v>400865.28293972224</v>
      </c>
      <c r="AJ161" s="340">
        <f t="shared" si="29"/>
        <v>335293.99122694443</v>
      </c>
      <c r="AK161" s="340">
        <f t="shared" si="29"/>
        <v>269722.69951416668</v>
      </c>
      <c r="AL161" s="340">
        <f t="shared" si="29"/>
        <v>204151.40780138888</v>
      </c>
      <c r="AM161" s="340">
        <f t="shared" si="29"/>
        <v>149845.35950499997</v>
      </c>
      <c r="AN161" s="340">
        <f t="shared" si="29"/>
        <v>106804.55462499999</v>
      </c>
      <c r="AO161" s="340">
        <f t="shared" si="29"/>
        <v>63763.749744999986</v>
      </c>
      <c r="AP161" s="340">
        <f t="shared" si="29"/>
        <v>32654.391700000004</v>
      </c>
      <c r="AQ161" s="340">
        <f t="shared" si="29"/>
        <v>16552.664819999998</v>
      </c>
      <c r="AR161" s="340">
        <f t="shared" si="29"/>
        <v>1973.3711599999997</v>
      </c>
      <c r="AS161" s="340">
        <f t="shared" si="29"/>
        <v>0</v>
      </c>
      <c r="AT161" s="340">
        <f t="shared" si="29"/>
        <v>0</v>
      </c>
      <c r="AU161" s="341">
        <f>SUM(R161:AT161)</f>
        <v>23171411.730800208</v>
      </c>
      <c r="AW161" s="342">
        <f>SUM(Y161:AT161)</f>
        <v>10069906.822538225</v>
      </c>
      <c r="AX161" s="341">
        <f>SUM(R161:X161,AW161)</f>
        <v>23171411.730800204</v>
      </c>
    </row>
    <row r="162" spans="6:50" x14ac:dyDescent="0.25">
      <c r="Q162" s="339" t="s">
        <v>1083</v>
      </c>
      <c r="R162" s="340">
        <f t="shared" ref="R162:AT162" si="30">R156</f>
        <v>187199.31316999998</v>
      </c>
      <c r="S162" s="340">
        <f t="shared" si="30"/>
        <v>198483.28972999999</v>
      </c>
      <c r="T162" s="340">
        <f t="shared" si="30"/>
        <v>275928.33844999998</v>
      </c>
      <c r="U162" s="340">
        <f t="shared" si="30"/>
        <v>269265.02505499998</v>
      </c>
      <c r="V162" s="340">
        <f t="shared" si="30"/>
        <v>262601.71165999997</v>
      </c>
      <c r="W162" s="340">
        <f t="shared" si="30"/>
        <v>255938.398265</v>
      </c>
      <c r="X162" s="340">
        <f t="shared" si="30"/>
        <v>249275.08486999999</v>
      </c>
      <c r="Y162" s="340">
        <f t="shared" si="30"/>
        <v>235909.77147500002</v>
      </c>
      <c r="Z162" s="340">
        <f t="shared" si="30"/>
        <v>227214.12125999999</v>
      </c>
      <c r="AA162" s="340">
        <f t="shared" si="30"/>
        <v>220819.69210499999</v>
      </c>
      <c r="AB162" s="340">
        <f t="shared" si="30"/>
        <v>214425.26295000003</v>
      </c>
      <c r="AC162" s="340">
        <f t="shared" si="30"/>
        <v>208030.83379499998</v>
      </c>
      <c r="AD162" s="340">
        <f t="shared" si="30"/>
        <v>121468.30464</v>
      </c>
      <c r="AE162" s="340">
        <f t="shared" si="30"/>
        <v>119014.13759999999</v>
      </c>
      <c r="AF162" s="340">
        <f t="shared" si="30"/>
        <v>116559.97056</v>
      </c>
      <c r="AG162" s="340">
        <f t="shared" si="30"/>
        <v>114105.80352</v>
      </c>
      <c r="AH162" s="340">
        <f t="shared" si="30"/>
        <v>111651.63648</v>
      </c>
      <c r="AI162" s="340">
        <f t="shared" si="30"/>
        <v>109197.46944</v>
      </c>
      <c r="AJ162" s="340">
        <f t="shared" si="30"/>
        <v>106743.3024</v>
      </c>
      <c r="AK162" s="340">
        <f t="shared" si="30"/>
        <v>104289.13536</v>
      </c>
      <c r="AL162" s="340">
        <f t="shared" si="30"/>
        <v>101834.96832</v>
      </c>
      <c r="AM162" s="340">
        <f t="shared" si="30"/>
        <v>99380.80128</v>
      </c>
      <c r="AN162" s="340">
        <f t="shared" si="30"/>
        <v>96926.634239999999</v>
      </c>
      <c r="AO162" s="340">
        <f t="shared" si="30"/>
        <v>94472.467199999999</v>
      </c>
      <c r="AP162" s="340">
        <f t="shared" si="30"/>
        <v>92018.300159999999</v>
      </c>
      <c r="AQ162" s="340">
        <f t="shared" si="30"/>
        <v>89564.133119999999</v>
      </c>
      <c r="AR162" s="340">
        <f t="shared" si="30"/>
        <v>87109.966079999998</v>
      </c>
      <c r="AS162" s="340">
        <f t="shared" si="30"/>
        <v>84655.799039999998</v>
      </c>
      <c r="AT162" s="340">
        <f t="shared" si="30"/>
        <v>21013.632000000001</v>
      </c>
      <c r="AU162" s="341">
        <f>SUM(R162:AT162)</f>
        <v>4475097.3042249996</v>
      </c>
      <c r="AW162" s="251">
        <f>SUM(Y162:AT162)</f>
        <v>2776406.1430250001</v>
      </c>
      <c r="AX162" s="341">
        <f>SUM(R162:X162,AW162)</f>
        <v>4475097.3042249996</v>
      </c>
    </row>
    <row r="163" spans="6:50" s="261" customFormat="1" x14ac:dyDescent="0.25">
      <c r="Q163" s="343" t="s">
        <v>1084</v>
      </c>
      <c r="R163" s="344">
        <f t="shared" ref="R163:AT163" si="31">SUM(R160:R162)</f>
        <v>5942368.1924750013</v>
      </c>
      <c r="S163" s="344">
        <f t="shared" si="31"/>
        <v>6705459.0849861326</v>
      </c>
      <c r="T163" s="344">
        <f t="shared" si="31"/>
        <v>6132969.2275125766</v>
      </c>
      <c r="U163" s="344">
        <f t="shared" si="31"/>
        <v>6425866.7816779921</v>
      </c>
      <c r="V163" s="344">
        <f t="shared" si="31"/>
        <v>6154185.9338309653</v>
      </c>
      <c r="W163" s="344">
        <f t="shared" si="31"/>
        <v>5938281.8595139375</v>
      </c>
      <c r="X163" s="344">
        <f t="shared" si="31"/>
        <v>5670149.5504269088</v>
      </c>
      <c r="Y163" s="344">
        <f t="shared" si="31"/>
        <v>4849438.9876348823</v>
      </c>
      <c r="Z163" s="344">
        <f t="shared" si="31"/>
        <v>4512873.971895854</v>
      </c>
      <c r="AA163" s="344">
        <f t="shared" si="31"/>
        <v>3999325.2766150255</v>
      </c>
      <c r="AB163" s="344">
        <f t="shared" si="31"/>
        <v>3708920.7946359981</v>
      </c>
      <c r="AC163" s="344">
        <f t="shared" si="31"/>
        <v>3394934.9160225959</v>
      </c>
      <c r="AD163" s="344">
        <f t="shared" si="31"/>
        <v>3109479.3529298184</v>
      </c>
      <c r="AE163" s="344">
        <f t="shared" si="31"/>
        <v>2887309.7131570401</v>
      </c>
      <c r="AF163" s="344">
        <f t="shared" si="31"/>
        <v>2712433.4007942621</v>
      </c>
      <c r="AG163" s="344">
        <f t="shared" si="31"/>
        <v>2593672.1241214848</v>
      </c>
      <c r="AH163" s="344">
        <f t="shared" si="31"/>
        <v>2307033.967339722</v>
      </c>
      <c r="AI163" s="344">
        <f t="shared" si="31"/>
        <v>2231746.4746019444</v>
      </c>
      <c r="AJ163" s="344">
        <f t="shared" si="31"/>
        <v>2163721.0158491665</v>
      </c>
      <c r="AK163" s="344">
        <f t="shared" si="31"/>
        <v>2095695.5570963889</v>
      </c>
      <c r="AL163" s="344">
        <f t="shared" si="31"/>
        <v>1759002.2372324998</v>
      </c>
      <c r="AM163" s="344">
        <f t="shared" si="31"/>
        <v>1433574.1607850001</v>
      </c>
      <c r="AN163" s="344">
        <f t="shared" si="31"/>
        <v>1388079.1888649999</v>
      </c>
      <c r="AO163" s="344">
        <f t="shared" si="31"/>
        <v>1025552.0469450001</v>
      </c>
      <c r="AP163" s="344">
        <f t="shared" si="31"/>
        <v>577304.69186000002</v>
      </c>
      <c r="AQ163" s="344">
        <f t="shared" si="31"/>
        <v>516097.79794000002</v>
      </c>
      <c r="AR163" s="344">
        <f t="shared" si="31"/>
        <v>144671.25724000001</v>
      </c>
      <c r="AS163" s="344">
        <f t="shared" si="31"/>
        <v>84655.799039999998</v>
      </c>
      <c r="AT163" s="344">
        <f t="shared" si="31"/>
        <v>21013.632000000001</v>
      </c>
      <c r="AU163" s="344">
        <f>SUM(R163:AT163)</f>
        <v>90485816.995025232</v>
      </c>
      <c r="AW163" s="344">
        <f>SUM(Y163:AT163)</f>
        <v>47516536.364601672</v>
      </c>
      <c r="AX163" s="344">
        <f>SUM(R163:X163,AW163)</f>
        <v>90485816.995025188</v>
      </c>
    </row>
    <row r="165" spans="6:50" s="261" customFormat="1" x14ac:dyDescent="0.25">
      <c r="Q165" s="343" t="s">
        <v>1085</v>
      </c>
      <c r="R165" s="345">
        <f>R163/$Q$166</f>
        <v>0.1587647837197631</v>
      </c>
      <c r="S165" s="345">
        <f t="shared" ref="S165:AT165" si="32">S163/$Q$166</f>
        <v>0.17915260833511915</v>
      </c>
      <c r="T165" s="345">
        <f t="shared" si="32"/>
        <v>0.16385715280972013</v>
      </c>
      <c r="U165" s="345">
        <f t="shared" si="32"/>
        <v>0.17168262160143966</v>
      </c>
      <c r="V165" s="345">
        <f t="shared" si="32"/>
        <v>0.16442400859528897</v>
      </c>
      <c r="W165" s="345">
        <f t="shared" si="32"/>
        <v>0.15865560742038942</v>
      </c>
      <c r="X165" s="345">
        <f t="shared" si="32"/>
        <v>0.15149180223672706</v>
      </c>
      <c r="Y165" s="346">
        <f t="shared" si="32"/>
        <v>0.12956452833215751</v>
      </c>
      <c r="Z165" s="346">
        <f t="shared" si="32"/>
        <v>0.12057237735788577</v>
      </c>
      <c r="AA165" s="346">
        <f t="shared" si="32"/>
        <v>0.10685167798434721</v>
      </c>
      <c r="AB165" s="346">
        <f t="shared" si="32"/>
        <v>9.9092817664814078E-2</v>
      </c>
      <c r="AC165" s="346">
        <f t="shared" si="32"/>
        <v>9.070392312067542E-2</v>
      </c>
      <c r="AD165" s="346">
        <f t="shared" si="32"/>
        <v>8.3077285176325483E-2</v>
      </c>
      <c r="AE165" s="346">
        <f t="shared" si="32"/>
        <v>7.714148421867198E-2</v>
      </c>
      <c r="AF165" s="346">
        <f t="shared" si="32"/>
        <v>7.2469239246516798E-2</v>
      </c>
      <c r="AG165" s="346">
        <f t="shared" si="32"/>
        <v>6.9296243599913612E-2</v>
      </c>
      <c r="AH165" s="346">
        <f t="shared" si="32"/>
        <v>6.1638009795936893E-2</v>
      </c>
      <c r="AI165" s="346">
        <f t="shared" si="32"/>
        <v>5.9626521763866965E-2</v>
      </c>
      <c r="AJ165" s="346">
        <f t="shared" si="32"/>
        <v>5.7809056588955909E-2</v>
      </c>
      <c r="AK165" s="346">
        <f t="shared" si="32"/>
        <v>5.5991591414044868E-2</v>
      </c>
      <c r="AL165" s="346">
        <f t="shared" si="32"/>
        <v>4.6996012483784183E-2</v>
      </c>
      <c r="AM165" s="346">
        <f t="shared" si="32"/>
        <v>3.8301411863285326E-2</v>
      </c>
      <c r="AN165" s="346">
        <f t="shared" si="32"/>
        <v>3.7085903307897898E-2</v>
      </c>
      <c r="AO165" s="346">
        <f t="shared" si="32"/>
        <v>2.7400111143023594E-2</v>
      </c>
      <c r="AP165" s="346">
        <f t="shared" si="32"/>
        <v>1.5424095507852186E-2</v>
      </c>
      <c r="AQ165" s="346">
        <f t="shared" si="32"/>
        <v>1.3788804835747275E-2</v>
      </c>
      <c r="AR165" s="346">
        <f t="shared" si="32"/>
        <v>3.8652436406180221E-3</v>
      </c>
      <c r="AS165" s="346">
        <f t="shared" si="32"/>
        <v>2.2617850644511151E-3</v>
      </c>
      <c r="AT165" s="346">
        <f t="shared" si="32"/>
        <v>5.6143016245130254E-4</v>
      </c>
      <c r="AW165" s="347"/>
      <c r="AX165" s="347"/>
    </row>
    <row r="166" spans="6:50" x14ac:dyDescent="0.25">
      <c r="J166" s="348" t="s">
        <v>1086</v>
      </c>
      <c r="Q166" s="349">
        <v>37428755</v>
      </c>
      <c r="R166" s="350"/>
      <c r="S166" s="350"/>
      <c r="T166" s="350"/>
      <c r="U166" s="350"/>
      <c r="V166" s="350"/>
    </row>
    <row r="167" spans="6:50" x14ac:dyDescent="0.25">
      <c r="R167" s="312"/>
      <c r="S167" s="312"/>
      <c r="T167" s="312"/>
      <c r="U167" s="312"/>
      <c r="V167" s="312"/>
      <c r="W167" s="312"/>
      <c r="X167" s="312"/>
      <c r="Y167" s="312"/>
      <c r="Z167" s="312"/>
      <c r="AA167" s="312"/>
      <c r="AB167" s="312"/>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row>
    <row r="168" spans="6:50" x14ac:dyDescent="0.25">
      <c r="F168" s="351"/>
      <c r="J168" s="352"/>
      <c r="K168" s="353"/>
      <c r="L168" s="353"/>
      <c r="M168" s="353"/>
      <c r="N168" s="353"/>
      <c r="O168" s="353"/>
      <c r="P168" s="353"/>
      <c r="Q168" s="353"/>
      <c r="R168" s="312"/>
      <c r="S168" s="312"/>
      <c r="T168" s="312"/>
      <c r="U168" s="312"/>
      <c r="V168" s="312"/>
      <c r="W168" s="312"/>
      <c r="X168" s="312"/>
      <c r="Y168" s="312"/>
      <c r="Z168" s="312"/>
      <c r="AA168" s="312"/>
      <c r="AB168" s="312"/>
      <c r="AC168" s="312"/>
      <c r="AD168" s="312"/>
      <c r="AE168" s="312"/>
      <c r="AF168" s="312"/>
      <c r="AG168" s="312"/>
      <c r="AH168" s="312"/>
      <c r="AI168" s="312"/>
      <c r="AJ168" s="312"/>
      <c r="AK168" s="312"/>
      <c r="AL168" s="312"/>
      <c r="AM168" s="312"/>
      <c r="AN168" s="312"/>
      <c r="AO168" s="312"/>
      <c r="AP168" s="312"/>
      <c r="AQ168" s="312"/>
      <c r="AR168" s="312"/>
      <c r="AS168" s="312"/>
      <c r="AT168" s="312"/>
      <c r="AU168" s="312"/>
      <c r="AV168" s="312"/>
      <c r="AW168" s="312"/>
      <c r="AX168" s="312"/>
    </row>
    <row r="169" spans="6:50" x14ac:dyDescent="0.25">
      <c r="R169" s="312"/>
      <c r="S169" s="312"/>
      <c r="T169" s="312"/>
      <c r="U169" s="312"/>
      <c r="V169" s="312"/>
      <c r="W169" s="312"/>
      <c r="X169" s="312"/>
      <c r="Y169" s="312"/>
      <c r="Z169" s="312"/>
      <c r="AA169" s="312"/>
      <c r="AB169" s="312"/>
      <c r="AC169" s="312"/>
      <c r="AD169" s="312"/>
      <c r="AE169" s="312"/>
      <c r="AF169" s="312"/>
      <c r="AG169" s="312"/>
      <c r="AH169" s="312"/>
      <c r="AI169" s="312"/>
      <c r="AJ169" s="312"/>
      <c r="AK169" s="312"/>
      <c r="AL169" s="312"/>
      <c r="AM169" s="312"/>
      <c r="AN169" s="312"/>
      <c r="AO169" s="312"/>
      <c r="AP169" s="312"/>
      <c r="AQ169" s="312"/>
      <c r="AR169" s="312"/>
      <c r="AS169" s="312"/>
      <c r="AT169" s="312"/>
      <c r="AU169" s="312"/>
      <c r="AV169" s="312"/>
      <c r="AW169" s="312"/>
      <c r="AX169" s="312"/>
    </row>
    <row r="170" spans="6:50" x14ac:dyDescent="0.25">
      <c r="R170" s="312"/>
      <c r="S170" s="312"/>
      <c r="T170" s="312"/>
      <c r="U170" s="312"/>
      <c r="V170" s="312"/>
      <c r="W170" s="312"/>
      <c r="X170" s="312"/>
      <c r="Y170" s="312"/>
      <c r="Z170" s="312"/>
      <c r="AA170" s="312"/>
      <c r="AB170" s="312"/>
      <c r="AC170" s="312"/>
      <c r="AD170" s="312"/>
      <c r="AE170" s="312"/>
      <c r="AF170" s="312"/>
      <c r="AG170" s="312"/>
      <c r="AH170" s="312"/>
      <c r="AI170" s="312"/>
      <c r="AJ170" s="312"/>
      <c r="AK170" s="312"/>
      <c r="AL170" s="312"/>
      <c r="AM170" s="312"/>
      <c r="AN170" s="312"/>
      <c r="AO170" s="312"/>
      <c r="AP170" s="312"/>
      <c r="AQ170" s="312"/>
      <c r="AR170" s="312"/>
      <c r="AS170" s="312"/>
      <c r="AT170" s="312"/>
      <c r="AU170" s="312"/>
      <c r="AV170" s="312"/>
      <c r="AW170" s="312"/>
      <c r="AX170" s="312"/>
    </row>
    <row r="171" spans="6:50" x14ac:dyDescent="0.25">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c r="AO171" s="312"/>
      <c r="AP171" s="312"/>
      <c r="AQ171" s="312"/>
      <c r="AR171" s="312"/>
      <c r="AS171" s="312"/>
      <c r="AT171" s="312"/>
      <c r="AU171" s="312"/>
      <c r="AV171" s="312"/>
      <c r="AW171" s="312"/>
      <c r="AX171" s="312"/>
    </row>
    <row r="172" spans="6:50" x14ac:dyDescent="0.25">
      <c r="Q172" s="354"/>
      <c r="R172" s="312"/>
      <c r="S172" s="312"/>
      <c r="T172" s="312"/>
      <c r="U172" s="312"/>
      <c r="V172" s="312"/>
      <c r="W172" s="312"/>
      <c r="X172" s="312"/>
      <c r="Y172" s="312"/>
      <c r="Z172" s="312"/>
      <c r="AA172" s="312"/>
      <c r="AB172" s="312"/>
      <c r="AC172" s="312"/>
      <c r="AD172" s="312"/>
      <c r="AE172" s="312"/>
      <c r="AF172" s="312"/>
      <c r="AG172" s="312"/>
      <c r="AH172" s="312"/>
      <c r="AI172" s="312"/>
      <c r="AJ172" s="312"/>
      <c r="AK172" s="312"/>
      <c r="AL172" s="312"/>
      <c r="AM172" s="312"/>
      <c r="AN172" s="312"/>
      <c r="AO172" s="312"/>
      <c r="AP172" s="312"/>
      <c r="AQ172" s="312"/>
      <c r="AR172" s="312"/>
      <c r="AS172" s="312"/>
      <c r="AT172" s="312"/>
      <c r="AU172" s="312"/>
      <c r="AV172" s="312"/>
      <c r="AW172" s="312"/>
      <c r="AX172" s="312"/>
    </row>
    <row r="173" spans="6:50" x14ac:dyDescent="0.25">
      <c r="R173" s="355"/>
      <c r="S173" s="355"/>
      <c r="T173" s="355"/>
      <c r="U173" s="355"/>
      <c r="V173" s="355"/>
      <c r="W173" s="355"/>
      <c r="X173" s="355"/>
      <c r="Y173" s="312"/>
      <c r="Z173" s="312"/>
      <c r="AA173" s="312"/>
      <c r="AB173" s="312"/>
      <c r="AC173" s="312"/>
      <c r="AD173" s="312"/>
      <c r="AE173" s="312"/>
      <c r="AF173" s="312"/>
      <c r="AG173" s="312"/>
      <c r="AH173" s="312"/>
      <c r="AI173" s="312"/>
      <c r="AJ173" s="312"/>
      <c r="AK173" s="312"/>
      <c r="AL173" s="312"/>
      <c r="AM173" s="312"/>
      <c r="AN173" s="312"/>
      <c r="AO173" s="312"/>
      <c r="AP173" s="312"/>
      <c r="AQ173" s="312"/>
      <c r="AR173" s="312"/>
      <c r="AS173" s="312"/>
      <c r="AT173" s="312"/>
      <c r="AU173" s="312"/>
      <c r="AV173" s="312"/>
      <c r="AW173" s="312"/>
      <c r="AX173" s="312"/>
    </row>
    <row r="175" spans="6:50" x14ac:dyDescent="0.25">
      <c r="R175" s="214"/>
      <c r="S175" s="214"/>
      <c r="T175" s="214"/>
      <c r="U175" s="214"/>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row>
    <row r="176" spans="6:50" x14ac:dyDescent="0.25">
      <c r="R176" s="214"/>
      <c r="S176" s="214"/>
      <c r="T176" s="214"/>
      <c r="U176" s="214"/>
      <c r="V176" s="214"/>
      <c r="W176" s="214"/>
      <c r="X176" s="214"/>
      <c r="Y176" s="214"/>
      <c r="Z176" s="214"/>
      <c r="AA176" s="214"/>
      <c r="AB176" s="214"/>
      <c r="AC176" s="214"/>
      <c r="AD176" s="214"/>
      <c r="AE176" s="214"/>
      <c r="AF176" s="214"/>
      <c r="AG176" s="214"/>
      <c r="AH176" s="214"/>
      <c r="AI176" s="214"/>
      <c r="AJ176" s="214"/>
      <c r="AK176" s="214"/>
      <c r="AL176" s="214"/>
      <c r="AM176" s="214"/>
      <c r="AN176" s="214"/>
      <c r="AO176" s="214"/>
      <c r="AP176" s="214"/>
      <c r="AQ176" s="214"/>
      <c r="AR176" s="214"/>
      <c r="AS176" s="214"/>
      <c r="AT176" s="214"/>
    </row>
    <row r="177" spans="18:51" x14ac:dyDescent="0.25">
      <c r="R177" s="214"/>
      <c r="S177" s="214"/>
      <c r="T177" s="214"/>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row>
    <row r="178" spans="18:51" x14ac:dyDescent="0.25">
      <c r="R178" s="214"/>
      <c r="S178" s="214"/>
      <c r="T178" s="214"/>
      <c r="U178" s="214"/>
      <c r="V178" s="214"/>
      <c r="W178" s="214"/>
      <c r="X178" s="214"/>
      <c r="Y178" s="214"/>
      <c r="Z178" s="214"/>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row>
    <row r="180" spans="18:51" x14ac:dyDescent="0.25">
      <c r="R180" s="356"/>
      <c r="S180" s="356"/>
      <c r="T180" s="356"/>
      <c r="U180" s="356"/>
      <c r="V180" s="356"/>
      <c r="W180" s="356"/>
      <c r="X180" s="356"/>
      <c r="Y180" s="356"/>
      <c r="Z180" s="356"/>
      <c r="AA180" s="356"/>
      <c r="AB180" s="356"/>
      <c r="AC180" s="356"/>
      <c r="AD180" s="356"/>
      <c r="AE180" s="356"/>
      <c r="AF180" s="356"/>
      <c r="AG180" s="356"/>
      <c r="AH180" s="356"/>
      <c r="AI180" s="356"/>
      <c r="AJ180" s="356"/>
      <c r="AK180" s="356"/>
      <c r="AL180" s="356"/>
      <c r="AM180" s="356"/>
      <c r="AN180" s="356"/>
      <c r="AO180" s="356"/>
      <c r="AP180" s="356"/>
      <c r="AQ180" s="356"/>
      <c r="AR180" s="356"/>
      <c r="AS180" s="356"/>
      <c r="AT180" s="356"/>
      <c r="AU180" s="356"/>
      <c r="AV180" s="356"/>
      <c r="AW180" s="356"/>
      <c r="AX180" s="356"/>
      <c r="AY180" s="356"/>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saraksts_28082025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2025-08-05T11:21:42Z</dcterms:created>
  <dcterms:modified xsi:type="dcterms:W3CDTF">2025-08-25T11:32:37Z</dcterms:modified>
</cp:coreProperties>
</file>