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Šī_darbgrāmata" hidePivotFieldList="1"/>
  <mc:AlternateContent xmlns:mc="http://schemas.openxmlformats.org/markup-compatibility/2006">
    <mc:Choice Requires="x15">
      <x15ac:absPath xmlns:x15ac="http://schemas.microsoft.com/office/spreadsheetml/2010/11/ac" url="https://andadminadazi-my.sharepoint.com/personal/sintijat_adazi_lv/Documents/Desktop/"/>
    </mc:Choice>
  </mc:AlternateContent>
  <xr:revisionPtr revIDLastSave="0" documentId="8_{A53B5073-973C-466E-8B61-5BD253DDE52F}" xr6:coauthVersionLast="47" xr6:coauthVersionMax="47" xr10:uidLastSave="{00000000-0000-0000-0000-000000000000}"/>
  <bookViews>
    <workbookView xWindow="-108" yWindow="-108" windowWidth="23256" windowHeight="12456" tabRatio="905" firstSheet="2" activeTab="3" xr2:uid="{00000000-000D-0000-FFFF-FFFF00000000}"/>
  </bookViews>
  <sheets>
    <sheet name="check" sheetId="111" r:id="rId1"/>
    <sheet name="IIN_PFIF" sheetId="134" r:id="rId2"/>
    <sheet name="2025.gada budzeta plans_apvieno" sheetId="70" r:id="rId3"/>
    <sheet name="Grafiki_budžeta_izpilde" sheetId="128" r:id="rId4"/>
  </sheets>
  <definedNames>
    <definedName name="_0812" localSheetId="3">#REF!</definedName>
    <definedName name="_0812">#REF!</definedName>
    <definedName name="_xlnm._FilterDatabase" localSheetId="2" hidden="1">'2025.gada budzeta plans_apvieno'!#REF!</definedName>
    <definedName name="Apmaksa" localSheetId="2">#REF!</definedName>
    <definedName name="Apmaksa">#REF!</definedName>
    <definedName name="Darijums" localSheetId="2">#REF!</definedName>
    <definedName name="Darijums">#REF!</definedName>
    <definedName name="Excel_BuiltIn__FilterDatabase" localSheetId="2">#REF!</definedName>
    <definedName name="Excel_BuiltIn__FilterDatabase">#REF!</definedName>
    <definedName name="Firmas" localSheetId="2">#REF!</definedName>
    <definedName name="Firmas">#REF!</definedName>
    <definedName name="Kolonnas_virsraksta_reģions1..B11.1">#REF!</definedName>
    <definedName name="Kolonnas_virsraksta_reģions1..D4">#REF!</definedName>
    <definedName name="Kolonnas_virsraksta_reģions2..D7">#REF!</definedName>
    <definedName name="Kolonnas_virsraksta_reģions3..C12">#REF!</definedName>
    <definedName name="KolonnasNosaukums1" localSheetId="3">#REF!</definedName>
    <definedName name="KolonnasNosaukums1">#REF!</definedName>
    <definedName name="Parvadataji" localSheetId="2">#REF!</definedName>
    <definedName name="Parvadataji">#REF!</definedName>
    <definedName name="_xlnm.Print_Area" localSheetId="2">'2025.gada budzeta plans_apvieno'!$A$1:$Q$289</definedName>
    <definedName name="_xlnm.Print_Titles" localSheetId="2">'2025.gada budzeta plans_apvieno'!$5:$5</definedName>
    <definedName name="Saist_apmers_ar_galvojumu">#REF!</definedName>
    <definedName name="Z_1893421C_DBAA_4C10_AA6C_4D0F39122205_.wvu.FilterData" localSheetId="2">#REF!</definedName>
    <definedName name="Z_1893421C_DBAA_4C10_AA6C_4D0F39122205_.wvu.FilterData">#REF!</definedName>
    <definedName name="Z_483F8D4B_D649_4D59_A67B_5E8B6C0D2E28_.wvu.FilterData" localSheetId="2">#REF!</definedName>
    <definedName name="Z_483F8D4B_D649_4D59_A67B_5E8B6C0D2E28_.wvu.FilterData">#REF!</definedName>
    <definedName name="Z_56A06D27_97E5_4D01_ADCE_F8E0A2A870EF_.wvu.FilterData" localSheetId="2">#REF!</definedName>
    <definedName name="Z_56A06D27_97E5_4D01_ADCE_F8E0A2A870EF_.wvu.FilterData">#REF!</definedName>
    <definedName name="Z_81EB1DB6_89AB_4045_90FA_EF2BA7E792F9_.wvu.FilterData" localSheetId="2">#REF!</definedName>
    <definedName name="Z_81EB1DB6_89AB_4045_90FA_EF2BA7E792F9_.wvu.FilterData">#REF!</definedName>
    <definedName name="Z_81EB1DB6_89AB_4045_90FA_EF2BA7E792F9_.wvu.PrintArea" localSheetId="2">#REF!</definedName>
    <definedName name="Z_81EB1DB6_89AB_4045_90FA_EF2BA7E792F9_.wvu.PrintArea">#REF!</definedName>
    <definedName name="Z_8545B4E6_A517_4BD7_BFB7_42FEB5F229AD_.wvu.FilterData" localSheetId="2">#REF!</definedName>
    <definedName name="Z_8545B4E6_A517_4BD7_BFB7_42FEB5F229AD_.wvu.FilterData">#REF!</definedName>
    <definedName name="Z_877A1030_2452_46B0_88DF_8A068656C08E_.wvu.FilterData" localSheetId="2">#REF!</definedName>
    <definedName name="Z_877A1030_2452_46B0_88DF_8A068656C08E_.wvu.FilterData">#REF!</definedName>
    <definedName name="Z_ABD8A783_3A6C_4629_9559_1E4E89E80131_.wvu.FilterData" localSheetId="2">#REF!</definedName>
    <definedName name="Z_ABD8A783_3A6C_4629_9559_1E4E89E80131_.wvu.FilterData">#REF!</definedName>
    <definedName name="Z_AF277C95_CBD9_4696_AC72_D010599E9831_.wvu.FilterData" localSheetId="2">#REF!</definedName>
    <definedName name="Z_AF277C95_CBD9_4696_AC72_D010599E9831_.wvu.FilterData">#REF!</definedName>
    <definedName name="Z_B7CBCF06_FF41_423A_9AB3_E1D1F70C6FC5_.wvu.FilterData" localSheetId="2">#REF!</definedName>
    <definedName name="Z_B7CBCF06_FF41_423A_9AB3_E1D1F70C6FC5_.wvu.FilterData">#REF!</definedName>
    <definedName name="Z_C5511FB8_86C5_41F3_ADCD_B10310F066F5_.wvu.FilterData" localSheetId="2">#REF!</definedName>
    <definedName name="Z_C5511FB8_86C5_41F3_ADCD_B10310F066F5_.wvu.FilterData">#REF!</definedName>
    <definedName name="Z_DB8ECBD1_2D44_4F97_BCC9_F610BA0A3109_.wvu.FilterData" localSheetId="2">#REF!</definedName>
    <definedName name="Z_DB8ECBD1_2D44_4F97_BCC9_F610BA0A3109_.wvu.FilterData">#REF!</definedName>
    <definedName name="Z_DEE3A27E_689A_4E9F_A3EB_C84F1E3B413E_.wvu.FilterData" localSheetId="2">#REF!</definedName>
    <definedName name="Z_DEE3A27E_689A_4E9F_A3EB_C84F1E3B413E_.wvu.FilterData">#REF!</definedName>
    <definedName name="Z_F1F489B9_0F61_4F1F_A151_75EF77465344_.wvu.Cols" localSheetId="2">#REF!</definedName>
    <definedName name="Z_F1F489B9_0F61_4F1F_A151_75EF77465344_.wvu.Cols">#REF!</definedName>
    <definedName name="Z_F1F489B9_0F61_4F1F_A151_75EF77465344_.wvu.FilterData" localSheetId="2">#REF!</definedName>
    <definedName name="Z_F1F489B9_0F61_4F1F_A151_75EF77465344_.wvu.FilterData">#REF!</definedName>
    <definedName name="Z_F1F489B9_0F61_4F1F_A151_75EF77465344_.wvu.PrintArea" localSheetId="2">#REF!</definedName>
    <definedName name="Z_F1F489B9_0F61_4F1F_A151_75EF77465344_.wvu.PrintArea">#REF!</definedName>
    <definedName name="Z_F1F489B9_0F61_4F1F_A151_75EF77465344_.wvu.PrintTitles" localSheetId="2">#REF!</definedName>
    <definedName name="Z_F1F489B9_0F61_4F1F_A151_75EF77465344_.wvu.PrintTit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1" i="128" l="1"/>
  <c r="O169" i="70"/>
  <c r="O103" i="70"/>
  <c r="O97" i="70"/>
  <c r="O38" i="70"/>
  <c r="O35" i="70"/>
  <c r="O279" i="70" l="1"/>
  <c r="O166" i="70"/>
  <c r="O149" i="70"/>
  <c r="O198" i="70"/>
  <c r="O197" i="70" s="1"/>
  <c r="O239" i="70"/>
  <c r="O250" i="70"/>
  <c r="O190" i="70"/>
  <c r="O126" i="70"/>
  <c r="P285" i="70"/>
  <c r="P284" i="70"/>
  <c r="P187" i="70"/>
  <c r="P186" i="70"/>
  <c r="O65" i="70"/>
  <c r="O94" i="70"/>
  <c r="O101" i="70"/>
  <c r="O54" i="70"/>
  <c r="O31" i="70"/>
  <c r="O26" i="70"/>
  <c r="M285" i="70" l="1"/>
  <c r="M284" i="70"/>
  <c r="L283" i="70"/>
  <c r="M187" i="70"/>
  <c r="M186" i="70"/>
  <c r="N181" i="70"/>
  <c r="M124" i="70"/>
  <c r="L124" i="70"/>
  <c r="J124" i="70" l="1"/>
  <c r="J285" i="70" l="1"/>
  <c r="J284" i="70"/>
  <c r="I283" i="70"/>
  <c r="M283" i="70" s="1"/>
  <c r="K181" i="70"/>
  <c r="I124" i="70"/>
  <c r="C69" i="128" l="1"/>
  <c r="G95" i="70" l="1"/>
  <c r="I95" i="70"/>
  <c r="J95" i="70" l="1"/>
  <c r="L95" i="70"/>
  <c r="M95" i="70" s="1"/>
  <c r="C67" i="128" l="1"/>
  <c r="O148" i="70" l="1"/>
  <c r="O196" i="70"/>
  <c r="O162" i="70" l="1"/>
  <c r="O143" i="70" l="1"/>
  <c r="C86" i="128"/>
  <c r="C84" i="128"/>
  <c r="C74" i="128"/>
  <c r="C68" i="128"/>
  <c r="C64" i="128"/>
  <c r="C62" i="128"/>
  <c r="C61" i="128"/>
  <c r="C60" i="128"/>
  <c r="C59" i="128"/>
  <c r="D56" i="128"/>
  <c r="C56" i="128"/>
  <c r="B56" i="128"/>
  <c r="C14" i="128"/>
  <c r="D5" i="128"/>
  <c r="C5" i="128"/>
  <c r="G285" i="70"/>
  <c r="G284" i="70"/>
  <c r="O283" i="70"/>
  <c r="P283" i="70" s="1"/>
  <c r="J283" i="70"/>
  <c r="O280" i="70"/>
  <c r="I272" i="70"/>
  <c r="L272" i="70" s="1"/>
  <c r="O269" i="70"/>
  <c r="O266" i="70"/>
  <c r="I263" i="70"/>
  <c r="L263" i="70" s="1"/>
  <c r="P263" i="70" s="1"/>
  <c r="O262" i="70"/>
  <c r="I258" i="70"/>
  <c r="I254" i="70"/>
  <c r="O249" i="70"/>
  <c r="O233" i="70"/>
  <c r="I230" i="70"/>
  <c r="L230" i="70" s="1"/>
  <c r="P230" i="70" s="1"/>
  <c r="O229" i="70"/>
  <c r="I226" i="70"/>
  <c r="L226" i="70" s="1"/>
  <c r="P226" i="70" s="1"/>
  <c r="O225" i="70"/>
  <c r="I222" i="70"/>
  <c r="L222" i="70" s="1"/>
  <c r="P222" i="70" s="1"/>
  <c r="O221" i="70"/>
  <c r="I218" i="70"/>
  <c r="L218" i="70" s="1"/>
  <c r="P218" i="70" s="1"/>
  <c r="O217" i="70"/>
  <c r="O205" i="70"/>
  <c r="O202" i="70"/>
  <c r="I199" i="70"/>
  <c r="I192" i="70"/>
  <c r="I191" i="70"/>
  <c r="L191" i="70" s="1"/>
  <c r="P191" i="70" s="1"/>
  <c r="O181" i="70"/>
  <c r="H181" i="70"/>
  <c r="I169" i="70"/>
  <c r="I167" i="70"/>
  <c r="L167" i="70" s="1"/>
  <c r="P167" i="70" s="1"/>
  <c r="I164" i="70"/>
  <c r="I163" i="70"/>
  <c r="L163" i="70" s="1"/>
  <c r="I153" i="70"/>
  <c r="O141" i="70"/>
  <c r="I139" i="70"/>
  <c r="I138" i="70"/>
  <c r="L138" i="70" s="1"/>
  <c r="P138" i="70" s="1"/>
  <c r="O137" i="70"/>
  <c r="I135" i="70"/>
  <c r="I126" i="70"/>
  <c r="L126" i="70" s="1"/>
  <c r="O125" i="70"/>
  <c r="P124" i="70"/>
  <c r="O124" i="70"/>
  <c r="O118" i="70"/>
  <c r="O117" i="70"/>
  <c r="I117" i="70"/>
  <c r="O116" i="70"/>
  <c r="O109" i="70"/>
  <c r="I109" i="70"/>
  <c r="L109" i="70" s="1"/>
  <c r="O105" i="70"/>
  <c r="I102" i="70"/>
  <c r="I99" i="70"/>
  <c r="O93" i="70"/>
  <c r="I88" i="70"/>
  <c r="O86" i="70"/>
  <c r="I67" i="70"/>
  <c r="O66" i="70"/>
  <c r="I65" i="70"/>
  <c r="L65" i="70" s="1"/>
  <c r="P65" i="70" s="1"/>
  <c r="O50" i="70"/>
  <c r="I49" i="70"/>
  <c r="L49" i="70" s="1"/>
  <c r="M49" i="70" s="1"/>
  <c r="O37" i="70"/>
  <c r="O34" i="70"/>
  <c r="O27" i="70"/>
  <c r="O23" i="70"/>
  <c r="O19" i="70"/>
  <c r="O16" i="70"/>
  <c r="O13" i="70"/>
  <c r="O10" i="70"/>
  <c r="O7" i="70"/>
  <c r="I8" i="70"/>
  <c r="L8" i="70" s="1"/>
  <c r="P8" i="70" s="1"/>
  <c r="G17" i="134"/>
  <c r="F17" i="134"/>
  <c r="E17" i="134"/>
  <c r="D17" i="134"/>
  <c r="C17" i="134"/>
  <c r="G14" i="134"/>
  <c r="F14" i="134"/>
  <c r="E14" i="134"/>
  <c r="D14" i="134"/>
  <c r="C14" i="134"/>
  <c r="G10" i="134"/>
  <c r="F10" i="134"/>
  <c r="E10" i="134"/>
  <c r="D10" i="134"/>
  <c r="C10" i="134"/>
  <c r="R9" i="134"/>
  <c r="S9" i="134" s="1"/>
  <c r="O9" i="134"/>
  <c r="P9" i="134" s="1"/>
  <c r="L9" i="134"/>
  <c r="M9" i="134" s="1"/>
  <c r="I9" i="134"/>
  <c r="J9" i="134" s="1"/>
  <c r="R8" i="134"/>
  <c r="S8" i="134" s="1"/>
  <c r="O8" i="134"/>
  <c r="P8" i="134" s="1"/>
  <c r="L8" i="134"/>
  <c r="M8" i="134" s="1"/>
  <c r="I8" i="134"/>
  <c r="J8" i="134" s="1"/>
  <c r="P33" i="111"/>
  <c r="Q33" i="111" s="1"/>
  <c r="O21" i="111"/>
  <c r="O20" i="111" s="1"/>
  <c r="O6" i="111"/>
  <c r="O5" i="111" s="1"/>
  <c r="P163" i="70" l="1"/>
  <c r="O195" i="70"/>
  <c r="P272" i="70"/>
  <c r="P126" i="70"/>
  <c r="P109" i="70"/>
  <c r="C10" i="128"/>
  <c r="C17" i="128"/>
  <c r="C13" i="128"/>
  <c r="L139" i="70"/>
  <c r="L137" i="70" s="1"/>
  <c r="B63" i="128" s="1"/>
  <c r="L135" i="70"/>
  <c r="L164" i="70"/>
  <c r="P164" i="70" s="1"/>
  <c r="L169" i="70"/>
  <c r="L192" i="70"/>
  <c r="M272" i="70"/>
  <c r="L153" i="70"/>
  <c r="L258" i="70"/>
  <c r="M65" i="70"/>
  <c r="L117" i="70"/>
  <c r="M117" i="70" s="1"/>
  <c r="O10" i="134"/>
  <c r="P10" i="134" s="1"/>
  <c r="L254" i="70"/>
  <c r="J99" i="70"/>
  <c r="L99" i="70"/>
  <c r="M99" i="70" s="1"/>
  <c r="M138" i="70"/>
  <c r="M218" i="70"/>
  <c r="M163" i="70"/>
  <c r="M167" i="70"/>
  <c r="J67" i="70"/>
  <c r="L67" i="70"/>
  <c r="M191" i="70"/>
  <c r="J88" i="70"/>
  <c r="L88" i="70"/>
  <c r="M88" i="70" s="1"/>
  <c r="M126" i="70"/>
  <c r="J199" i="70"/>
  <c r="L199" i="70"/>
  <c r="M199" i="70" s="1"/>
  <c r="M230" i="70"/>
  <c r="M263" i="70"/>
  <c r="M226" i="70"/>
  <c r="L7" i="70"/>
  <c r="M8" i="70"/>
  <c r="J102" i="70"/>
  <c r="L102" i="70"/>
  <c r="M102" i="70" s="1"/>
  <c r="M222" i="70"/>
  <c r="M109" i="70"/>
  <c r="I241" i="70"/>
  <c r="L241" i="70" s="1"/>
  <c r="I252" i="70"/>
  <c r="L252" i="70" s="1"/>
  <c r="I48" i="70"/>
  <c r="L48" i="70" s="1"/>
  <c r="J135" i="70"/>
  <c r="I287" i="70"/>
  <c r="L287" i="70" s="1"/>
  <c r="I85" i="70"/>
  <c r="J85" i="70" s="1"/>
  <c r="R10" i="134"/>
  <c r="S10" i="134" s="1"/>
  <c r="I10" i="134"/>
  <c r="J10" i="134" s="1"/>
  <c r="L10" i="134"/>
  <c r="M10" i="134" s="1"/>
  <c r="I20" i="70"/>
  <c r="L20" i="70" s="1"/>
  <c r="P20" i="70" s="1"/>
  <c r="O22" i="70"/>
  <c r="G46" i="70"/>
  <c r="I46" i="70"/>
  <c r="I51" i="70"/>
  <c r="L51" i="70" s="1"/>
  <c r="P51" i="70" s="1"/>
  <c r="I77" i="70"/>
  <c r="I83" i="70"/>
  <c r="I94" i="70"/>
  <c r="L94" i="70" s="1"/>
  <c r="P94" i="70" s="1"/>
  <c r="I183" i="70"/>
  <c r="I198" i="70"/>
  <c r="I231" i="70"/>
  <c r="L231" i="70" s="1"/>
  <c r="I234" i="70"/>
  <c r="L234" i="70" s="1"/>
  <c r="P234" i="70" s="1"/>
  <c r="I239" i="70"/>
  <c r="L239" i="70" s="1"/>
  <c r="P239" i="70" s="1"/>
  <c r="I246" i="70"/>
  <c r="I256" i="70"/>
  <c r="I32" i="70"/>
  <c r="G38" i="70"/>
  <c r="I38" i="70"/>
  <c r="L38" i="70" s="1"/>
  <c r="P38" i="70" s="1"/>
  <c r="I57" i="70"/>
  <c r="G63" i="70"/>
  <c r="I63" i="70"/>
  <c r="I91" i="70"/>
  <c r="L91" i="70" s="1"/>
  <c r="P91" i="70" s="1"/>
  <c r="G103" i="70"/>
  <c r="I103" i="70"/>
  <c r="I107" i="70"/>
  <c r="I115" i="70"/>
  <c r="I142" i="70"/>
  <c r="L142" i="70" s="1"/>
  <c r="P142" i="70" s="1"/>
  <c r="I159" i="70"/>
  <c r="I165" i="70"/>
  <c r="I189" i="70"/>
  <c r="I193" i="70"/>
  <c r="L193" i="70" s="1"/>
  <c r="P193" i="70" s="1"/>
  <c r="I207" i="70"/>
  <c r="I227" i="70"/>
  <c r="L227" i="70" s="1"/>
  <c r="I240" i="70"/>
  <c r="I24" i="70"/>
  <c r="L24" i="70" s="1"/>
  <c r="P24" i="70" s="1"/>
  <c r="I35" i="70"/>
  <c r="L35" i="70" s="1"/>
  <c r="P35" i="70" s="1"/>
  <c r="I78" i="70"/>
  <c r="I84" i="70"/>
  <c r="I87" i="70"/>
  <c r="L87" i="70" s="1"/>
  <c r="P87" i="70" s="1"/>
  <c r="I92" i="70"/>
  <c r="I110" i="70"/>
  <c r="I130" i="70"/>
  <c r="J139" i="70"/>
  <c r="I149" i="70"/>
  <c r="L149" i="70" s="1"/>
  <c r="P149" i="70" s="1"/>
  <c r="I154" i="70"/>
  <c r="J169" i="70"/>
  <c r="I184" i="70"/>
  <c r="I203" i="70"/>
  <c r="L203" i="70" s="1"/>
  <c r="P203" i="70" s="1"/>
  <c r="I212" i="70"/>
  <c r="I223" i="70"/>
  <c r="L223" i="70" s="1"/>
  <c r="I232" i="70"/>
  <c r="I235" i="70"/>
  <c r="G247" i="70"/>
  <c r="I247" i="70"/>
  <c r="I251" i="70"/>
  <c r="I257" i="70"/>
  <c r="I17" i="70"/>
  <c r="L17" i="70" s="1"/>
  <c r="P17" i="70" s="1"/>
  <c r="I21" i="70"/>
  <c r="I33" i="70"/>
  <c r="G49" i="70"/>
  <c r="J49" i="70"/>
  <c r="I52" i="70"/>
  <c r="G58" i="70"/>
  <c r="I58" i="70"/>
  <c r="I64" i="70"/>
  <c r="G116" i="70"/>
  <c r="I116" i="70"/>
  <c r="G144" i="70"/>
  <c r="I144" i="70"/>
  <c r="L144" i="70" s="1"/>
  <c r="I160" i="70"/>
  <c r="I194" i="70"/>
  <c r="I219" i="70"/>
  <c r="L219" i="70" s="1"/>
  <c r="I228" i="70"/>
  <c r="I270" i="70"/>
  <c r="L270" i="70" s="1"/>
  <c r="P270" i="70" s="1"/>
  <c r="I18" i="70"/>
  <c r="I25" i="70"/>
  <c r="I36" i="70"/>
  <c r="G39" i="70"/>
  <c r="I39" i="70"/>
  <c r="I111" i="70"/>
  <c r="I131" i="70"/>
  <c r="G140" i="70"/>
  <c r="I140" i="70"/>
  <c r="I150" i="70"/>
  <c r="I155" i="70"/>
  <c r="I170" i="70"/>
  <c r="I185" i="70"/>
  <c r="I200" i="70"/>
  <c r="G208" i="70"/>
  <c r="I208" i="70"/>
  <c r="I213" i="70"/>
  <c r="I224" i="70"/>
  <c r="I236" i="70"/>
  <c r="J258" i="70"/>
  <c r="I14" i="70"/>
  <c r="L14" i="70" s="1"/>
  <c r="P14" i="70" s="1"/>
  <c r="I28" i="70"/>
  <c r="L28" i="70" s="1"/>
  <c r="P28" i="70" s="1"/>
  <c r="P53" i="70"/>
  <c r="I53" i="70"/>
  <c r="G59" i="70"/>
  <c r="I59" i="70"/>
  <c r="G68" i="70"/>
  <c r="I68" i="70"/>
  <c r="I74" i="70"/>
  <c r="G126" i="70"/>
  <c r="I145" i="70"/>
  <c r="I204" i="70"/>
  <c r="I214" i="70"/>
  <c r="I220" i="70"/>
  <c r="I242" i="70"/>
  <c r="I253" i="70"/>
  <c r="I259" i="70"/>
  <c r="L259" i="70" s="1"/>
  <c r="I267" i="70"/>
  <c r="L267" i="70" s="1"/>
  <c r="P267" i="70" s="1"/>
  <c r="I271" i="70"/>
  <c r="I15" i="70"/>
  <c r="I26" i="70"/>
  <c r="I40" i="70"/>
  <c r="G65" i="70"/>
  <c r="J65" i="70"/>
  <c r="I80" i="70"/>
  <c r="I112" i="70"/>
  <c r="G117" i="70"/>
  <c r="J117" i="70"/>
  <c r="G132" i="70"/>
  <c r="I132" i="70"/>
  <c r="L132" i="70" s="1"/>
  <c r="P151" i="70"/>
  <c r="I151" i="70"/>
  <c r="I161" i="70"/>
  <c r="I171" i="70"/>
  <c r="I201" i="70"/>
  <c r="I243" i="70"/>
  <c r="I11" i="70"/>
  <c r="L11" i="70" s="1"/>
  <c r="P11" i="70" s="1"/>
  <c r="I29" i="70"/>
  <c r="I54" i="70"/>
  <c r="I60" i="70"/>
  <c r="I69" i="70"/>
  <c r="I127" i="70"/>
  <c r="I146" i="70"/>
  <c r="I156" i="70"/>
  <c r="J186" i="70"/>
  <c r="G209" i="70"/>
  <c r="I209" i="70"/>
  <c r="G216" i="70"/>
  <c r="I216" i="70"/>
  <c r="I264" i="70"/>
  <c r="L264" i="70" s="1"/>
  <c r="I268" i="70"/>
  <c r="L268" i="70" s="1"/>
  <c r="P268" i="70" s="1"/>
  <c r="I277" i="70"/>
  <c r="I12" i="70"/>
  <c r="I44" i="70"/>
  <c r="I81" i="70"/>
  <c r="G97" i="70"/>
  <c r="I97" i="70"/>
  <c r="L97" i="70" s="1"/>
  <c r="P97" i="70" s="1"/>
  <c r="G101" i="70"/>
  <c r="I101" i="70"/>
  <c r="L101" i="70" s="1"/>
  <c r="P101" i="70" s="1"/>
  <c r="G113" i="70"/>
  <c r="I113" i="70"/>
  <c r="G133" i="70"/>
  <c r="I133" i="70"/>
  <c r="I152" i="70"/>
  <c r="J163" i="70"/>
  <c r="I172" i="70"/>
  <c r="L172" i="70" s="1"/>
  <c r="P172" i="70" s="1"/>
  <c r="I244" i="70"/>
  <c r="J254" i="70"/>
  <c r="I260" i="70"/>
  <c r="J272" i="70"/>
  <c r="G8" i="70"/>
  <c r="I30" i="70"/>
  <c r="I55" i="70"/>
  <c r="G61" i="70"/>
  <c r="I61" i="70"/>
  <c r="I70" i="70"/>
  <c r="G118" i="70"/>
  <c r="I118" i="70"/>
  <c r="I128" i="70"/>
  <c r="I147" i="70"/>
  <c r="I157" i="70"/>
  <c r="I182" i="70"/>
  <c r="L182" i="70" s="1"/>
  <c r="P182" i="70" s="1"/>
  <c r="J187" i="70"/>
  <c r="I197" i="70"/>
  <c r="L197" i="70" s="1"/>
  <c r="P197" i="70" s="1"/>
  <c r="I210" i="70"/>
  <c r="I265" i="70"/>
  <c r="I278" i="70"/>
  <c r="I45" i="70"/>
  <c r="I82" i="70"/>
  <c r="G98" i="70"/>
  <c r="I98" i="70"/>
  <c r="L98" i="70" s="1"/>
  <c r="P98" i="70" s="1"/>
  <c r="I245" i="70"/>
  <c r="I255" i="70"/>
  <c r="I261" i="70"/>
  <c r="I273" i="70"/>
  <c r="I31" i="70"/>
  <c r="P56" i="70"/>
  <c r="I56" i="70"/>
  <c r="I62" i="70"/>
  <c r="I106" i="70"/>
  <c r="L106" i="70" s="1"/>
  <c r="P106" i="70" s="1"/>
  <c r="J109" i="70"/>
  <c r="I114" i="70"/>
  <c r="I129" i="70"/>
  <c r="I134" i="70"/>
  <c r="J153" i="70"/>
  <c r="I158" i="70"/>
  <c r="J164" i="70"/>
  <c r="I168" i="70"/>
  <c r="I188" i="70"/>
  <c r="J192" i="70"/>
  <c r="I206" i="70"/>
  <c r="L206" i="70" s="1"/>
  <c r="P206" i="70" s="1"/>
  <c r="I211" i="70"/>
  <c r="I250" i="70"/>
  <c r="L250" i="70" s="1"/>
  <c r="P250" i="70" s="1"/>
  <c r="I279" i="70"/>
  <c r="I276" i="70"/>
  <c r="I274" i="70"/>
  <c r="I275" i="70"/>
  <c r="G85" i="70"/>
  <c r="G79" i="70"/>
  <c r="I79" i="70"/>
  <c r="L79" i="70" s="1"/>
  <c r="G75" i="70"/>
  <c r="I75" i="70"/>
  <c r="G76" i="70"/>
  <c r="I76" i="70"/>
  <c r="G71" i="70"/>
  <c r="I71" i="70"/>
  <c r="G72" i="70"/>
  <c r="I72" i="70"/>
  <c r="G73" i="70"/>
  <c r="I73" i="70"/>
  <c r="G18" i="70"/>
  <c r="O9" i="70"/>
  <c r="G263" i="70"/>
  <c r="G52" i="70"/>
  <c r="G163" i="70"/>
  <c r="G170" i="70"/>
  <c r="G62" i="70"/>
  <c r="G28" i="70"/>
  <c r="G60" i="70"/>
  <c r="G145" i="70"/>
  <c r="G159" i="70"/>
  <c r="G266" i="70"/>
  <c r="G87" i="70"/>
  <c r="G108" i="70"/>
  <c r="G172" i="70"/>
  <c r="G227" i="70"/>
  <c r="G200" i="70"/>
  <c r="G20" i="70"/>
  <c r="G191" i="70"/>
  <c r="G161" i="70"/>
  <c r="G261" i="70"/>
  <c r="G214" i="70"/>
  <c r="G210" i="70"/>
  <c r="G70" i="70"/>
  <c r="G21" i="70"/>
  <c r="O43" i="70"/>
  <c r="G99" i="70"/>
  <c r="G102" i="70"/>
  <c r="G134" i="70"/>
  <c r="G198" i="70"/>
  <c r="G240" i="70"/>
  <c r="G82" i="70"/>
  <c r="G112" i="70"/>
  <c r="G231" i="70"/>
  <c r="G53" i="70"/>
  <c r="G78" i="70"/>
  <c r="G151" i="70"/>
  <c r="G186" i="70"/>
  <c r="G253" i="70"/>
  <c r="G48" i="70"/>
  <c r="G91" i="70"/>
  <c r="G190" i="70"/>
  <c r="G246" i="70"/>
  <c r="G257" i="70"/>
  <c r="G273" i="70"/>
  <c r="G16" i="70"/>
  <c r="G129" i="70"/>
  <c r="G183" i="70"/>
  <c r="G199" i="70"/>
  <c r="G223" i="70"/>
  <c r="G54" i="70"/>
  <c r="G83" i="70"/>
  <c r="G107" i="70"/>
  <c r="G160" i="70"/>
  <c r="G25" i="70"/>
  <c r="G27" i="70"/>
  <c r="G36" i="70"/>
  <c r="G44" i="70"/>
  <c r="G51" i="70"/>
  <c r="G149" i="70"/>
  <c r="G264" i="70"/>
  <c r="G267" i="70"/>
  <c r="G270" i="70"/>
  <c r="G17" i="70"/>
  <c r="G114" i="70"/>
  <c r="G184" i="70"/>
  <c r="G188" i="70"/>
  <c r="G213" i="70"/>
  <c r="G235" i="70"/>
  <c r="G11" i="70"/>
  <c r="G15" i="70"/>
  <c r="G153" i="70"/>
  <c r="G157" i="70"/>
  <c r="G243" i="70"/>
  <c r="G31" i="70"/>
  <c r="G130" i="70"/>
  <c r="G271" i="70"/>
  <c r="G81" i="70"/>
  <c r="G115" i="70"/>
  <c r="G219" i="70"/>
  <c r="G239" i="70"/>
  <c r="G255" i="70"/>
  <c r="G259" i="70"/>
  <c r="G12" i="70"/>
  <c r="G14" i="70"/>
  <c r="G30" i="70"/>
  <c r="G33" i="70"/>
  <c r="G45" i="70"/>
  <c r="G57" i="70"/>
  <c r="G88" i="70"/>
  <c r="G92" i="70"/>
  <c r="G109" i="70"/>
  <c r="G131" i="70"/>
  <c r="G146" i="70"/>
  <c r="G154" i="70"/>
  <c r="G165" i="70"/>
  <c r="G185" i="70"/>
  <c r="G201" i="70"/>
  <c r="G204" i="70"/>
  <c r="G222" i="70"/>
  <c r="G236" i="70"/>
  <c r="G245" i="70"/>
  <c r="G251" i="70"/>
  <c r="C22" i="128"/>
  <c r="G278" i="70"/>
  <c r="G228" i="70"/>
  <c r="G234" i="70"/>
  <c r="G24" i="70"/>
  <c r="G55" i="70"/>
  <c r="G84" i="70"/>
  <c r="G100" i="70"/>
  <c r="G106" i="70"/>
  <c r="G127" i="70"/>
  <c r="G138" i="70"/>
  <c r="G155" i="70"/>
  <c r="G171" i="70"/>
  <c r="G194" i="70"/>
  <c r="G197" i="70"/>
  <c r="G206" i="70"/>
  <c r="G241" i="70"/>
  <c r="G260" i="70"/>
  <c r="G287" i="70"/>
  <c r="C12" i="128"/>
  <c r="G211" i="70"/>
  <c r="G226" i="70"/>
  <c r="G252" i="70"/>
  <c r="G254" i="70"/>
  <c r="G256" i="70"/>
  <c r="G258" i="70"/>
  <c r="O6" i="70"/>
  <c r="G35" i="70"/>
  <c r="G64" i="70"/>
  <c r="G77" i="70"/>
  <c r="G80" i="70"/>
  <c r="O100" i="70"/>
  <c r="G110" i="70"/>
  <c r="G147" i="70"/>
  <c r="G169" i="70"/>
  <c r="G272" i="70"/>
  <c r="G279" i="70"/>
  <c r="G158" i="70"/>
  <c r="G164" i="70"/>
  <c r="G167" i="70"/>
  <c r="G189" i="70"/>
  <c r="G192" i="70"/>
  <c r="G203" i="70"/>
  <c r="G220" i="70"/>
  <c r="G232" i="70"/>
  <c r="G244" i="70"/>
  <c r="G250" i="70"/>
  <c r="G262" i="70"/>
  <c r="C18" i="128"/>
  <c r="G13" i="70"/>
  <c r="G29" i="70"/>
  <c r="G32" i="70"/>
  <c r="G56" i="70"/>
  <c r="G74" i="70"/>
  <c r="G94" i="70"/>
  <c r="O108" i="70"/>
  <c r="G128" i="70"/>
  <c r="G139" i="70"/>
  <c r="G152" i="70"/>
  <c r="G156" i="70"/>
  <c r="G182" i="70"/>
  <c r="G187" i="70"/>
  <c r="G205" i="70"/>
  <c r="G207" i="70"/>
  <c r="G218" i="70"/>
  <c r="G230" i="70"/>
  <c r="G242" i="70"/>
  <c r="G277" i="70"/>
  <c r="G111" i="70"/>
  <c r="G135" i="70"/>
  <c r="G142" i="70"/>
  <c r="G193" i="70"/>
  <c r="G212" i="70"/>
  <c r="G224" i="70"/>
  <c r="G26" i="70"/>
  <c r="G40" i="70"/>
  <c r="O96" i="70"/>
  <c r="G105" i="70"/>
  <c r="G150" i="70"/>
  <c r="G168" i="70"/>
  <c r="G202" i="70"/>
  <c r="G265" i="70"/>
  <c r="G268" i="70"/>
  <c r="C8" i="128"/>
  <c r="C78" i="128"/>
  <c r="G69" i="70"/>
  <c r="G67" i="70"/>
  <c r="G283" i="70"/>
  <c r="G282" i="70"/>
  <c r="I282" i="70" s="1"/>
  <c r="J282" i="70" s="1"/>
  <c r="L282" i="70" s="1"/>
  <c r="G280" i="70"/>
  <c r="G281" i="70"/>
  <c r="I281" i="70" s="1"/>
  <c r="J281" i="70" s="1"/>
  <c r="L281" i="70" s="1"/>
  <c r="P281" i="70" s="1"/>
  <c r="G274" i="70"/>
  <c r="G275" i="70"/>
  <c r="G276" i="70"/>
  <c r="C83" i="128"/>
  <c r="C82" i="128"/>
  <c r="O248" i="70"/>
  <c r="O238" i="70"/>
  <c r="C79" i="128"/>
  <c r="C77" i="128"/>
  <c r="C76" i="128"/>
  <c r="C75" i="128"/>
  <c r="O180" i="70"/>
  <c r="G176" i="70"/>
  <c r="I176" i="70" s="1"/>
  <c r="J176" i="70" s="1"/>
  <c r="L176" i="70" s="1"/>
  <c r="G173" i="70"/>
  <c r="I173" i="70" s="1"/>
  <c r="J173" i="70" s="1"/>
  <c r="L173" i="70" s="1"/>
  <c r="G177" i="70"/>
  <c r="I177" i="70" s="1"/>
  <c r="J177" i="70" s="1"/>
  <c r="L177" i="70" s="1"/>
  <c r="G174" i="70"/>
  <c r="I174" i="70" s="1"/>
  <c r="J174" i="70" s="1"/>
  <c r="L174" i="70" s="1"/>
  <c r="G178" i="70"/>
  <c r="I178" i="70" s="1"/>
  <c r="J178" i="70" s="1"/>
  <c r="L178" i="70" s="1"/>
  <c r="G175" i="70"/>
  <c r="I175" i="70" s="1"/>
  <c r="J175" i="70" s="1"/>
  <c r="L175" i="70" s="1"/>
  <c r="G179" i="70"/>
  <c r="I179" i="70" s="1"/>
  <c r="J179" i="70" s="1"/>
  <c r="L179" i="70" s="1"/>
  <c r="C66" i="128"/>
  <c r="C70" i="128" s="1"/>
  <c r="C65" i="128"/>
  <c r="O136" i="70"/>
  <c r="C63" i="128"/>
  <c r="C58" i="128"/>
  <c r="M164" i="70" l="1"/>
  <c r="M139" i="70"/>
  <c r="P139" i="70"/>
  <c r="P144" i="70"/>
  <c r="M135" i="70"/>
  <c r="P135" i="70"/>
  <c r="B62" i="128"/>
  <c r="D62" i="128" s="1"/>
  <c r="M179" i="70"/>
  <c r="P179" i="70"/>
  <c r="M223" i="70"/>
  <c r="P223" i="70"/>
  <c r="P137" i="70"/>
  <c r="M177" i="70"/>
  <c r="P177" i="70"/>
  <c r="M258" i="70"/>
  <c r="P258" i="70"/>
  <c r="M178" i="70"/>
  <c r="P178" i="70"/>
  <c r="M174" i="70"/>
  <c r="P174" i="70"/>
  <c r="M173" i="70"/>
  <c r="P173" i="70"/>
  <c r="M282" i="70"/>
  <c r="P282" i="70"/>
  <c r="B60" i="128"/>
  <c r="D60" i="128" s="1"/>
  <c r="P132" i="70"/>
  <c r="M153" i="70"/>
  <c r="P153" i="70"/>
  <c r="M176" i="70"/>
  <c r="P176" i="70"/>
  <c r="M264" i="70"/>
  <c r="P264" i="70"/>
  <c r="B86" i="128"/>
  <c r="P287" i="70"/>
  <c r="P7" i="70"/>
  <c r="B8" i="128"/>
  <c r="D8" i="128" s="1"/>
  <c r="M254" i="70"/>
  <c r="P254" i="70"/>
  <c r="M192" i="70"/>
  <c r="P192" i="70"/>
  <c r="M175" i="70"/>
  <c r="P175" i="70"/>
  <c r="M259" i="70"/>
  <c r="P259" i="70"/>
  <c r="M219" i="70"/>
  <c r="P219" i="70"/>
  <c r="M169" i="70"/>
  <c r="P169" i="70"/>
  <c r="M227" i="70"/>
  <c r="P227" i="70"/>
  <c r="M231" i="70"/>
  <c r="P231" i="70"/>
  <c r="C9" i="128"/>
  <c r="P117" i="70"/>
  <c r="C16" i="128"/>
  <c r="C11" i="128"/>
  <c r="L190" i="70"/>
  <c r="P190" i="70" s="1"/>
  <c r="M287" i="70"/>
  <c r="L253" i="70"/>
  <c r="L243" i="70"/>
  <c r="L85" i="70"/>
  <c r="J79" i="70"/>
  <c r="M79" i="70"/>
  <c r="J188" i="70"/>
  <c r="L188" i="70"/>
  <c r="J129" i="70"/>
  <c r="L129" i="70"/>
  <c r="J152" i="70"/>
  <c r="L152" i="70"/>
  <c r="J44" i="70"/>
  <c r="L44" i="70"/>
  <c r="J271" i="70"/>
  <c r="L271" i="70"/>
  <c r="J214" i="70"/>
  <c r="L214" i="70"/>
  <c r="J92" i="70"/>
  <c r="L92" i="70"/>
  <c r="L90" i="70" s="1"/>
  <c r="P90" i="70" s="1"/>
  <c r="M193" i="70"/>
  <c r="J107" i="70"/>
  <c r="L107" i="70"/>
  <c r="J32" i="70"/>
  <c r="L32" i="70"/>
  <c r="J77" i="70"/>
  <c r="L77" i="70"/>
  <c r="J245" i="70"/>
  <c r="L245" i="70"/>
  <c r="J157" i="70"/>
  <c r="L157" i="70"/>
  <c r="M67" i="70"/>
  <c r="J279" i="70"/>
  <c r="L279" i="70"/>
  <c r="J98" i="70"/>
  <c r="M98" i="70"/>
  <c r="J210" i="70"/>
  <c r="L210" i="70"/>
  <c r="J147" i="70"/>
  <c r="L147" i="70"/>
  <c r="J30" i="70"/>
  <c r="L30" i="70"/>
  <c r="J277" i="70"/>
  <c r="L277" i="70"/>
  <c r="J156" i="70"/>
  <c r="L156" i="70"/>
  <c r="J29" i="70"/>
  <c r="L29" i="70"/>
  <c r="J171" i="70"/>
  <c r="L171" i="70"/>
  <c r="J80" i="70"/>
  <c r="L80" i="70"/>
  <c r="J53" i="70"/>
  <c r="L53" i="70"/>
  <c r="M53" i="70" s="1"/>
  <c r="J236" i="70"/>
  <c r="L236" i="70"/>
  <c r="J170" i="70"/>
  <c r="L170" i="70"/>
  <c r="J39" i="70"/>
  <c r="L39" i="70"/>
  <c r="M39" i="70" s="1"/>
  <c r="J160" i="70"/>
  <c r="L160" i="70"/>
  <c r="J232" i="70"/>
  <c r="L232" i="70"/>
  <c r="J265" i="70"/>
  <c r="L265" i="70"/>
  <c r="P265" i="70" s="1"/>
  <c r="J54" i="70"/>
  <c r="L54" i="70"/>
  <c r="J112" i="70"/>
  <c r="L112" i="70"/>
  <c r="J59" i="70"/>
  <c r="L59" i="70"/>
  <c r="M59" i="70" s="1"/>
  <c r="J185" i="70"/>
  <c r="L185" i="70"/>
  <c r="J111" i="70"/>
  <c r="L111" i="70"/>
  <c r="J194" i="70"/>
  <c r="L194" i="70"/>
  <c r="J52" i="70"/>
  <c r="L52" i="70"/>
  <c r="J235" i="70"/>
  <c r="L235" i="70"/>
  <c r="J73" i="70"/>
  <c r="L73" i="70"/>
  <c r="M73" i="70" s="1"/>
  <c r="J168" i="70"/>
  <c r="L168" i="70"/>
  <c r="P168" i="70" s="1"/>
  <c r="J114" i="70"/>
  <c r="L114" i="70"/>
  <c r="J133" i="70"/>
  <c r="L133" i="70"/>
  <c r="J12" i="70"/>
  <c r="L12" i="70"/>
  <c r="L266" i="70"/>
  <c r="M267" i="70"/>
  <c r="J204" i="70"/>
  <c r="L204" i="70"/>
  <c r="J154" i="70"/>
  <c r="L154" i="70"/>
  <c r="M87" i="70"/>
  <c r="L86" i="70"/>
  <c r="J189" i="70"/>
  <c r="L189" i="70"/>
  <c r="J103" i="70"/>
  <c r="L103" i="70"/>
  <c r="M51" i="70"/>
  <c r="I47" i="70"/>
  <c r="J47" i="70" s="1"/>
  <c r="J275" i="70"/>
  <c r="L275" i="70"/>
  <c r="M250" i="70"/>
  <c r="J82" i="70"/>
  <c r="L82" i="70"/>
  <c r="M197" i="70"/>
  <c r="J128" i="70"/>
  <c r="L128" i="70"/>
  <c r="J260" i="70"/>
  <c r="L260" i="70"/>
  <c r="J268" i="70"/>
  <c r="M268" i="70"/>
  <c r="J146" i="70"/>
  <c r="L146" i="70"/>
  <c r="M11" i="70"/>
  <c r="J161" i="70"/>
  <c r="L161" i="70"/>
  <c r="M28" i="70"/>
  <c r="J224" i="70"/>
  <c r="L224" i="70"/>
  <c r="J155" i="70"/>
  <c r="L155" i="70"/>
  <c r="J36" i="70"/>
  <c r="L36" i="70"/>
  <c r="M144" i="70"/>
  <c r="J33" i="70"/>
  <c r="L33" i="70"/>
  <c r="J198" i="70"/>
  <c r="L198" i="70"/>
  <c r="J287" i="70"/>
  <c r="J48" i="70"/>
  <c r="L221" i="70"/>
  <c r="J201" i="70"/>
  <c r="L201" i="70"/>
  <c r="M281" i="70"/>
  <c r="L280" i="70"/>
  <c r="P280" i="70" s="1"/>
  <c r="J72" i="70"/>
  <c r="L72" i="70"/>
  <c r="M72" i="70" s="1"/>
  <c r="J113" i="70"/>
  <c r="L113" i="70"/>
  <c r="J145" i="70"/>
  <c r="L145" i="70"/>
  <c r="B69" i="128" s="1"/>
  <c r="D69" i="128" s="1"/>
  <c r="M149" i="70"/>
  <c r="J84" i="70"/>
  <c r="L84" i="70"/>
  <c r="J165" i="70"/>
  <c r="L165" i="70"/>
  <c r="P165" i="70" s="1"/>
  <c r="M91" i="70"/>
  <c r="J256" i="70"/>
  <c r="L256" i="70"/>
  <c r="J46" i="70"/>
  <c r="L46" i="70"/>
  <c r="J274" i="70"/>
  <c r="L274" i="70"/>
  <c r="M106" i="70"/>
  <c r="J273" i="70"/>
  <c r="L273" i="70"/>
  <c r="J45" i="70"/>
  <c r="L45" i="70"/>
  <c r="J118" i="70"/>
  <c r="L118" i="70"/>
  <c r="J127" i="70"/>
  <c r="L127" i="70"/>
  <c r="J151" i="70"/>
  <c r="L151" i="70"/>
  <c r="M151" i="70" s="1"/>
  <c r="M14" i="70"/>
  <c r="J213" i="70"/>
  <c r="L213" i="70"/>
  <c r="J150" i="70"/>
  <c r="L150" i="70"/>
  <c r="J25" i="70"/>
  <c r="L25" i="70"/>
  <c r="M270" i="70"/>
  <c r="J116" i="70"/>
  <c r="L116" i="70"/>
  <c r="J21" i="70"/>
  <c r="L21" i="70"/>
  <c r="J257" i="70"/>
  <c r="L257" i="70"/>
  <c r="J240" i="70"/>
  <c r="L240" i="70"/>
  <c r="J183" i="70"/>
  <c r="L183" i="70"/>
  <c r="J71" i="70"/>
  <c r="L71" i="70"/>
  <c r="M71" i="70" s="1"/>
  <c r="J211" i="70"/>
  <c r="L211" i="70"/>
  <c r="J158" i="70"/>
  <c r="L158" i="70"/>
  <c r="M101" i="70"/>
  <c r="L100" i="70"/>
  <c r="P100" i="70" s="1"/>
  <c r="J40" i="70"/>
  <c r="L40" i="70"/>
  <c r="J212" i="70"/>
  <c r="L212" i="70"/>
  <c r="J78" i="70"/>
  <c r="L78" i="70"/>
  <c r="J159" i="70"/>
  <c r="L159" i="70"/>
  <c r="J63" i="70"/>
  <c r="L63" i="70"/>
  <c r="M63" i="70" s="1"/>
  <c r="J246" i="70"/>
  <c r="L246" i="70"/>
  <c r="J276" i="70"/>
  <c r="L276" i="70"/>
  <c r="J62" i="70"/>
  <c r="L62" i="70"/>
  <c r="J261" i="70"/>
  <c r="L261" i="70"/>
  <c r="J70" i="70"/>
  <c r="L70" i="70"/>
  <c r="J244" i="70"/>
  <c r="L244" i="70"/>
  <c r="J216" i="70"/>
  <c r="L216" i="70"/>
  <c r="J69" i="70"/>
  <c r="L69" i="70"/>
  <c r="J132" i="70"/>
  <c r="M132" i="70"/>
  <c r="J74" i="70"/>
  <c r="L74" i="70"/>
  <c r="J208" i="70"/>
  <c r="L208" i="70"/>
  <c r="M208" i="70" s="1"/>
  <c r="J140" i="70"/>
  <c r="L140" i="70"/>
  <c r="J18" i="70"/>
  <c r="L18" i="70"/>
  <c r="L16" i="70" s="1"/>
  <c r="P16" i="70" s="1"/>
  <c r="J228" i="70"/>
  <c r="L228" i="70"/>
  <c r="J64" i="70"/>
  <c r="L64" i="70"/>
  <c r="M17" i="70"/>
  <c r="J251" i="70"/>
  <c r="L251" i="70"/>
  <c r="M20" i="70"/>
  <c r="J76" i="70"/>
  <c r="L76" i="70"/>
  <c r="M76" i="70" s="1"/>
  <c r="M206" i="70"/>
  <c r="M182" i="70"/>
  <c r="M97" i="70"/>
  <c r="L96" i="70"/>
  <c r="J26" i="70"/>
  <c r="L26" i="70"/>
  <c r="J242" i="70"/>
  <c r="L242" i="70"/>
  <c r="M203" i="70"/>
  <c r="J130" i="70"/>
  <c r="L130" i="70"/>
  <c r="M35" i="70"/>
  <c r="M142" i="70"/>
  <c r="L141" i="70"/>
  <c r="J57" i="70"/>
  <c r="L57" i="70"/>
  <c r="M239" i="70"/>
  <c r="M94" i="70"/>
  <c r="L93" i="70"/>
  <c r="J56" i="70"/>
  <c r="L56" i="70"/>
  <c r="M56" i="70" s="1"/>
  <c r="J255" i="70"/>
  <c r="L255" i="70"/>
  <c r="J278" i="70"/>
  <c r="L278" i="70"/>
  <c r="J61" i="70"/>
  <c r="L61" i="70"/>
  <c r="M61" i="70" s="1"/>
  <c r="J172" i="70"/>
  <c r="M172" i="70"/>
  <c r="J209" i="70"/>
  <c r="L209" i="70"/>
  <c r="M209" i="70" s="1"/>
  <c r="J60" i="70"/>
  <c r="L60" i="70"/>
  <c r="J68" i="70"/>
  <c r="L68" i="70"/>
  <c r="M68" i="70" s="1"/>
  <c r="J200" i="70"/>
  <c r="L200" i="70"/>
  <c r="J131" i="70"/>
  <c r="L131" i="70"/>
  <c r="J58" i="70"/>
  <c r="L58" i="70"/>
  <c r="M58" i="70" s="1"/>
  <c r="J247" i="70"/>
  <c r="L247" i="70"/>
  <c r="M247" i="70" s="1"/>
  <c r="J252" i="70"/>
  <c r="M252" i="70"/>
  <c r="J31" i="70"/>
  <c r="L31" i="70"/>
  <c r="J55" i="70"/>
  <c r="L55" i="70"/>
  <c r="J75" i="70"/>
  <c r="L75" i="70"/>
  <c r="M75" i="70" s="1"/>
  <c r="J134" i="70"/>
  <c r="L134" i="70"/>
  <c r="J81" i="70"/>
  <c r="L81" i="70"/>
  <c r="J15" i="70"/>
  <c r="L15" i="70"/>
  <c r="J220" i="70"/>
  <c r="L220" i="70"/>
  <c r="J184" i="70"/>
  <c r="L184" i="70"/>
  <c r="J110" i="70"/>
  <c r="L110" i="70"/>
  <c r="P110" i="70" s="1"/>
  <c r="M24" i="70"/>
  <c r="J207" i="70"/>
  <c r="L207" i="70"/>
  <c r="J115" i="70"/>
  <c r="L115" i="70"/>
  <c r="M38" i="70"/>
  <c r="M234" i="70"/>
  <c r="J83" i="70"/>
  <c r="L83" i="70"/>
  <c r="J241" i="70"/>
  <c r="M241" i="70"/>
  <c r="I196" i="70"/>
  <c r="J197" i="70"/>
  <c r="J97" i="70"/>
  <c r="I96" i="70"/>
  <c r="J96" i="70" s="1"/>
  <c r="J267" i="70"/>
  <c r="I266" i="70"/>
  <c r="J266" i="70" s="1"/>
  <c r="O42" i="70"/>
  <c r="J230" i="70"/>
  <c r="I229" i="70"/>
  <c r="J229" i="70" s="1"/>
  <c r="I262" i="70"/>
  <c r="J262" i="70" s="1"/>
  <c r="J263" i="70"/>
  <c r="J144" i="70"/>
  <c r="J227" i="70"/>
  <c r="I86" i="70"/>
  <c r="J86" i="70" s="1"/>
  <c r="J87" i="70"/>
  <c r="J239" i="70"/>
  <c r="I238" i="70"/>
  <c r="J138" i="70"/>
  <c r="I137" i="70"/>
  <c r="M137" i="70" s="1"/>
  <c r="J191" i="70"/>
  <c r="I190" i="70"/>
  <c r="J190" i="70" s="1"/>
  <c r="J8" i="70"/>
  <c r="I7" i="70"/>
  <c r="M7" i="70" s="1"/>
  <c r="J259" i="70"/>
  <c r="J28" i="70"/>
  <c r="I27" i="70"/>
  <c r="J27" i="70" s="1"/>
  <c r="J223" i="70"/>
  <c r="J106" i="70"/>
  <c r="I105" i="70"/>
  <c r="J105" i="70" s="1"/>
  <c r="I10" i="70"/>
  <c r="J11" i="70"/>
  <c r="J243" i="70"/>
  <c r="J270" i="70"/>
  <c r="I269" i="70"/>
  <c r="J269" i="70" s="1"/>
  <c r="J222" i="70"/>
  <c r="I221" i="70"/>
  <c r="J221" i="70" s="1"/>
  <c r="J142" i="70"/>
  <c r="I141" i="70"/>
  <c r="J141" i="70" s="1"/>
  <c r="J20" i="70"/>
  <c r="I19" i="70"/>
  <c r="J19" i="70" s="1"/>
  <c r="J253" i="70"/>
  <c r="J126" i="70"/>
  <c r="I125" i="70"/>
  <c r="J125" i="70" s="1"/>
  <c r="I13" i="70"/>
  <c r="J13" i="70" s="1"/>
  <c r="J14" i="70"/>
  <c r="J218" i="70"/>
  <c r="I217" i="70"/>
  <c r="J217" i="70" s="1"/>
  <c r="J149" i="70"/>
  <c r="I148" i="70"/>
  <c r="J148" i="70" s="1"/>
  <c r="J234" i="70"/>
  <c r="I233" i="70"/>
  <c r="J233" i="70" s="1"/>
  <c r="I93" i="70"/>
  <c r="J93" i="70" s="1"/>
  <c r="J94" i="70"/>
  <c r="J206" i="70"/>
  <c r="I205" i="70"/>
  <c r="J205" i="70" s="1"/>
  <c r="J264" i="70"/>
  <c r="I16" i="70"/>
  <c r="J16" i="70" s="1"/>
  <c r="J17" i="70"/>
  <c r="I37" i="70"/>
  <c r="J37" i="70" s="1"/>
  <c r="J38" i="70"/>
  <c r="I90" i="70"/>
  <c r="J91" i="70"/>
  <c r="J182" i="70"/>
  <c r="I181" i="70"/>
  <c r="J181" i="70" s="1"/>
  <c r="J231" i="70"/>
  <c r="J250" i="70"/>
  <c r="I249" i="70"/>
  <c r="I108" i="70"/>
  <c r="J108" i="70" s="1"/>
  <c r="J219" i="70"/>
  <c r="J193" i="70"/>
  <c r="I166" i="70"/>
  <c r="J166" i="70" s="1"/>
  <c r="J167" i="70"/>
  <c r="I202" i="70"/>
  <c r="J202" i="70" s="1"/>
  <c r="J203" i="70"/>
  <c r="I34" i="70"/>
  <c r="J34" i="70" s="1"/>
  <c r="J35" i="70"/>
  <c r="J226" i="70"/>
  <c r="I225" i="70"/>
  <c r="J225" i="70" s="1"/>
  <c r="G47" i="70"/>
  <c r="I100" i="70"/>
  <c r="J100" i="70" s="1"/>
  <c r="J101" i="70"/>
  <c r="I23" i="70"/>
  <c r="J24" i="70"/>
  <c r="J51" i="70"/>
  <c r="I50" i="70"/>
  <c r="I43" i="70" s="1"/>
  <c r="I66" i="70"/>
  <c r="I280" i="70"/>
  <c r="J280" i="70" s="1"/>
  <c r="G269" i="70"/>
  <c r="G181" i="70"/>
  <c r="G221" i="70"/>
  <c r="G238" i="70"/>
  <c r="G180" i="70"/>
  <c r="G141" i="70"/>
  <c r="G86" i="70"/>
  <c r="G96" i="70"/>
  <c r="O89" i="70"/>
  <c r="C21" i="128"/>
  <c r="G217" i="70"/>
  <c r="G50" i="70"/>
  <c r="G93" i="70"/>
  <c r="G90" i="70"/>
  <c r="G229" i="70"/>
  <c r="G37" i="70"/>
  <c r="D63" i="128"/>
  <c r="G137" i="70"/>
  <c r="G136" i="70"/>
  <c r="G10" i="70"/>
  <c r="G7" i="70"/>
  <c r="G34" i="70"/>
  <c r="G19" i="70"/>
  <c r="C7" i="128"/>
  <c r="G125" i="70"/>
  <c r="G166" i="70"/>
  <c r="G249" i="70"/>
  <c r="G233" i="70"/>
  <c r="G196" i="70"/>
  <c r="G148" i="70"/>
  <c r="G225" i="70"/>
  <c r="G23" i="70"/>
  <c r="G237" i="70"/>
  <c r="G66" i="70"/>
  <c r="I41" i="70"/>
  <c r="L41" i="70" s="1"/>
  <c r="C81" i="128"/>
  <c r="O237" i="70"/>
  <c r="C72" i="128"/>
  <c r="C71" i="128"/>
  <c r="G162" i="70"/>
  <c r="D86" i="128" l="1"/>
  <c r="B67" i="128"/>
  <c r="D67" i="128" s="1"/>
  <c r="M134" i="70"/>
  <c r="P134" i="70"/>
  <c r="M212" i="70"/>
  <c r="P212" i="70"/>
  <c r="M183" i="70"/>
  <c r="P183" i="70"/>
  <c r="M235" i="70"/>
  <c r="P235" i="70"/>
  <c r="M170" i="70"/>
  <c r="P170" i="70"/>
  <c r="M156" i="70"/>
  <c r="P156" i="70"/>
  <c r="M279" i="70"/>
  <c r="P279" i="70"/>
  <c r="M129" i="70"/>
  <c r="P129" i="70"/>
  <c r="M41" i="70"/>
  <c r="B14" i="128"/>
  <c r="P96" i="70"/>
  <c r="B21" i="128"/>
  <c r="D21" i="128" s="1"/>
  <c r="M150" i="70"/>
  <c r="P150" i="70"/>
  <c r="B82" i="128"/>
  <c r="D82" i="128" s="1"/>
  <c r="P266" i="70"/>
  <c r="M131" i="70"/>
  <c r="P131" i="70"/>
  <c r="M228" i="70"/>
  <c r="P228" i="70"/>
  <c r="M276" i="70"/>
  <c r="P276" i="70"/>
  <c r="M240" i="70"/>
  <c r="P240" i="70"/>
  <c r="M273" i="70"/>
  <c r="P273" i="70"/>
  <c r="B84" i="128"/>
  <c r="D84" i="128" s="1"/>
  <c r="M201" i="70"/>
  <c r="P201" i="70"/>
  <c r="M155" i="70"/>
  <c r="P155" i="70"/>
  <c r="M260" i="70"/>
  <c r="P260" i="70"/>
  <c r="M236" i="70"/>
  <c r="P236" i="70"/>
  <c r="M277" i="70"/>
  <c r="P277" i="70"/>
  <c r="M188" i="70"/>
  <c r="P188" i="70"/>
  <c r="B65" i="128"/>
  <c r="D65" i="128" s="1"/>
  <c r="P141" i="70"/>
  <c r="M213" i="70"/>
  <c r="P213" i="70"/>
  <c r="M157" i="70"/>
  <c r="P157" i="70"/>
  <c r="M184" i="70"/>
  <c r="P184" i="70"/>
  <c r="M200" i="70"/>
  <c r="P200" i="70"/>
  <c r="M278" i="70"/>
  <c r="P278" i="70"/>
  <c r="P216" i="70"/>
  <c r="B74" i="128"/>
  <c r="D74" i="128" s="1"/>
  <c r="M246" i="70"/>
  <c r="P246" i="70"/>
  <c r="M257" i="70"/>
  <c r="P257" i="70"/>
  <c r="B76" i="128"/>
  <c r="D76" i="128" s="1"/>
  <c r="P221" i="70"/>
  <c r="M224" i="70"/>
  <c r="P224" i="70"/>
  <c r="M128" i="70"/>
  <c r="P128" i="70"/>
  <c r="M189" i="70"/>
  <c r="P189" i="70"/>
  <c r="M133" i="70"/>
  <c r="P133" i="70"/>
  <c r="B61" i="128"/>
  <c r="D61" i="128" s="1"/>
  <c r="M194" i="70"/>
  <c r="P194" i="70"/>
  <c r="M214" i="70"/>
  <c r="P214" i="70"/>
  <c r="M274" i="70"/>
  <c r="P274" i="70"/>
  <c r="M245" i="70"/>
  <c r="P245" i="70"/>
  <c r="L233" i="70"/>
  <c r="M220" i="70"/>
  <c r="P220" i="70"/>
  <c r="M255" i="70"/>
  <c r="P255" i="70"/>
  <c r="M130" i="70"/>
  <c r="P130" i="70"/>
  <c r="M140" i="70"/>
  <c r="B64" i="128"/>
  <c r="D64" i="128" s="1"/>
  <c r="P140" i="70"/>
  <c r="M244" i="70"/>
  <c r="P244" i="70"/>
  <c r="M158" i="70"/>
  <c r="P158" i="70"/>
  <c r="M145" i="70"/>
  <c r="P145" i="70"/>
  <c r="P86" i="70"/>
  <c r="B18" i="128"/>
  <c r="D18" i="128" s="1"/>
  <c r="M232" i="70"/>
  <c r="P232" i="70"/>
  <c r="M147" i="70"/>
  <c r="P147" i="70"/>
  <c r="M271" i="70"/>
  <c r="P271" i="70"/>
  <c r="M198" i="70"/>
  <c r="P198" i="70"/>
  <c r="M161" i="70"/>
  <c r="P161" i="70"/>
  <c r="M251" i="70"/>
  <c r="P251" i="70"/>
  <c r="M159" i="70"/>
  <c r="P159" i="70"/>
  <c r="M211" i="70"/>
  <c r="P211" i="70"/>
  <c r="P127" i="70"/>
  <c r="B59" i="128"/>
  <c r="D59" i="128" s="1"/>
  <c r="M154" i="70"/>
  <c r="P154" i="70"/>
  <c r="M185" i="70"/>
  <c r="P185" i="70"/>
  <c r="M160" i="70"/>
  <c r="P160" i="70"/>
  <c r="M171" i="70"/>
  <c r="P171" i="70"/>
  <c r="M210" i="70"/>
  <c r="P210" i="70"/>
  <c r="M253" i="70"/>
  <c r="P253" i="70"/>
  <c r="M242" i="70"/>
  <c r="P242" i="70"/>
  <c r="M256" i="70"/>
  <c r="P256" i="70"/>
  <c r="M243" i="70"/>
  <c r="P243" i="70"/>
  <c r="P93" i="70"/>
  <c r="B22" i="128"/>
  <c r="D22" i="128" s="1"/>
  <c r="M261" i="70"/>
  <c r="P261" i="70"/>
  <c r="M146" i="70"/>
  <c r="P146" i="70"/>
  <c r="M275" i="70"/>
  <c r="P275" i="70"/>
  <c r="M204" i="70"/>
  <c r="P204" i="70"/>
  <c r="M152" i="70"/>
  <c r="P152" i="70"/>
  <c r="M207" i="70"/>
  <c r="P207" i="70"/>
  <c r="M26" i="70"/>
  <c r="P26" i="70"/>
  <c r="M32" i="70"/>
  <c r="P32" i="70"/>
  <c r="M57" i="70"/>
  <c r="P57" i="70"/>
  <c r="M64" i="70"/>
  <c r="P64" i="70"/>
  <c r="M62" i="70"/>
  <c r="P62" i="70"/>
  <c r="M25" i="70"/>
  <c r="P25" i="70"/>
  <c r="M29" i="70"/>
  <c r="P29" i="70"/>
  <c r="M118" i="70"/>
  <c r="P118" i="70"/>
  <c r="M45" i="70"/>
  <c r="P45" i="70"/>
  <c r="M36" i="70"/>
  <c r="P36" i="70"/>
  <c r="M112" i="70"/>
  <c r="P112" i="70"/>
  <c r="M107" i="70"/>
  <c r="P107" i="70"/>
  <c r="M69" i="70"/>
  <c r="P69" i="70"/>
  <c r="M40" i="70"/>
  <c r="P40" i="70"/>
  <c r="M83" i="70"/>
  <c r="P83" i="70"/>
  <c r="M55" i="70"/>
  <c r="P55" i="70"/>
  <c r="M103" i="70"/>
  <c r="P103" i="70"/>
  <c r="M12" i="70"/>
  <c r="P12" i="70"/>
  <c r="M52" i="70"/>
  <c r="P52" i="70"/>
  <c r="M54" i="70"/>
  <c r="P54" i="70"/>
  <c r="L34" i="70"/>
  <c r="M18" i="70"/>
  <c r="P18" i="70"/>
  <c r="M84" i="70"/>
  <c r="P84" i="70"/>
  <c r="M92" i="70"/>
  <c r="P92" i="70"/>
  <c r="M31" i="70"/>
  <c r="P31" i="70"/>
  <c r="O104" i="70"/>
  <c r="M21" i="70"/>
  <c r="P21" i="70"/>
  <c r="M30" i="70"/>
  <c r="P30" i="70"/>
  <c r="M15" i="70"/>
  <c r="P15" i="70"/>
  <c r="M60" i="70"/>
  <c r="P60" i="70"/>
  <c r="M114" i="70"/>
  <c r="P114" i="70"/>
  <c r="M111" i="70"/>
  <c r="P111" i="70"/>
  <c r="L229" i="70"/>
  <c r="M115" i="70"/>
  <c r="P115" i="70"/>
  <c r="M70" i="70"/>
  <c r="P70" i="70"/>
  <c r="M116" i="70"/>
  <c r="P116" i="70"/>
  <c r="M46" i="70"/>
  <c r="P46" i="70"/>
  <c r="M82" i="70"/>
  <c r="P82" i="70"/>
  <c r="M80" i="70"/>
  <c r="P80" i="70"/>
  <c r="M85" i="70"/>
  <c r="P85" i="70"/>
  <c r="M81" i="70"/>
  <c r="P81" i="70"/>
  <c r="M113" i="70"/>
  <c r="P113" i="70"/>
  <c r="M77" i="70"/>
  <c r="P77" i="70"/>
  <c r="M74" i="70"/>
  <c r="P74" i="70"/>
  <c r="M78" i="70"/>
  <c r="P78" i="70"/>
  <c r="L269" i="70"/>
  <c r="M269" i="70" s="1"/>
  <c r="M33" i="70"/>
  <c r="P33" i="70"/>
  <c r="M44" i="70"/>
  <c r="P44" i="70"/>
  <c r="C15" i="128"/>
  <c r="I42" i="70"/>
  <c r="L23" i="70"/>
  <c r="P23" i="70" s="1"/>
  <c r="L19" i="70"/>
  <c r="M19" i="70" s="1"/>
  <c r="L148" i="70"/>
  <c r="L10" i="70"/>
  <c r="L205" i="70"/>
  <c r="P205" i="70" s="1"/>
  <c r="L136" i="70"/>
  <c r="P136" i="70" s="1"/>
  <c r="L202" i="70"/>
  <c r="L105" i="70"/>
  <c r="L50" i="70"/>
  <c r="P50" i="70" s="1"/>
  <c r="M141" i="70"/>
  <c r="M96" i="70"/>
  <c r="M16" i="70"/>
  <c r="M221" i="70"/>
  <c r="M127" i="70"/>
  <c r="L125" i="70"/>
  <c r="M48" i="70"/>
  <c r="L47" i="70"/>
  <c r="M47" i="70" s="1"/>
  <c r="M34" i="70"/>
  <c r="L181" i="70"/>
  <c r="L217" i="70"/>
  <c r="M110" i="70"/>
  <c r="L108" i="70"/>
  <c r="L27" i="70"/>
  <c r="M266" i="70"/>
  <c r="M233" i="70"/>
  <c r="L196" i="70"/>
  <c r="P196" i="70" s="1"/>
  <c r="M93" i="70"/>
  <c r="M216" i="70"/>
  <c r="M100" i="70"/>
  <c r="M90" i="70"/>
  <c r="L89" i="70"/>
  <c r="L66" i="70"/>
  <c r="B17" i="128" s="1"/>
  <c r="D17" i="128" s="1"/>
  <c r="M265" i="70"/>
  <c r="L262" i="70"/>
  <c r="L37" i="70"/>
  <c r="B13" i="128" s="1"/>
  <c r="D13" i="128" s="1"/>
  <c r="L238" i="70"/>
  <c r="P238" i="70" s="1"/>
  <c r="M165" i="70"/>
  <c r="M280" i="70"/>
  <c r="M190" i="70"/>
  <c r="L249" i="70"/>
  <c r="P249" i="70" s="1"/>
  <c r="M86" i="70"/>
  <c r="L225" i="70"/>
  <c r="L13" i="70"/>
  <c r="P13" i="70" s="1"/>
  <c r="M168" i="70"/>
  <c r="L166" i="70"/>
  <c r="J66" i="70"/>
  <c r="J41" i="70"/>
  <c r="I180" i="70"/>
  <c r="I162" i="70"/>
  <c r="J162" i="70" s="1"/>
  <c r="J23" i="70"/>
  <c r="I22" i="70"/>
  <c r="J22" i="70" s="1"/>
  <c r="J90" i="70"/>
  <c r="I89" i="70"/>
  <c r="J89" i="70" s="1"/>
  <c r="J50" i="70"/>
  <c r="J43" i="70"/>
  <c r="J249" i="70"/>
  <c r="I248" i="70"/>
  <c r="J248" i="70" s="1"/>
  <c r="J10" i="70"/>
  <c r="I9" i="70"/>
  <c r="J9" i="70" s="1"/>
  <c r="J7" i="70"/>
  <c r="I6" i="70"/>
  <c r="J6" i="70" s="1"/>
  <c r="J137" i="70"/>
  <c r="I136" i="70"/>
  <c r="J136" i="70" s="1"/>
  <c r="J196" i="70"/>
  <c r="I195" i="70"/>
  <c r="J195" i="70" s="1"/>
  <c r="J238" i="70"/>
  <c r="I237" i="70"/>
  <c r="J237" i="70" s="1"/>
  <c r="G42" i="70"/>
  <c r="G248" i="70"/>
  <c r="C19" i="128"/>
  <c r="G89" i="70"/>
  <c r="G6" i="70"/>
  <c r="G195" i="70"/>
  <c r="G43" i="70"/>
  <c r="G22" i="70"/>
  <c r="G9" i="70"/>
  <c r="G41" i="70"/>
  <c r="C80" i="128"/>
  <c r="O215" i="70"/>
  <c r="G143" i="70"/>
  <c r="M23" i="70" l="1"/>
  <c r="M202" i="70"/>
  <c r="P202" i="70"/>
  <c r="B58" i="128"/>
  <c r="D58" i="128" s="1"/>
  <c r="P125" i="70"/>
  <c r="P34" i="70"/>
  <c r="B12" i="128"/>
  <c r="D12" i="128" s="1"/>
  <c r="M205" i="70"/>
  <c r="M166" i="70"/>
  <c r="B68" i="128"/>
  <c r="D68" i="128" s="1"/>
  <c r="P166" i="70"/>
  <c r="M262" i="70"/>
  <c r="P262" i="70"/>
  <c r="M50" i="70"/>
  <c r="M225" i="70"/>
  <c r="B77" i="128"/>
  <c r="D77" i="128" s="1"/>
  <c r="P225" i="70"/>
  <c r="P89" i="70"/>
  <c r="B19" i="128"/>
  <c r="B20" i="128" s="1"/>
  <c r="M217" i="70"/>
  <c r="B75" i="128"/>
  <c r="D75" i="128" s="1"/>
  <c r="P217" i="70"/>
  <c r="B79" i="128"/>
  <c r="D79" i="128" s="1"/>
  <c r="P233" i="70"/>
  <c r="M181" i="70"/>
  <c r="P181" i="70"/>
  <c r="M148" i="70"/>
  <c r="P148" i="70"/>
  <c r="B83" i="128"/>
  <c r="D83" i="128" s="1"/>
  <c r="P269" i="70"/>
  <c r="P19" i="70"/>
  <c r="B10" i="128"/>
  <c r="D10" i="128" s="1"/>
  <c r="M229" i="70"/>
  <c r="B78" i="128"/>
  <c r="D78" i="128" s="1"/>
  <c r="P229" i="70"/>
  <c r="O119" i="70"/>
  <c r="M37" i="70"/>
  <c r="P37" i="70"/>
  <c r="M27" i="70"/>
  <c r="P27" i="70"/>
  <c r="M66" i="70"/>
  <c r="P66" i="70"/>
  <c r="M108" i="70"/>
  <c r="P108" i="70"/>
  <c r="M10" i="70"/>
  <c r="P10" i="70"/>
  <c r="M105" i="70"/>
  <c r="P105" i="70"/>
  <c r="L9" i="70"/>
  <c r="B9" i="128" s="1"/>
  <c r="D9" i="128" s="1"/>
  <c r="L43" i="70"/>
  <c r="B16" i="128" s="1"/>
  <c r="D16" i="128" s="1"/>
  <c r="L248" i="70"/>
  <c r="M249" i="70"/>
  <c r="M125" i="70"/>
  <c r="M89" i="70"/>
  <c r="M136" i="70"/>
  <c r="L22" i="70"/>
  <c r="B11" i="128" s="1"/>
  <c r="D11" i="128" s="1"/>
  <c r="L162" i="70"/>
  <c r="P162" i="70" s="1"/>
  <c r="M13" i="70"/>
  <c r="L6" i="70"/>
  <c r="B7" i="128" s="1"/>
  <c r="D7" i="128" s="1"/>
  <c r="M238" i="70"/>
  <c r="L237" i="70"/>
  <c r="L180" i="70"/>
  <c r="B71" i="128" s="1"/>
  <c r="D71" i="128" s="1"/>
  <c r="M196" i="70"/>
  <c r="L195" i="70"/>
  <c r="I104" i="70"/>
  <c r="I3" i="70" s="1"/>
  <c r="J42" i="70"/>
  <c r="J180" i="70"/>
  <c r="I215" i="70"/>
  <c r="J215" i="70" s="1"/>
  <c r="I143" i="70"/>
  <c r="J143" i="70" s="1"/>
  <c r="C20" i="128"/>
  <c r="O286" i="70"/>
  <c r="C73" i="128"/>
  <c r="C6" i="128"/>
  <c r="G215" i="70"/>
  <c r="G104" i="70"/>
  <c r="G286" i="70"/>
  <c r="D19" i="128" l="1"/>
  <c r="D20" i="128"/>
  <c r="M195" i="70"/>
  <c r="B72" i="128"/>
  <c r="D72" i="128" s="1"/>
  <c r="P195" i="70"/>
  <c r="M248" i="70"/>
  <c r="B81" i="128"/>
  <c r="D81" i="128" s="1"/>
  <c r="P248" i="70"/>
  <c r="M237" i="70"/>
  <c r="B80" i="128"/>
  <c r="D80" i="128" s="1"/>
  <c r="P237" i="70"/>
  <c r="M180" i="70"/>
  <c r="P180" i="70"/>
  <c r="O288" i="70"/>
  <c r="M43" i="70"/>
  <c r="P43" i="70"/>
  <c r="M9" i="70"/>
  <c r="P9" i="70"/>
  <c r="M6" i="70"/>
  <c r="P6" i="70"/>
  <c r="M22" i="70"/>
  <c r="P22" i="70"/>
  <c r="L215" i="70"/>
  <c r="L42" i="70"/>
  <c r="B15" i="128" s="1"/>
  <c r="M162" i="70"/>
  <c r="L143" i="70"/>
  <c r="J104" i="70"/>
  <c r="I286" i="70"/>
  <c r="J286" i="70" s="1"/>
  <c r="C25" i="128"/>
  <c r="G119" i="70"/>
  <c r="C57" i="128"/>
  <c r="C85" i="128"/>
  <c r="G289" i="70"/>
  <c r="G288" i="70"/>
  <c r="B66" i="128" l="1"/>
  <c r="P143" i="70"/>
  <c r="D15" i="128"/>
  <c r="B6" i="128"/>
  <c r="B73" i="128"/>
  <c r="P215" i="70"/>
  <c r="O289" i="70"/>
  <c r="M42" i="70"/>
  <c r="P42" i="70"/>
  <c r="M215" i="70"/>
  <c r="L104" i="70"/>
  <c r="M143" i="70"/>
  <c r="L286" i="70"/>
  <c r="P286" i="70" s="1"/>
  <c r="I119" i="70"/>
  <c r="J119" i="70" s="1"/>
  <c r="I288" i="70"/>
  <c r="J288" i="70" s="1"/>
  <c r="C88" i="128"/>
  <c r="B25" i="128" l="1"/>
  <c r="D6" i="128"/>
  <c r="B85" i="128"/>
  <c r="D73" i="128"/>
  <c r="B70" i="128"/>
  <c r="D66" i="128"/>
  <c r="B57" i="128"/>
  <c r="L3" i="70"/>
  <c r="P104" i="70"/>
  <c r="M104" i="70"/>
  <c r="L119" i="70"/>
  <c r="L288" i="70"/>
  <c r="P288" i="70" s="1"/>
  <c r="M286" i="70"/>
  <c r="I289" i="70"/>
  <c r="J289" i="70" s="1"/>
  <c r="B88" i="128" l="1"/>
  <c r="D57" i="128"/>
  <c r="D70" i="128"/>
  <c r="B89" i="128"/>
  <c r="D85" i="128"/>
  <c r="B90" i="128"/>
  <c r="M288" i="70"/>
  <c r="M119" i="70"/>
  <c r="P119" i="70"/>
  <c r="L289" i="70"/>
  <c r="M289" i="70" l="1"/>
  <c r="P289" i="7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Sarmīte Mūze</author>
  </authors>
  <commentList>
    <comment ref="E65" authorId="0" shapeId="0" xr:uid="{D677856D-7020-4575-A1D2-132129FF2C9A}">
      <text>
        <r>
          <rPr>
            <b/>
            <sz val="9"/>
            <color indexed="81"/>
            <rFont val="Tahoma"/>
            <family val="2"/>
            <charset val="186"/>
          </rPr>
          <t>Sarmīte Mūze:</t>
        </r>
        <r>
          <rPr>
            <sz val="9"/>
            <color indexed="81"/>
            <rFont val="Tahoma"/>
            <family val="2"/>
            <charset val="186"/>
          </rPr>
          <t xml:space="preserve">
1010 supervizijas EKK 18.6.3.</t>
        </r>
      </text>
    </comment>
    <comment ref="O169" authorId="0" shapeId="0" xr:uid="{C0143836-E46C-4F99-B8A5-69C0B83FDD69}">
      <text>
        <r>
          <rPr>
            <b/>
            <sz val="9"/>
            <color indexed="81"/>
            <rFont val="Tahoma"/>
            <family val="2"/>
            <charset val="186"/>
          </rPr>
          <t>Sarmīte Mūze:</t>
        </r>
        <r>
          <rPr>
            <sz val="9"/>
            <color indexed="81"/>
            <rFont val="Tahoma"/>
            <family val="2"/>
            <charset val="186"/>
          </rPr>
          <t xml:space="preserve">
0643; 0645; 0648 izpilde-CKS dotācija 7230- samaksātais no Domes</t>
        </r>
      </text>
    </comment>
    <comment ref="E276" authorId="0" shapeId="0" xr:uid="{F33940A2-2E62-4AAF-8657-1EBDE77A525C}">
      <text>
        <r>
          <rPr>
            <b/>
            <sz val="9"/>
            <color indexed="81"/>
            <rFont val="Tahoma"/>
            <family val="2"/>
            <charset val="186"/>
          </rPr>
          <t>Sarmīte Mūze:</t>
        </r>
        <r>
          <rPr>
            <sz val="9"/>
            <color indexed="81"/>
            <rFont val="Tahoma"/>
            <family val="2"/>
            <charset val="186"/>
          </rPr>
          <t xml:space="preserve">
Šis ir jāizņem no 0930 un jāliek 0982 algā.
</t>
        </r>
      </text>
    </comment>
    <comment ref="F276" authorId="0" shapeId="0" xr:uid="{00000000-0006-0000-0A00-00000F000000}">
      <text>
        <r>
          <rPr>
            <b/>
            <sz val="9"/>
            <color indexed="81"/>
            <rFont val="Tahoma"/>
            <family val="2"/>
            <charset val="186"/>
          </rPr>
          <t>Sarmīte Mūze:</t>
        </r>
        <r>
          <rPr>
            <sz val="9"/>
            <color indexed="81"/>
            <rFont val="Tahoma"/>
            <family val="2"/>
            <charset val="186"/>
          </rPr>
          <t xml:space="preserve">
Šis ir jāizņem no 0930 un jāliek 0982 algā.
</t>
        </r>
      </text>
    </comment>
    <comment ref="I276" authorId="0" shapeId="0" xr:uid="{C1793B49-E91C-49A0-9E6F-EBC7E506CC3D}">
      <text>
        <r>
          <rPr>
            <b/>
            <sz val="9"/>
            <color indexed="81"/>
            <rFont val="Tahoma"/>
            <family val="2"/>
            <charset val="186"/>
          </rPr>
          <t>Sarmīte Mūze:</t>
        </r>
        <r>
          <rPr>
            <sz val="9"/>
            <color indexed="81"/>
            <rFont val="Tahoma"/>
            <family val="2"/>
            <charset val="186"/>
          </rPr>
          <t xml:space="preserve">
Šis ir jāizņem no 0930 un jāliek 0982 algā.
</t>
        </r>
      </text>
    </comment>
    <comment ref="L276" authorId="0" shapeId="0" xr:uid="{171867FF-331A-42A4-AEC4-85D600C02756}">
      <text>
        <r>
          <rPr>
            <b/>
            <sz val="9"/>
            <color indexed="81"/>
            <rFont val="Tahoma"/>
            <family val="2"/>
            <charset val="186"/>
          </rPr>
          <t>Sarmīte Mūze:</t>
        </r>
        <r>
          <rPr>
            <sz val="9"/>
            <color indexed="81"/>
            <rFont val="Tahoma"/>
            <family val="2"/>
            <charset val="186"/>
          </rPr>
          <t xml:space="preserve">
Šis ir jāizņem no 0930 un jāliek 0982 algā.
</t>
        </r>
      </text>
    </comment>
    <comment ref="O276" authorId="0" shapeId="0" xr:uid="{E851798F-1597-4D7B-A3B7-40BA5FED72B6}">
      <text>
        <r>
          <rPr>
            <b/>
            <sz val="9"/>
            <color indexed="81"/>
            <rFont val="Tahoma"/>
            <family val="2"/>
            <charset val="186"/>
          </rPr>
          <t>Sarmīte Mūze:</t>
        </r>
        <r>
          <rPr>
            <sz val="9"/>
            <color indexed="81"/>
            <rFont val="Tahoma"/>
            <family val="2"/>
            <charset val="186"/>
          </rPr>
          <t xml:space="preserve">
Šis ir jāizņem no 0930 un jāliek 0982 algā.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Sarmīte Mūze</author>
  </authors>
  <commentList>
    <comment ref="B67" authorId="0" shapeId="0" xr:uid="{3E0ED01F-C397-419E-9F33-9F5C89FC53E9}">
      <text>
        <r>
          <rPr>
            <b/>
            <sz val="9"/>
            <color indexed="81"/>
            <rFont val="Tahoma"/>
            <family val="2"/>
            <charset val="186"/>
          </rPr>
          <t>Sarmīte Mūze:</t>
        </r>
        <r>
          <rPr>
            <sz val="9"/>
            <color indexed="81"/>
            <rFont val="Tahoma"/>
            <family val="2"/>
            <charset val="186"/>
          </rPr>
          <t xml:space="preserve">
Uz projekta sadaļu pārcelts - Uzņēmējdarbības veicināšanas programmas izveide; Piekrastes apsaimniekošanas projekts</t>
        </r>
      </text>
    </comment>
  </commentList>
</comments>
</file>

<file path=xl/sharedStrings.xml><?xml version="1.0" encoding="utf-8"?>
<sst xmlns="http://schemas.openxmlformats.org/spreadsheetml/2006/main" count="1769" uniqueCount="1531">
  <si>
    <t xml:space="preserve">Ieņēmumu daļa </t>
  </si>
  <si>
    <t xml:space="preserve">N.p.k. </t>
  </si>
  <si>
    <t>Sadaļa</t>
  </si>
  <si>
    <t>Komentāri</t>
  </si>
  <si>
    <t>Komentāri par izpildi</t>
  </si>
  <si>
    <t>1., 2., 3., 4., 5.</t>
  </si>
  <si>
    <t>Nodokļu ieņēmumi</t>
  </si>
  <si>
    <t>1.1.1.0.</t>
  </si>
  <si>
    <t>1.</t>
  </si>
  <si>
    <t>Iedzīvotāju ienākuma nodoklis</t>
  </si>
  <si>
    <t>PB</t>
  </si>
  <si>
    <t>1.1.</t>
  </si>
  <si>
    <t>01.1.1.2.</t>
  </si>
  <si>
    <t>1.2.</t>
  </si>
  <si>
    <t>pārskata gada</t>
  </si>
  <si>
    <t>4.1.1.0.</t>
  </si>
  <si>
    <t>2.</t>
  </si>
  <si>
    <t>Nekustamā īpašuma nodoklis par zemi</t>
  </si>
  <si>
    <t>04.1.1.1.</t>
  </si>
  <si>
    <t>2.1.</t>
  </si>
  <si>
    <t>04.1.1.2.</t>
  </si>
  <si>
    <t>2.2.</t>
  </si>
  <si>
    <t>iepriekšējo gadu parādi</t>
  </si>
  <si>
    <t>4.1.2.0.</t>
  </si>
  <si>
    <t>3.</t>
  </si>
  <si>
    <t>Nekustamā īpašuma nodoklis par ēkām</t>
  </si>
  <si>
    <t>04.1.2.1.</t>
  </si>
  <si>
    <t>3.1.</t>
  </si>
  <si>
    <t xml:space="preserve">pārskata gada </t>
  </si>
  <si>
    <t>04.1.2.2.</t>
  </si>
  <si>
    <t>3.2.</t>
  </si>
  <si>
    <t>4.1.3.0.</t>
  </si>
  <si>
    <t>4.</t>
  </si>
  <si>
    <t>Nekustamā īpašuma nodoklis par mājokļiem un inženierbūvēm</t>
  </si>
  <si>
    <t>04.1.3.1.</t>
  </si>
  <si>
    <t>4.1.</t>
  </si>
  <si>
    <t>04.1.3.2.</t>
  </si>
  <si>
    <t>4.2.</t>
  </si>
  <si>
    <t>5.</t>
  </si>
  <si>
    <t>Azartspēļu nodoklis</t>
  </si>
  <si>
    <t>9.0.0.0.</t>
  </si>
  <si>
    <t>6.</t>
  </si>
  <si>
    <t>Valsts (pašvaldību) un kancelejas nodevas</t>
  </si>
  <si>
    <t>9.4.0.0.</t>
  </si>
  <si>
    <t>6.1.</t>
  </si>
  <si>
    <t>valsts nodevas</t>
  </si>
  <si>
    <t>09.4.2.0.</t>
  </si>
  <si>
    <t>6.1.1.</t>
  </si>
  <si>
    <t>t.sk.: - par apliecinājumiem un citu funkciju pildīšanu bāriņtiesā</t>
  </si>
  <si>
    <t>09.4.5.0.</t>
  </si>
  <si>
    <t>6.1.2.</t>
  </si>
  <si>
    <t>09.4.9.0.</t>
  </si>
  <si>
    <t>6.1.3.</t>
  </si>
  <si>
    <t>9.5.0.0.</t>
  </si>
  <si>
    <t>6.2.</t>
  </si>
  <si>
    <t>pašvaldību nodevas</t>
  </si>
  <si>
    <t>09.5.1.1.</t>
  </si>
  <si>
    <t>6.2.1.</t>
  </si>
  <si>
    <t>09.5.1.4.</t>
  </si>
  <si>
    <t>6.2.2.</t>
  </si>
  <si>
    <t>6.2.3.</t>
  </si>
  <si>
    <t>09.5.1.7.</t>
  </si>
  <si>
    <t>6.2.4.</t>
  </si>
  <si>
    <t>09.5.2.1.</t>
  </si>
  <si>
    <t>6.2.5.</t>
  </si>
  <si>
    <t>09.5.2.9.</t>
  </si>
  <si>
    <t>6.2.6.</t>
  </si>
  <si>
    <t>10.0.0.0.</t>
  </si>
  <si>
    <t>7.</t>
  </si>
  <si>
    <t>Naudas sodi un sankcijas</t>
  </si>
  <si>
    <t>10.1.4.0.</t>
  </si>
  <si>
    <t>7.1.</t>
  </si>
  <si>
    <t>10.1.5.0.</t>
  </si>
  <si>
    <t>7.2.</t>
  </si>
  <si>
    <t>Naudas sodi, ko uzliek par pārkāpumiem ceļu satiksmē</t>
  </si>
  <si>
    <t>12.0.0.0.</t>
  </si>
  <si>
    <t>8.</t>
  </si>
  <si>
    <t>Pārējie nenodokļu ieņēmumi</t>
  </si>
  <si>
    <t>8.1.</t>
  </si>
  <si>
    <t>citi nenodokļu ieņēmumi</t>
  </si>
  <si>
    <t>8.2.</t>
  </si>
  <si>
    <t>8.3.</t>
  </si>
  <si>
    <t>9.</t>
  </si>
  <si>
    <t>Ieņēmumi no pašvaldības īpašuma pārdošana</t>
  </si>
  <si>
    <t>9.1.</t>
  </si>
  <si>
    <t>9.2.</t>
  </si>
  <si>
    <t>10.</t>
  </si>
  <si>
    <t>Valsts budžeta transferti</t>
  </si>
  <si>
    <t>mērķdotācija</t>
  </si>
  <si>
    <t>18.6.2.3.</t>
  </si>
  <si>
    <t>10.1.</t>
  </si>
  <si>
    <t>dotācija mākslas skolas algām</t>
  </si>
  <si>
    <t>18.6.2.4.</t>
  </si>
  <si>
    <t>10.2.</t>
  </si>
  <si>
    <t>dotācija sporta skolai</t>
  </si>
  <si>
    <t>dotācija skolēnu ēdināšanai</t>
  </si>
  <si>
    <t>18.6.2.5.</t>
  </si>
  <si>
    <t>18.6.2.0.</t>
  </si>
  <si>
    <t>dotācijas pedagogu algām (vsk., PII)</t>
  </si>
  <si>
    <t>18.6.2.2.</t>
  </si>
  <si>
    <t>t.sk.: - piecgadīgo bērnu apmācība</t>
  </si>
  <si>
    <t>18.6.2.1.</t>
  </si>
  <si>
    <t>18.6.2.9.</t>
  </si>
  <si>
    <t>18.6.2.7.</t>
  </si>
  <si>
    <t>dotācija asistenta pakalpojumu nodrošināšanai</t>
  </si>
  <si>
    <t>pārējās dotācijas</t>
  </si>
  <si>
    <t>18.6.3.6.</t>
  </si>
  <si>
    <t>11.</t>
  </si>
  <si>
    <t>Pašvaldību budžeta transferti</t>
  </si>
  <si>
    <t>19.2.1.0.</t>
  </si>
  <si>
    <t>11.1.</t>
  </si>
  <si>
    <t>no citām pašvaldībām izglītības funkciju nodrošināšanai</t>
  </si>
  <si>
    <t>11.2.</t>
  </si>
  <si>
    <t>12.</t>
  </si>
  <si>
    <t>Budžeta iestāžu ieņēmumi</t>
  </si>
  <si>
    <t>21.3.5.0.</t>
  </si>
  <si>
    <t>12.1.</t>
  </si>
  <si>
    <t>12.1.1.</t>
  </si>
  <si>
    <t>21.3.5.2.</t>
  </si>
  <si>
    <t>12.1.2.</t>
  </si>
  <si>
    <t>21.3.5.9.</t>
  </si>
  <si>
    <t>21.3.8.0.</t>
  </si>
  <si>
    <t>12.2.</t>
  </si>
  <si>
    <t>ieņēmumi par nomu un īri</t>
  </si>
  <si>
    <t>21.3.8.1.</t>
  </si>
  <si>
    <t>12.2.1.</t>
  </si>
  <si>
    <t>21.3.8.4.</t>
  </si>
  <si>
    <t>12.2.2.</t>
  </si>
  <si>
    <t>21.3.9.0.</t>
  </si>
  <si>
    <t>12.3.</t>
  </si>
  <si>
    <t>budžeta iestāžu maksas pakalpojumi</t>
  </si>
  <si>
    <t>12.4.</t>
  </si>
  <si>
    <t>KOPĀ IEŅĒMUMI:</t>
  </si>
  <si>
    <t>13.</t>
  </si>
  <si>
    <t>Naudas līdzekļu atlikums gada sākumā</t>
  </si>
  <si>
    <t>13.1.</t>
  </si>
  <si>
    <t>Naudas atlikums iezīmētiem mērķiem</t>
  </si>
  <si>
    <t>13.2.</t>
  </si>
  <si>
    <t>Naudas atlikums pašvaldības līdzekļi</t>
  </si>
  <si>
    <t xml:space="preserve">14. </t>
  </si>
  <si>
    <t>Valsts Kases kredīti</t>
  </si>
  <si>
    <t>PAVISAM KOPĀ IEŅĒMUMI:</t>
  </si>
  <si>
    <t xml:space="preserve">Izdevumu daļa </t>
  </si>
  <si>
    <t>Vispārējie valdības dienesti</t>
  </si>
  <si>
    <t>pārvalde</t>
  </si>
  <si>
    <t>deputāti</t>
  </si>
  <si>
    <t>1.3.</t>
  </si>
  <si>
    <t>administratīvā komisija</t>
  </si>
  <si>
    <t>1.4.</t>
  </si>
  <si>
    <t>iepirkumu komisija</t>
  </si>
  <si>
    <t>1.5.</t>
  </si>
  <si>
    <t>vēlēšanu komisija</t>
  </si>
  <si>
    <t>1.6.</t>
  </si>
  <si>
    <t>1.7.</t>
  </si>
  <si>
    <t>1.8.</t>
  </si>
  <si>
    <t>aizņēmumu procentu maksājumi</t>
  </si>
  <si>
    <t>Iemaksas PFIF</t>
  </si>
  <si>
    <t>Izdevumi neparedzētiem gadījumiem</t>
  </si>
  <si>
    <t>Sabiedriskā kārtība un drošība</t>
  </si>
  <si>
    <t>Sabiedriskās attiecības, laikraksts</t>
  </si>
  <si>
    <t>Pašvaldības teritoriju un mājokļu apsaimniekošana</t>
  </si>
  <si>
    <t>5.1.</t>
  </si>
  <si>
    <t>Būvvalde</t>
  </si>
  <si>
    <t>5.2.</t>
  </si>
  <si>
    <t>nodaļa</t>
  </si>
  <si>
    <t>5.3.</t>
  </si>
  <si>
    <t>Objektu un teritorijas apsaimniekošana un uzturēšana</t>
  </si>
  <si>
    <t>5.4.</t>
  </si>
  <si>
    <t>Atpūta, kultūra un reliģija</t>
  </si>
  <si>
    <t>6.3.</t>
  </si>
  <si>
    <t>Sporta daļa</t>
  </si>
  <si>
    <t>6.4.</t>
  </si>
  <si>
    <t>Evaņģēliski luteriskās draudzes</t>
  </si>
  <si>
    <t>6.5.</t>
  </si>
  <si>
    <t>Sociālā aizsardzība</t>
  </si>
  <si>
    <t>Sociālais dienests</t>
  </si>
  <si>
    <t>Stipendiāti / bezdarbnieki</t>
  </si>
  <si>
    <t>7.3.</t>
  </si>
  <si>
    <t>Bāriņtiesa</t>
  </si>
  <si>
    <t>Izglītība</t>
  </si>
  <si>
    <t>Norēķini ar pašvaldību budžetiem par izglītības iestāžu pakalpojumiem</t>
  </si>
  <si>
    <t>Ādažu Pirmsskolas izglītības iestāde</t>
  </si>
  <si>
    <t>8.2.1.</t>
  </si>
  <si>
    <t>pedagogu algas (mērķdotācija)</t>
  </si>
  <si>
    <t>8.2.2.</t>
  </si>
  <si>
    <t>pārējās izmaksas</t>
  </si>
  <si>
    <t>Kadagas PII</t>
  </si>
  <si>
    <t>8.3.1.</t>
  </si>
  <si>
    <t>8.3.2.</t>
  </si>
  <si>
    <t>8.4.</t>
  </si>
  <si>
    <t>Privātās izglītības iestādes</t>
  </si>
  <si>
    <t>ĀBVS</t>
  </si>
  <si>
    <t>8.5.</t>
  </si>
  <si>
    <t>Ādažu vidusskola</t>
  </si>
  <si>
    <t>8.6.</t>
  </si>
  <si>
    <t>8.7.</t>
  </si>
  <si>
    <t>Sporta skola</t>
  </si>
  <si>
    <t>8.8.</t>
  </si>
  <si>
    <t>Ieguldījumi uzņēmumu pamatkapitālā</t>
  </si>
  <si>
    <t>SIA "Ādažu ūdens"</t>
  </si>
  <si>
    <t>SIA "Garkalnes ūdens"</t>
  </si>
  <si>
    <t>KOPĀ IZDEVUMI:</t>
  </si>
  <si>
    <t>Kredītu pamatsummas atmaksa</t>
  </si>
  <si>
    <t>PAVISAM KOPĀ IZDEVUMI:</t>
  </si>
  <si>
    <t>-</t>
  </si>
  <si>
    <t>Naudas līdzekļu atlikums uz gada beigām</t>
  </si>
  <si>
    <t>Samaksa par virsstundu darbu un darbu svētku dienās</t>
  </si>
  <si>
    <t>Naudas balvas</t>
  </si>
  <si>
    <t>Informācijas sistēmas uzturēšana</t>
  </si>
  <si>
    <t>Maksājumi par pašvaldību parāda apkalpošanu</t>
  </si>
  <si>
    <t>Mācību līdzekļi un materiāli</t>
  </si>
  <si>
    <t>Pārējās preces</t>
  </si>
  <si>
    <t>Datorprogrammas</t>
  </si>
  <si>
    <t>Datortehnika, sakaru un cita biroja tehnika</t>
  </si>
  <si>
    <t>Pašvaldības iemaksa pašvaldību finanšu izlīdzināšanas fondā</t>
  </si>
  <si>
    <t>Pārējo darbinieku mēnešalga (darba alga)</t>
  </si>
  <si>
    <t>Izdevumi par transporta pakalpojumiem</t>
  </si>
  <si>
    <t>Pārējie iepriekš neklasificētie pakalpojumu veidi</t>
  </si>
  <si>
    <t>Piemaksa par nakts darbu</t>
  </si>
  <si>
    <t>Darba devēja pabalsti un kompensācijas, no kuriem aprēķina ienākuma nodokli, valsts sociālās apdrošināšanas obligātās iemaksas</t>
  </si>
  <si>
    <t>Darba devēja pabalsti un kompensācijas, no kā neaprēķina ienākuma nodokli, valsts sociālās apdrošināšanas obligātās iemaksas</t>
  </si>
  <si>
    <t>Izdevumi par ūdeni un kanalizāciju</t>
  </si>
  <si>
    <t>Izdevumi par elektroenerģiju</t>
  </si>
  <si>
    <t>Apdrošināšanas izdevumi</t>
  </si>
  <si>
    <t>Kurināmais</t>
  </si>
  <si>
    <t>Formas tērpi un speciālais apģērbs</t>
  </si>
  <si>
    <t>Attīstības pasākumi un programmas</t>
  </si>
  <si>
    <t>Valsts un pašvaldību budžeta dotācija biedrībām un nodibinājumiem</t>
  </si>
  <si>
    <t>Degviela</t>
  </si>
  <si>
    <t>Zāles, ķimikālijas, laboratorijas preces</t>
  </si>
  <si>
    <t>Iekārtas, inventāra un aparatūras remonts, tehniskā apkalpošana</t>
  </si>
  <si>
    <t>Ēku, telpu īre un noma</t>
  </si>
  <si>
    <t>Inventārs</t>
  </si>
  <si>
    <t>Darba devēja sociāla rakstura pabalsti, kompensācijas un citi maksājumi</t>
  </si>
  <si>
    <t>Zemes noma</t>
  </si>
  <si>
    <t>Biroja preces</t>
  </si>
  <si>
    <t>Pārējie remontdarbu un iestāžu uzturēšanas pakalpojumi</t>
  </si>
  <si>
    <t>Pārējie klasifikācijā neminētie no valsts un pašvaldību budžeta veiktie maksājumi iedzīvotājiem naudā</t>
  </si>
  <si>
    <t>Izdevumi brīvprātīgo iniciatīvu izpildei</t>
  </si>
  <si>
    <t>Nekustamā īpašuma uzturēšana</t>
  </si>
  <si>
    <t>Kapitālais remonts un rekonstrukcija</t>
  </si>
  <si>
    <t>Izdevumi par pārējiem komunālajiem pakalpojumiem</t>
  </si>
  <si>
    <t>Transporta būves</t>
  </si>
  <si>
    <t>0110</t>
  </si>
  <si>
    <t>0111</t>
  </si>
  <si>
    <t>0120</t>
  </si>
  <si>
    <t>0130</t>
  </si>
  <si>
    <t>0140</t>
  </si>
  <si>
    <t>0150</t>
  </si>
  <si>
    <t>0490</t>
  </si>
  <si>
    <t>0340</t>
  </si>
  <si>
    <t>0610</t>
  </si>
  <si>
    <t>0630</t>
  </si>
  <si>
    <t>0812</t>
  </si>
  <si>
    <t>0830</t>
  </si>
  <si>
    <t>0880</t>
  </si>
  <si>
    <t>0910</t>
  </si>
  <si>
    <t>0950</t>
  </si>
  <si>
    <t>0965</t>
  </si>
  <si>
    <t>0970</t>
  </si>
  <si>
    <t>Mērķdotācija</t>
  </si>
  <si>
    <t>Pašvaldības finansējums</t>
  </si>
  <si>
    <t>Pabalsti</t>
  </si>
  <si>
    <t>7.1.1.</t>
  </si>
  <si>
    <t>Asistentu pakalpojumi</t>
  </si>
  <si>
    <t>7.1.2.</t>
  </si>
  <si>
    <t>Domes finansējums</t>
  </si>
  <si>
    <t>NVA finansējums</t>
  </si>
  <si>
    <t>0930</t>
  </si>
  <si>
    <t>5.6.</t>
  </si>
  <si>
    <t>pārējās komisijas</t>
  </si>
  <si>
    <t>projekts Erasmus+</t>
  </si>
  <si>
    <t>pedagogu algas, grāmatas (mērķdotācija)</t>
  </si>
  <si>
    <t>6.6.</t>
  </si>
  <si>
    <t>13.1.0.0.</t>
  </si>
  <si>
    <t>Transportlīdzekļu noma</t>
  </si>
  <si>
    <t>Darba devēja valsts sociālās apdrošināšanas obligātās iemaksas</t>
  </si>
  <si>
    <t>SAM 9.2.4.2. projekts "Pasākumi vietējās sabiedrības veselības veicināšanai Ādažu novadā"</t>
  </si>
  <si>
    <t>0340 Pašvaldības policija</t>
  </si>
  <si>
    <t>Multihalle</t>
  </si>
  <si>
    <t>0950 Ādažu vidusskola</t>
  </si>
  <si>
    <t>0620 Būvvalde</t>
  </si>
  <si>
    <t>Piemaksa par papildu darbu</t>
  </si>
  <si>
    <t>1010 Sociālais dienests</t>
  </si>
  <si>
    <t>0110 Pārvalde</t>
  </si>
  <si>
    <t>Atalgojums</t>
  </si>
  <si>
    <t>0981</t>
  </si>
  <si>
    <t>Valsts un pašvaldību budžeta dotācija komersantiem</t>
  </si>
  <si>
    <t>līgumsodi un procentu maksājumi par saistību neizpildi</t>
  </si>
  <si>
    <t>12.3.9.5.</t>
  </si>
  <si>
    <t>19.2.2.0.</t>
  </si>
  <si>
    <t>citi ieņēmumi no citām pašvaldībam</t>
  </si>
  <si>
    <t>ES struktūrfondu līdzekļi un aktivitāšu līdzfinansējumi</t>
  </si>
  <si>
    <t>Valsts budžeta transferti un projektu finansējums</t>
  </si>
  <si>
    <t>VISA projekts "Atbalsts izglītojamo individuālo kompetenču attīstībai"</t>
  </si>
  <si>
    <t>Darba devēja piešķirtie labumi un maksājumi</t>
  </si>
  <si>
    <t>SAM 9311 Deinstitucionalizācija - Dienas centrs</t>
  </si>
  <si>
    <t>Pašvaldību uzturēšanas izdevumu transferti (izņemot atmaksas) uz valsts budžetu</t>
  </si>
  <si>
    <t>0956</t>
  </si>
  <si>
    <t>7.4.</t>
  </si>
  <si>
    <t>dotācija sociālajiem darbiniekiem, kuri strādā ar ģimenēm un bērniem</t>
  </si>
  <si>
    <t>Pašvaldību līdzekļi neparedzētiem gadījumiem</t>
  </si>
  <si>
    <t>Pašvaldību atmaksa valsts budžetam par iepriekšējos gados saņemto, bet neizlietoto valsts budžeta transfertu uzturēšanas izdevumiem</t>
  </si>
  <si>
    <t xml:space="preserve">18.6.3.13. </t>
  </si>
  <si>
    <t>sākumskolas uzturēšanas izmaksas</t>
  </si>
  <si>
    <t xml:space="preserve">Komentāri </t>
  </si>
  <si>
    <t>projekts "Skolas soma"</t>
  </si>
  <si>
    <t>dotācija māksliniecisko kolektīvu vadītāju atalgojumam</t>
  </si>
  <si>
    <t>Licences, koncesijas un patenti, preču zīmes un līdzīgas tiesības</t>
  </si>
  <si>
    <t>18.6.2.6.1.</t>
  </si>
  <si>
    <t>Piemaksa par personisko darba ieguldījumu un darba kvalitāti</t>
  </si>
  <si>
    <t>Pārējās privātās vidējās izglītības iestādes</t>
  </si>
  <si>
    <t>Izdevumi par apkuri</t>
  </si>
  <si>
    <t>Saeimas frakciju, komisiju un administrācijas darbinieku mēnešalga</t>
  </si>
  <si>
    <t>ēdināšana (mērķdotācija)</t>
  </si>
  <si>
    <t>sākumskolas ēdināšana (mērķdotācija)</t>
  </si>
  <si>
    <t>18.6.2.10.; 18.6.2.11</t>
  </si>
  <si>
    <t>0911</t>
  </si>
  <si>
    <t>0921</t>
  </si>
  <si>
    <t>valsts dotācija ceļu uzturēšanai</t>
  </si>
  <si>
    <t>Izmaiņa</t>
  </si>
  <si>
    <t>0951</t>
  </si>
  <si>
    <t>0952</t>
  </si>
  <si>
    <t xml:space="preserve">PII </t>
  </si>
  <si>
    <t>-  uzturēšana</t>
  </si>
  <si>
    <t>t.sk.: - par civilstāvokļa aktu reģistrēšanu, grozīšanu un papildināšanu</t>
  </si>
  <si>
    <t>t.sk.: - pārējās valsts nodevas, kuras ieskaita pašvaldību budžetā</t>
  </si>
  <si>
    <t>t.sk.: - nodeva par domes izstrādāto oficiālo dokumentu saņemšanu</t>
  </si>
  <si>
    <t>t.sk.: - nodeva par tirdzniecību publiskās vietās</t>
  </si>
  <si>
    <t>t.sk.: - nodeva par reklāmas, afišu un sludinājumu izvietošanu publiskās vietās</t>
  </si>
  <si>
    <t>t.sk.: - nodeva par būvatļaujas saņemšanu</t>
  </si>
  <si>
    <t>t.sk.: - pārējās nodevas</t>
  </si>
  <si>
    <t>t.sk.: - skolotāju algām</t>
  </si>
  <si>
    <t>t.sk.: - interešu izglītība</t>
  </si>
  <si>
    <t>Bibliotēku krājumi</t>
  </si>
  <si>
    <t>t.sk.: - nodeva par izklaidējoša rakstura pasākumu sarīkošanu publiskās vietās</t>
  </si>
  <si>
    <t>12.4.1.</t>
  </si>
  <si>
    <t>12.4.2.</t>
  </si>
  <si>
    <t>12.5.</t>
  </si>
  <si>
    <t>1.9.</t>
  </si>
  <si>
    <t>Autoceļu fonds</t>
  </si>
  <si>
    <t>CKS</t>
  </si>
  <si>
    <t>Projekts "Sabiedrība ar dvēseli"</t>
  </si>
  <si>
    <t>Pirmsskolas izglītības iestāde "Riekstiņš"</t>
  </si>
  <si>
    <t>Carnikava</t>
  </si>
  <si>
    <t>Kultūra</t>
  </si>
  <si>
    <t>Pirmsskolas izglītības iestādes "Piejūra"</t>
  </si>
  <si>
    <t>7.1.3.</t>
  </si>
  <si>
    <t>Projekts "Skolas soma" Ādaži</t>
  </si>
  <si>
    <t>ESF projekts Karjeras atbalsts vispārējās un profesionālās izglītības iestādēs ©</t>
  </si>
  <si>
    <t>12.3.1.</t>
  </si>
  <si>
    <t>12.3.2.</t>
  </si>
  <si>
    <t>ieņēmumi par telpu nomu</t>
  </si>
  <si>
    <t>ieņēmumi par zemes nomu</t>
  </si>
  <si>
    <t>12.3.3.</t>
  </si>
  <si>
    <t>pārējie ieņēmumi par nomu ©</t>
  </si>
  <si>
    <t>ieņēmumi no zvejas tiesību nomas</t>
  </si>
  <si>
    <t>Informācijas tehnoloģiju nodaļa, vispārējas nozīmes dienestu darbība un pakalpojumi - datortīkla uzturēšana ©</t>
  </si>
  <si>
    <t>Tautas nams "Ozolaine" ©</t>
  </si>
  <si>
    <t>SAM 5.5.1. Kultūras objektu būvniecība (maksājumi projekta partneriem) ©</t>
  </si>
  <si>
    <t>ES projekts Eiropa pilsoņiem (diskriminētām personām) ©</t>
  </si>
  <si>
    <t>Ādažu pašvaldības apvienotais budžets</t>
  </si>
  <si>
    <t>Ādaži</t>
  </si>
  <si>
    <t>ERASMUS + projekti</t>
  </si>
  <si>
    <t>Samaksa par ilgstošas sociālās aprūpes un sociālās rehabilitācijas institūciju sniegtajiem pakalpojumiem</t>
  </si>
  <si>
    <t>Pasta, telefona un citi sakaru pakalpojumi</t>
  </si>
  <si>
    <t>Transportlīdzekļu uzturēšana un remonts</t>
  </si>
  <si>
    <t>0952.1</t>
  </si>
  <si>
    <t>0954</t>
  </si>
  <si>
    <t>0957</t>
  </si>
  <si>
    <t>Transporta izdevumu kompensācijas</t>
  </si>
  <si>
    <t>Samaksa par aprūpi mājās</t>
  </si>
  <si>
    <t>09824</t>
  </si>
  <si>
    <t>Informācijas tehnoloģiju pakalpojumi</t>
  </si>
  <si>
    <t>Budžeta iestāžu pievienotās vērtības nodokļa maksājumi</t>
  </si>
  <si>
    <t>Pārējie budžeta iestāžu pārskaitītie nodokļi un nodevas</t>
  </si>
  <si>
    <t>Darba devēja izdevumi veselības, dzīvības un nelaimes gadījumu apdrošināšanai</t>
  </si>
  <si>
    <t>09011</t>
  </si>
  <si>
    <t>Citas normatīvajos aktos noteiktās piemaksas, kas nav iepriekš klasificētas</t>
  </si>
  <si>
    <t>Virtuves inventārs, trauki un galda piederumi</t>
  </si>
  <si>
    <t>0901; 650_0901</t>
  </si>
  <si>
    <t>0902; 650_0902</t>
  </si>
  <si>
    <t>09021</t>
  </si>
  <si>
    <t>0982</t>
  </si>
  <si>
    <t>09821</t>
  </si>
  <si>
    <t>09822</t>
  </si>
  <si>
    <t>0932</t>
  </si>
  <si>
    <t>0931</t>
  </si>
  <si>
    <t>0830 Ādažu bibliotēka</t>
  </si>
  <si>
    <t>0831 Carnikavas bibliotēka</t>
  </si>
  <si>
    <t>Izdevumi par saņemtajiem mācību pakalpojumiem</t>
  </si>
  <si>
    <t>Ēdināšanas izdevumi</t>
  </si>
  <si>
    <t>Mācību maksas kompensācija</t>
  </si>
  <si>
    <t>5.5.</t>
  </si>
  <si>
    <t>7.5.</t>
  </si>
  <si>
    <t>0831</t>
  </si>
  <si>
    <t>0170</t>
  </si>
  <si>
    <t>0670</t>
  </si>
  <si>
    <t>0170 Informācijas tehnoloģiju nodaļa</t>
  </si>
  <si>
    <t>Projekts "Skolas soma" Carnikava</t>
  </si>
  <si>
    <t>Teritorijas plānošanas nodaļa</t>
  </si>
  <si>
    <t>Attīstības un projektu nodaļa</t>
  </si>
  <si>
    <t>P/A "Carnikavas komunālserviss" teritorijas un īpašumu apsaimniekošana</t>
  </si>
  <si>
    <t xml:space="preserve">Ādažu kultūras centrs </t>
  </si>
  <si>
    <t xml:space="preserve">Ādažu bibliotēka </t>
  </si>
  <si>
    <t xml:space="preserve">Carnikavas bibliotēka </t>
  </si>
  <si>
    <t xml:space="preserve">Sociālās funkcijas nodrošināšana </t>
  </si>
  <si>
    <t>”Mobilitātes punkta infrastruktūras izveidošana Rīgas metropoles areālā – “Carnikava””</t>
  </si>
  <si>
    <t>Maģistrālā  veloceļa izbūve Rīga-Carnikava</t>
  </si>
  <si>
    <t>mācību vides labiekārtošana</t>
  </si>
  <si>
    <t>I.</t>
  </si>
  <si>
    <t>KOPĀ IEŅĒMUMI</t>
  </si>
  <si>
    <t>Nodokļi un maksājumi par tiesībām lietot atsevišķas preces</t>
  </si>
  <si>
    <t>II.</t>
  </si>
  <si>
    <t>II.1</t>
  </si>
  <si>
    <t>Izdevumi atbilstoši funkcionālajām kategorijām</t>
  </si>
  <si>
    <t>Ekonomiskā darbība</t>
  </si>
  <si>
    <t>Teritoriju un mājokļu apsaimniekošana</t>
  </si>
  <si>
    <t>II.2</t>
  </si>
  <si>
    <t>Izdevumi atbilstoši ekonomiskajām kategorijām</t>
  </si>
  <si>
    <t>Atlīdzība</t>
  </si>
  <si>
    <t>Preces un pakalpojumi</t>
  </si>
  <si>
    <t>Procentu izdevumi</t>
  </si>
  <si>
    <t>Subsīdijas un dotācijas</t>
  </si>
  <si>
    <t>Sociāla rakstura maksājumi un kompensācijas</t>
  </si>
  <si>
    <t>Pamatkapitāla veidošana</t>
  </si>
  <si>
    <t>Dabas resursu nodokļa izlietojums</t>
  </si>
  <si>
    <t>Vides aizsardzība</t>
  </si>
  <si>
    <t>7.6.</t>
  </si>
  <si>
    <t>7.7.</t>
  </si>
  <si>
    <t>8.3.3.</t>
  </si>
  <si>
    <t>Ieņēmumu avoti un izdevumi atbilstīgi funkcionālajām un ekonomiskajām kategorijām</t>
  </si>
  <si>
    <t>Sabiedrisko attiecību nodaļa</t>
  </si>
  <si>
    <t>Sociālie pabalsti</t>
  </si>
  <si>
    <t>KOPĀ IEŅĒMUMI AR FINANSĒŠANU</t>
  </si>
  <si>
    <t>1.0.0.0.</t>
  </si>
  <si>
    <t>Ienākuma nodokļi</t>
  </si>
  <si>
    <t>4.1.0.0.</t>
  </si>
  <si>
    <t>Nekustamā īpašuma nodoklis</t>
  </si>
  <si>
    <t>Valsts (pašvaldību) nodevas un kancelejas nodevas</t>
  </si>
  <si>
    <t>13.0.0.0.</t>
  </si>
  <si>
    <t>Ieņēmumi no pašvaldības īpašumu pārdošanas</t>
  </si>
  <si>
    <t>18.0.0.0.</t>
  </si>
  <si>
    <t>19.0.0.0.</t>
  </si>
  <si>
    <t>Pašvaldību budžetu transferti</t>
  </si>
  <si>
    <t>21.0.0.0.</t>
  </si>
  <si>
    <t>F 40320010</t>
  </si>
  <si>
    <t>Naudas līdzekļu atlikums</t>
  </si>
  <si>
    <t>KOPĀ IZDEVUMI AR FINANSĒŠANU</t>
  </si>
  <si>
    <t>F 40320020</t>
  </si>
  <si>
    <t>Aizņēmumu atmaksa</t>
  </si>
  <si>
    <t>Uzturēšanas izdevumu transferti, pašu resursu maksājumi, starptautiskā sadarbība</t>
  </si>
  <si>
    <t>0841.3</t>
  </si>
  <si>
    <t>0841.2</t>
  </si>
  <si>
    <t>1014.1</t>
  </si>
  <si>
    <t>0510</t>
  </si>
  <si>
    <t>0420</t>
  </si>
  <si>
    <t>0633.1</t>
  </si>
  <si>
    <t>0633.2</t>
  </si>
  <si>
    <t>0841.1</t>
  </si>
  <si>
    <t>1013.1</t>
  </si>
  <si>
    <t>Nemateriālo ieguldījumu izveidošana</t>
  </si>
  <si>
    <t>1., 2., 3., 4.</t>
  </si>
  <si>
    <t>Nekustamā īpašuma nodokļu ieņēmumi</t>
  </si>
  <si>
    <t>Dabas resursu nodoklis</t>
  </si>
  <si>
    <t>5.5.3.1.</t>
  </si>
  <si>
    <t>5.4.1.0.</t>
  </si>
  <si>
    <t>Izdevumi par tiesvedības darbiem</t>
  </si>
  <si>
    <t>Piemaksa par darbu īpašos apstākļos, speciālās piemaksas</t>
  </si>
  <si>
    <t>Pārējie neklasificētie izdevumi</t>
  </si>
  <si>
    <t>Pašvaldību pabalsti naudā krīzes situācijā</t>
  </si>
  <si>
    <t>10.1.1.</t>
  </si>
  <si>
    <t>10.1.2.</t>
  </si>
  <si>
    <t>10.1.3.</t>
  </si>
  <si>
    <t>10.1.4.</t>
  </si>
  <si>
    <t>10.1.5.</t>
  </si>
  <si>
    <t xml:space="preserve">  10.1.5.1.</t>
  </si>
  <si>
    <t xml:space="preserve">  10.1.5.2.</t>
  </si>
  <si>
    <t xml:space="preserve">  10.1.5.3.</t>
  </si>
  <si>
    <t>10.1.6.</t>
  </si>
  <si>
    <t>10.1.7.</t>
  </si>
  <si>
    <t>10.1.8.</t>
  </si>
  <si>
    <t>10.1.9.</t>
  </si>
  <si>
    <t>10.1.10.</t>
  </si>
  <si>
    <t>10.1.11.</t>
  </si>
  <si>
    <t>10.2.1.</t>
  </si>
  <si>
    <t>10.2.2.</t>
  </si>
  <si>
    <t>10.2.3.</t>
  </si>
  <si>
    <t>10.2.5.</t>
  </si>
  <si>
    <t>10.2.6.</t>
  </si>
  <si>
    <t>10.2.8.</t>
  </si>
  <si>
    <t>10.2.10.</t>
  </si>
  <si>
    <t>10.2.11.</t>
  </si>
  <si>
    <t>18.6.4.0.</t>
  </si>
  <si>
    <t>IIN budžeta dotācija</t>
  </si>
  <si>
    <t>10.3.</t>
  </si>
  <si>
    <t>0620</t>
  </si>
  <si>
    <t>0633.4</t>
  </si>
  <si>
    <t>0634</t>
  </si>
  <si>
    <t>0844.1</t>
  </si>
  <si>
    <t>0844.2</t>
  </si>
  <si>
    <t>0420 (18.6.2.9.)</t>
  </si>
  <si>
    <t>F40321210</t>
  </si>
  <si>
    <t>0933</t>
  </si>
  <si>
    <t>Pašvaldības un tās iestāžu savstarpējie transferti</t>
  </si>
  <si>
    <t>09651</t>
  </si>
  <si>
    <t>0920</t>
  </si>
  <si>
    <t>09825</t>
  </si>
  <si>
    <t>0660</t>
  </si>
  <si>
    <t>Ādažu vēstis</t>
  </si>
  <si>
    <t>Iedzīvotāju iniciatīvas un konkursi.</t>
  </si>
  <si>
    <t>10.2.13.</t>
  </si>
  <si>
    <t>10.2.14.</t>
  </si>
  <si>
    <t>0630.2</t>
  </si>
  <si>
    <t>0630.1</t>
  </si>
  <si>
    <t>Dienas nauda - ārpus LV</t>
  </si>
  <si>
    <t>Pārējie komandējumu un dienesta, darba braucienu izdevumi - ārpus LV</t>
  </si>
  <si>
    <t>Atalgojums fiziskajām personām uz tiesiskās attiecības regulējošu dokumentu pamata (atalgojums par autoratlīdzību un uzņēmuma līgumu iestādes darbiniekiem vai citām fiziskajām personām)</t>
  </si>
  <si>
    <t>PFIF</t>
  </si>
  <si>
    <t>Pārējie komandējumu un dienesta, darba braucienu izdevumi- LV</t>
  </si>
  <si>
    <t>Iestāžu uzturēšanas materiāli un preces</t>
  </si>
  <si>
    <t>Izdevumi par piešķirumiem iedzīvotājiem natūrā brīvprātīgo iniciatīvu izpildei</t>
  </si>
  <si>
    <t>Izdevumi par atkritumu izvešanu</t>
  </si>
  <si>
    <t>Inženierbūves</t>
  </si>
  <si>
    <t>Samaksa par pārējiem sociālajiem pakalpojumiem saskaņā ar pašvaldību saistošajiem noteikumiem</t>
  </si>
  <si>
    <t>1030 Bāriņtiesa</t>
  </si>
  <si>
    <t>Dotācijas Ukrainas pilsoņu atbalstam</t>
  </si>
  <si>
    <t xml:space="preserve">  10.1.4.1.</t>
  </si>
  <si>
    <t xml:space="preserve">  10.1.4.2.</t>
  </si>
  <si>
    <t>t.sk.: - dotācija mācību grāmatām</t>
  </si>
  <si>
    <t>dotācija mācību līdzekļiem</t>
  </si>
  <si>
    <t>t.sk.: - dotācija digitālajiem mācību līdzekļiem</t>
  </si>
  <si>
    <t>Rādītāju nosaukumi</t>
  </si>
  <si>
    <t>10.2.16.</t>
  </si>
  <si>
    <t>IIN</t>
  </si>
  <si>
    <t>21.3.8.9.</t>
  </si>
  <si>
    <t>Pabalsti ēdināšanai natūrā</t>
  </si>
  <si>
    <t>Prēmijas un naudas balvas</t>
  </si>
  <si>
    <t>NODOKĻI PAR PAKALPOJUMIEM UN PRECĒM</t>
  </si>
  <si>
    <t>5.0.0.0.</t>
  </si>
  <si>
    <t xml:space="preserve">  Nodokļi un maksājumi par tiesībām lietot atsevišķas preces</t>
  </si>
  <si>
    <t xml:space="preserve">  5.5.0.0.</t>
  </si>
  <si>
    <t xml:space="preserve">    Dabas resursu nodoklis</t>
  </si>
  <si>
    <t xml:space="preserve">    5.5.3.0.</t>
  </si>
  <si>
    <t xml:space="preserve">    Dabas resursu nodoklis par dabas resursu ieguvi un vides piesārņošanu</t>
  </si>
  <si>
    <t xml:space="preserve">      5.5.3.1.</t>
  </si>
  <si>
    <t>VALSTS (PAŠVALDĪBU) NODEVAS UN KANCELEJAS NODEVAS</t>
  </si>
  <si>
    <t xml:space="preserve">  Valsts nodevas, kuras ieskaita pašvaldību budžetā</t>
  </si>
  <si>
    <t xml:space="preserve">  9.4.0.0.</t>
  </si>
  <si>
    <t xml:space="preserve">    Valsts nodeva par apliecinājumiem un citu funkciju pildīšanu bāriņtiesās</t>
  </si>
  <si>
    <t xml:space="preserve">    9.4.2.0.</t>
  </si>
  <si>
    <t xml:space="preserve">  Pašvaldību nodevas</t>
  </si>
  <si>
    <t xml:space="preserve">  9.5.0.0.</t>
  </si>
  <si>
    <t xml:space="preserve">    Pašvaldības nodeva par izklaidējoša rakstura pasākumu sarīkošanu publiskās vietās</t>
  </si>
  <si>
    <t xml:space="preserve">    9.5.1.2.</t>
  </si>
  <si>
    <t xml:space="preserve">    Pašvaldības nodeva par tirdzniecību publiskās vietās</t>
  </si>
  <si>
    <t xml:space="preserve">    9.5.1.4.</t>
  </si>
  <si>
    <t xml:space="preserve">    Pašvaldības nodeva par reklāmas, afišu un sludinājumu izvietošanu publiskās vietās</t>
  </si>
  <si>
    <t xml:space="preserve">    9.5.1.7.</t>
  </si>
  <si>
    <t xml:space="preserve">    Pašvaldības nodeva par būvatļaujas saņemšanu</t>
  </si>
  <si>
    <t xml:space="preserve">    9.5.2.1.</t>
  </si>
  <si>
    <t>PĀRĒJIE NENODOKĻU IEŅĒMUMI</t>
  </si>
  <si>
    <t xml:space="preserve">  Dažādi nenodokļu ieņēmumi</t>
  </si>
  <si>
    <t xml:space="preserve">  12.3.0.0.</t>
  </si>
  <si>
    <t xml:space="preserve">    Citi dažādi nenodokļu ieņēmumi</t>
  </si>
  <si>
    <t xml:space="preserve">    12.3.9.0.</t>
  </si>
  <si>
    <t xml:space="preserve">    Pārējie dažādi nenodokļu ieņēmumi, kas nav iepriekš klasificēti šajā klasifikācijā</t>
  </si>
  <si>
    <t xml:space="preserve">      12.3.9.9.</t>
  </si>
  <si>
    <t>Ieņēmumi no valsts (pašvaldību) īpašuma iznomāšanas, pārdošanas un no nodokļu pamatparāda kapitalizācijas</t>
  </si>
  <si>
    <t xml:space="preserve">  Ieņēmumi no zemes, meža īpašuma pārdošanas</t>
  </si>
  <si>
    <t xml:space="preserve">  13.2.0.0.</t>
  </si>
  <si>
    <t xml:space="preserve">    Ieņēmumi no zemes īpašuma pārdošanas</t>
  </si>
  <si>
    <t xml:space="preserve">    13.2.1.0.</t>
  </si>
  <si>
    <t>No valsts budžeta daļēji finansēto atvasināto publisko personu un budžeta nefinansēto iestāžu transferti</t>
  </si>
  <si>
    <t>17.0.0.0.</t>
  </si>
  <si>
    <t xml:space="preserve">  Pašvaldību saņemtie transferti no valsts budžeta daļēji finansētām atvasinātām publiskām personām un no budžeta nefinansētām iestādēm</t>
  </si>
  <si>
    <t xml:space="preserve">  17.2.0.0.</t>
  </si>
  <si>
    <t xml:space="preserve">  Pašvaldību saņemtie transferti no valsts budžeta</t>
  </si>
  <si>
    <t xml:space="preserve">  18.6.0.0.</t>
  </si>
  <si>
    <t xml:space="preserve">    Pašvaldību saņemtie valsts budžeta transferti</t>
  </si>
  <si>
    <t xml:space="preserve">    18.6.2.0.</t>
  </si>
  <si>
    <t xml:space="preserve">    Valsts kase-skolotāju algas</t>
  </si>
  <si>
    <t xml:space="preserve">      18.6.2.1.</t>
  </si>
  <si>
    <t xml:space="preserve">    Pašv.izgl.iest. 5 un 6 gad.apm</t>
  </si>
  <si>
    <t xml:space="preserve">      18.6.2.2.</t>
  </si>
  <si>
    <t xml:space="preserve">    MMS pedagogu darba samaksa</t>
  </si>
  <si>
    <t xml:space="preserve">      18.6.2.3.</t>
  </si>
  <si>
    <t xml:space="preserve">    Pierīgas BJSS</t>
  </si>
  <si>
    <t xml:space="preserve">      18.6.2.4.</t>
  </si>
  <si>
    <t xml:space="preserve">    Mācību grāmatu iegāde</t>
  </si>
  <si>
    <t xml:space="preserve">      18.6.2.5.</t>
  </si>
  <si>
    <t xml:space="preserve">    Bezdarbnieku atlīdzība , koord. darba samaksa</t>
  </si>
  <si>
    <t xml:space="preserve">      18.6.2.6.1.</t>
  </si>
  <si>
    <t xml:space="preserve">    Asistenta pakalpojumu nodrošināšanai</t>
  </si>
  <si>
    <t xml:space="preserve">      18.6.2.7.</t>
  </si>
  <si>
    <t xml:space="preserve">    Pārējās mērķdotācijas - investi</t>
  </si>
  <si>
    <t xml:space="preserve">      18.6.2.9.</t>
  </si>
  <si>
    <t xml:space="preserve">    Vidusskolas brīvpusdienu nodrošināšanai</t>
  </si>
  <si>
    <t xml:space="preserve">      18.6.2.10.</t>
  </si>
  <si>
    <t xml:space="preserve">    Valdorfa skolas brīvpusdienu nodrošināšanai</t>
  </si>
  <si>
    <t xml:space="preserve">      18.6.2.11.</t>
  </si>
  <si>
    <t xml:space="preserve">    Latvijas skolas soma</t>
  </si>
  <si>
    <t xml:space="preserve">      18.6.2.14.</t>
  </si>
  <si>
    <t xml:space="preserve">    Carnikavas pamatskolas brīvpusdienu nodrošināšanai</t>
  </si>
  <si>
    <t xml:space="preserve">      18.6.2.19.</t>
  </si>
  <si>
    <t xml:space="preserve">    Ukrainas civiliedzīvotāju mērķdotācija</t>
  </si>
  <si>
    <t xml:space="preserve">      18.6.2.20.</t>
  </si>
  <si>
    <t xml:space="preserve">    Pašvaldību no valsts budžeta iestādēm saņemtie transferti Eiropas Savienības politiku instrumentu un pārējās ārvalstu finanšu palīdzības līdzfinansētajiem projektiem (pasākumiem)</t>
  </si>
  <si>
    <t xml:space="preserve">    18.6.3.0.</t>
  </si>
  <si>
    <t xml:space="preserve">    Deinstitucionalizācijas projekts</t>
  </si>
  <si>
    <t xml:space="preserve">      18.6.3.4.</t>
  </si>
  <si>
    <t xml:space="preserve">    Plūdu riska samazināšana</t>
  </si>
  <si>
    <t xml:space="preserve">      18.6.3.6.</t>
  </si>
  <si>
    <t xml:space="preserve">    Erasmus +  projekti</t>
  </si>
  <si>
    <t xml:space="preserve">      18.6.3.7.</t>
  </si>
  <si>
    <t xml:space="preserve">    ĀPII siltināšanas projekts/ SAM 4.2.2.</t>
  </si>
  <si>
    <t xml:space="preserve">      18.6.3.11.</t>
  </si>
  <si>
    <t xml:space="preserve">    Laivu ielas (no Cēlāju ciema līdz jūrai Carnikavā) un tai piegulošā auto stāvlaukuma projektēšana un būvniecība</t>
  </si>
  <si>
    <t xml:space="preserve">      18.6.3.12.</t>
  </si>
  <si>
    <t xml:space="preserve">    Pasākumi vietējās sabiedrības veselības veicināšanai/ SAM 9.2.4.2.</t>
  </si>
  <si>
    <t xml:space="preserve">      18.6.3.13.</t>
  </si>
  <si>
    <t xml:space="preserve">    VISA projekts "Atbalsts izglītojamo individuālo kompetenču attīstībai"</t>
  </si>
  <si>
    <t xml:space="preserve">      18.6.3.14.</t>
  </si>
  <si>
    <t xml:space="preserve">  Budžeta iestādes ieņēmumi no ārvalstu finanšu palīdzības</t>
  </si>
  <si>
    <t xml:space="preserve">  21.1.0.0.</t>
  </si>
  <si>
    <t xml:space="preserve">    Ieņēmumi no Eiropas Savienības finansēto palīdzības programmu īstenošanas</t>
  </si>
  <si>
    <t xml:space="preserve">    21.1.9.0.</t>
  </si>
  <si>
    <t xml:space="preserve">    Ieņēmumi no citu Eiropas Savienības politiku instrumentu līdzfinansēto projektu un pasākumu īstenošanas un saņemtās ārvalstu finanšu palīdzības, kas nav Eiropas Savienības struktūrfondi</t>
  </si>
  <si>
    <t xml:space="preserve">      21.1.9.1.</t>
  </si>
  <si>
    <t xml:space="preserve">  Ieņēmumi no budžeta iestāžu sniegtajiem maksas pakalpojumiem un citi pašu ieņēmumi</t>
  </si>
  <si>
    <t xml:space="preserve">  21.3.0.0.</t>
  </si>
  <si>
    <t xml:space="preserve">    Maksa par izglītības pakalpojumiem</t>
  </si>
  <si>
    <t xml:space="preserve">    21.3.5.0.</t>
  </si>
  <si>
    <t xml:space="preserve">    Ieņēmumi no vecāku maksām</t>
  </si>
  <si>
    <t xml:space="preserve">      21.3.5.2.</t>
  </si>
  <si>
    <t xml:space="preserve">    Pārējie ieņēmumi par izglītības pakalpojumiem</t>
  </si>
  <si>
    <t xml:space="preserve">      21.3.5.9.</t>
  </si>
  <si>
    <t xml:space="preserve">    Ieņēmumi par nomu un īri</t>
  </si>
  <si>
    <t xml:space="preserve">    21.3.8.0.</t>
  </si>
  <si>
    <t xml:space="preserve">    Ieņēmumi par telpu nomu</t>
  </si>
  <si>
    <t xml:space="preserve">      21.3.8.1.</t>
  </si>
  <si>
    <t xml:space="preserve">    Ieņēmumi par pārējiem budžeta iestāžu sniegtajiem maksas pakalpojumiem</t>
  </si>
  <si>
    <t xml:space="preserve">    21.3.9.0.</t>
  </si>
  <si>
    <t xml:space="preserve">    Ieņēmumi par biļešu realizāciju</t>
  </si>
  <si>
    <t xml:space="preserve">      21.3.9.3.</t>
  </si>
  <si>
    <t xml:space="preserve">    Budžeta iestādes saņemtā atlīdzība no apdrošināšanas sabiedrības par bojātu nekustamo īpašumu un kustamo mantu, tai skaitā autoavārijā cietušu automašīnu</t>
  </si>
  <si>
    <t xml:space="preserve">      21.3.9.7.</t>
  </si>
  <si>
    <t xml:space="preserve">    Citi ieņēmumi par maksas pakalpojumiem</t>
  </si>
  <si>
    <t xml:space="preserve">      21.3.9.9.</t>
  </si>
  <si>
    <t xml:space="preserve">  Pārējie 21.3.0.0.grupā neklasificētie budžeta iestāžu ieņēmumi par budžeta iestāžu sniegtajiem maksas pakalpojumiem un citi pašu ieņēmumi</t>
  </si>
  <si>
    <t xml:space="preserve">  21.4.0.0.</t>
  </si>
  <si>
    <t xml:space="preserve">     Citi iepriekš neklasificētie pašu ieņēmumi</t>
  </si>
  <si>
    <t xml:space="preserve">    21.4.9.0.</t>
  </si>
  <si>
    <t xml:space="preserve">    (Svītrots ar MK 27.11.2018. noteikumiem Nr. 745) Inventarizācijās konstatētie pārpalikumi</t>
  </si>
  <si>
    <t xml:space="preserve">      21.4.9.1.</t>
  </si>
  <si>
    <t xml:space="preserve">    (Svītrots ar MK 29.09.2020. noteikumiem Nr. 607) Pārējie iepriekš neklasificētie pašu ieņēmumi</t>
  </si>
  <si>
    <t xml:space="preserve">      21.4.9.9.</t>
  </si>
  <si>
    <t>II IZDEVUMI - kopā</t>
  </si>
  <si>
    <t/>
  </si>
  <si>
    <t>1</t>
  </si>
  <si>
    <t>2</t>
  </si>
  <si>
    <t>Transferti ,uzturēšanas izdevumu transferti, pašu resursu maksājumi, starptautiskā sadarbība</t>
  </si>
  <si>
    <t>Kopsavilkums struktūrvienības</t>
  </si>
  <si>
    <t>7.2.1.</t>
  </si>
  <si>
    <t>7.2.2.</t>
  </si>
  <si>
    <t>Pārējie iepriekš neklasificētie pamatlīdzekļi un ieguldījuma īpašumi</t>
  </si>
  <si>
    <t>Pamatlīdzekļu un ieguldījumu īpašumu izveidošana un nepabeigtā būvniecība</t>
  </si>
  <si>
    <t>Dienas nauda komandējumiem - LV</t>
  </si>
  <si>
    <t>Budžeta kategoriju kodi</t>
  </si>
  <si>
    <t>I IEŅĒMUMI - kopā</t>
  </si>
  <si>
    <t xml:space="preserve">    Skolas celtniecībai vienošanās 8.1.2.0/17/I/028</t>
  </si>
  <si>
    <t xml:space="preserve">      18.6.3.16.</t>
  </si>
  <si>
    <t>Maksājumu pakalpojumi un komisijas (bankas komisija, pakalpojumi)</t>
  </si>
  <si>
    <t>CKS_Ādaži</t>
  </si>
  <si>
    <t>Pārējie enerģētiskie materiāli</t>
  </si>
  <si>
    <t>Transportlīdzekļi</t>
  </si>
  <si>
    <t>CKS_apsaimniekošana</t>
  </si>
  <si>
    <t xml:space="preserve">0633.1 </t>
  </si>
  <si>
    <t xml:space="preserve"> ”Mobilitātes punkta infrastruktūras izveidošana Rīgas metropoles areālā – “Carnikava””</t>
  </si>
  <si>
    <t>Projekts "Eiropas pilsētu iniciatīva"</t>
  </si>
  <si>
    <t>Dotācijas "Energoresursu atbalsts"</t>
  </si>
  <si>
    <t>Valsts finansējums projektu konkursā "Atbalsts jaunatnes politikas īstenošanai vietējā līmenī"  projekts "Mobilais darbs ar jaunatni Ādažu novadā"</t>
  </si>
  <si>
    <t>TEP “Atjaunojamo energoresursu izmantošana Ādažu novadā” (EUCF)</t>
  </si>
  <si>
    <t>SAM 5.1.1. Pretplūdu pasākumi Ādažu centra polderī, Ādažu novadā</t>
  </si>
  <si>
    <t>0632.5</t>
  </si>
  <si>
    <t>14.1.</t>
  </si>
  <si>
    <t>14.2.</t>
  </si>
  <si>
    <t>14.4.</t>
  </si>
  <si>
    <t>14.5.</t>
  </si>
  <si>
    <t>14.6.</t>
  </si>
  <si>
    <t>Plūdu risku projekts</t>
  </si>
  <si>
    <t>Dotācija nodarbinātības pasākumiem</t>
  </si>
  <si>
    <t>10.2.9.</t>
  </si>
  <si>
    <t>10.2.12.</t>
  </si>
  <si>
    <t>10.2.17.</t>
  </si>
  <si>
    <t>10.2.18.</t>
  </si>
  <si>
    <t>DI centra uzturēšanas izdevumi</t>
  </si>
  <si>
    <t>DI centra pakalpojumi (projekts)</t>
  </si>
  <si>
    <t>Ādažu novada  Mākslu skola</t>
  </si>
  <si>
    <t>DI projekts- specializētās darbnīcas</t>
  </si>
  <si>
    <t>ieņēmumi no vecāku maksām (PII)</t>
  </si>
  <si>
    <t>ieņēmumi no vecāku maksām (ĀMMS; BJSS)</t>
  </si>
  <si>
    <t>21.3.9.3.</t>
  </si>
  <si>
    <t>ieņēmumi no biļešu realizācijas</t>
  </si>
  <si>
    <t>Iekārtu, aparatūras un inventāra īre un noma</t>
  </si>
  <si>
    <t>maksa par izglītības pakalpojumiem</t>
  </si>
  <si>
    <t>pārējie ieņēmumi/stāvvietu ieņēmumi</t>
  </si>
  <si>
    <t>Valsts un pašvaldību budžeta dotācija valsts un pašvaldību komersantiem</t>
  </si>
  <si>
    <t>09.5.1.2.</t>
  </si>
  <si>
    <t>KA</t>
  </si>
  <si>
    <t>uzturēšanas izmaksas (CKS)</t>
  </si>
  <si>
    <t>Muzejs un Carnikavas novadpētniecības centrs</t>
  </si>
  <si>
    <t>0843</t>
  </si>
  <si>
    <t>1014.3</t>
  </si>
  <si>
    <t>10.2.20.</t>
  </si>
  <si>
    <t>14.10.</t>
  </si>
  <si>
    <t>EKII projekts</t>
  </si>
  <si>
    <t>Draudzības iela posmā no Saules ielai līdz Podnieku ielai ar ietvi 0.35km</t>
  </si>
  <si>
    <t>Pārējā zeme</t>
  </si>
  <si>
    <t>Ēku, būvju un telpu būvdarbi</t>
  </si>
  <si>
    <t>Dotācija CKS teritorijas uzturēšanai</t>
  </si>
  <si>
    <t>Dotācija CKS ceļu uzturēšanai</t>
  </si>
  <si>
    <t>Teritorijas uzturēšana (Dome)</t>
  </si>
  <si>
    <t>10.1.12.</t>
  </si>
  <si>
    <t>10.1.13.</t>
  </si>
  <si>
    <t>10.1.14.</t>
  </si>
  <si>
    <t>Izmaiņa 23.03.2023. - 26.01.2023.</t>
  </si>
  <si>
    <t>Tiek ieskaitīts reizi ceturksnī.</t>
  </si>
  <si>
    <t>Realizē CKS</t>
  </si>
  <si>
    <t>Par projekta gaitu ziņo izpilddirektors.</t>
  </si>
  <si>
    <t>Par projekta gaitu ziņo CKS.</t>
  </si>
  <si>
    <t>Lielākās izmaksas maijā - Gaujas svētki, pasākumi siltajā sezonā.</t>
  </si>
  <si>
    <t>Lielākās izmaksas - Nēģu svētki, pasākumi siltajā sezonā.</t>
  </si>
  <si>
    <t>Pedagogiem atvaļinājumi vasarā.</t>
  </si>
  <si>
    <t>2022/2021</t>
  </si>
  <si>
    <t>2023/2022</t>
  </si>
  <si>
    <t>2024/2023</t>
  </si>
  <si>
    <t>08412</t>
  </si>
  <si>
    <t>Izdevumi par profesionālās darbības paklpojumiem (auditoru, tulku pakalp., izdevumi par iestāžu pasūtītajiem pētījumiem)</t>
  </si>
  <si>
    <t>Periods:</t>
  </si>
  <si>
    <t>IEŅĒMUMI</t>
  </si>
  <si>
    <t>IEŅĒMUMI kopā</t>
  </si>
  <si>
    <t>1. Nodokļu ieņēmumi</t>
  </si>
  <si>
    <t>1.1. Iedzīvotāju ienākuma nodoklis</t>
  </si>
  <si>
    <t>1.2. Nekustamā īpašuma nodokļu ieņēmumi</t>
  </si>
  <si>
    <t>2. Valsts (pašvaldību) un kancelejas nodevas</t>
  </si>
  <si>
    <t>3. Naudas sodi un sankcijas</t>
  </si>
  <si>
    <t>4. Pārējie nenodokļu ieņēmumi</t>
  </si>
  <si>
    <t>5. Ieņēmumi no pašvaldības īpašuma pārdošanas</t>
  </si>
  <si>
    <t>6. Valsts budžeta transferti un projektu finansējums</t>
  </si>
  <si>
    <t>6.1. Valsts budžeta transferti</t>
  </si>
  <si>
    <t>7. Pašvaldību budžeta transferti</t>
  </si>
  <si>
    <t>8. Budžeta iestāžu ieņēmumi</t>
  </si>
  <si>
    <t>IZDEVUMI</t>
  </si>
  <si>
    <t>IZDEVUMI kopā</t>
  </si>
  <si>
    <t>1. Vispārējie valdības dienesti</t>
  </si>
  <si>
    <t>2. Sabiedriskā kārtība un drošība (bāze)</t>
  </si>
  <si>
    <t>3. Sabiedriskās attiecības, laikraksts</t>
  </si>
  <si>
    <t>4. Autoceļu fonds</t>
  </si>
  <si>
    <t>5. Vides aizsardzība (DRN izlietojums)</t>
  </si>
  <si>
    <t>6. Pašv. teritoriju un mājokļu apsaimniekošana</t>
  </si>
  <si>
    <t>7. Atpūta, kultūra un reliģija</t>
  </si>
  <si>
    <t>8. Sociālā aizsardzība</t>
  </si>
  <si>
    <t>9. Izglītība</t>
  </si>
  <si>
    <t>10. Kredītu pamatsummas atmaksa</t>
  </si>
  <si>
    <t>Rēķins par visu gadu gada sākumā, var nomaksāt 4os maksājumos.</t>
  </si>
  <si>
    <t>Pēc faktiskās izpildes.</t>
  </si>
  <si>
    <t>Par projektiem ziņo IDR</t>
  </si>
  <si>
    <t>Lielākās plāna pozīcijas bērnu radošās nometnes vasarā.</t>
  </si>
  <si>
    <t>1.1. Pārvalde, deputāti, komisijas</t>
  </si>
  <si>
    <t>1.2. Aizņēmumu procentu maksājumi</t>
  </si>
  <si>
    <t>1.3. Iemaksas PFIF</t>
  </si>
  <si>
    <t>6.4. Projekti</t>
  </si>
  <si>
    <t>6.2. ES struktūrfondu līdzekļi un aktivitāšu līdzfin.</t>
  </si>
  <si>
    <t>8.2. Ieņēmumi par nomu un īri</t>
  </si>
  <si>
    <t>6.1. APN, NĪN, TPN, Būvvalde</t>
  </si>
  <si>
    <t>9.6. Privātās izglītības iestādes</t>
  </si>
  <si>
    <t>9.8. Ādažu vidusskola</t>
  </si>
  <si>
    <t>9.9. Ādažu novada  Mākslu skola</t>
  </si>
  <si>
    <t>9.10. Sporta skola</t>
  </si>
  <si>
    <t xml:space="preserve">9.11. Izglītības un jauniešu lietu pārvalde </t>
  </si>
  <si>
    <t>9.12. Projekti</t>
  </si>
  <si>
    <t>9.2. Ādažu PII "Strautiņš"</t>
  </si>
  <si>
    <t>9.3. Kadagas PII "Mežavēji"</t>
  </si>
  <si>
    <t>9.4. Carnikavas PII "Riekstiņš"</t>
  </si>
  <si>
    <t>9.5. Siguļu PII "Piejūra"</t>
  </si>
  <si>
    <t>9.1. Norēķini ar pašvaldībām par izglītības iestāžu pakalp.</t>
  </si>
  <si>
    <t>Līdzfinansējums skolēnu dalībai konkursos</t>
  </si>
  <si>
    <t>Izglītības un jaunatnes nodaļa</t>
  </si>
  <si>
    <t>0633.6</t>
  </si>
  <si>
    <t>Pabalsti veselības aprūpei naudā</t>
  </si>
  <si>
    <t>Sociālās garantijas bāreņiem un audžuģimenēm naudā</t>
  </si>
  <si>
    <t>Pārējā papildus sociālā palīdzība atsevišķu izdevumu apmaksai naudā</t>
  </si>
  <si>
    <t>Mājokļa pabalsts naudā</t>
  </si>
  <si>
    <t>Garantētā minimālā ienākumu pabalsts naudā</t>
  </si>
  <si>
    <t>Dzīvokļa pabalsts natūrā</t>
  </si>
  <si>
    <t>2024-2023</t>
  </si>
  <si>
    <t>IIN-PFIF</t>
  </si>
  <si>
    <t>PFIF pret IIN</t>
  </si>
  <si>
    <t>Par tik saņemtajiem eur  IIN aizmaksājam 1 eur uz PFIF</t>
  </si>
  <si>
    <t>2023-2022</t>
  </si>
  <si>
    <t>2022-2021</t>
  </si>
  <si>
    <t>Mīkstais inventārs</t>
  </si>
  <si>
    <t>Izdevumi par precēm iestādes sabiedrisko aktivitāšu īstenošanai</t>
  </si>
  <si>
    <t>Tūrisms</t>
  </si>
  <si>
    <t>ANM pasākuma "Atbalsta pasākumi cilvēkiem ar invaliditāti mājokļu vides pieejamības nodrošināšanai" projekts</t>
  </si>
  <si>
    <t>Ādažu vidusskolas ēkas A korpusa, savienojuma daļas starp korpusiem (A un B), kā arī, vidusskolas centrālās daļas, tai skaitā torņa fasādes atjaunošana.</t>
  </si>
  <si>
    <t>Zeme zem būvēm</t>
  </si>
  <si>
    <t>0632.6</t>
  </si>
  <si>
    <t>LIFE NewBauhaus projekts</t>
  </si>
  <si>
    <t>Krastupes ielas projekts</t>
  </si>
  <si>
    <t>Dzirnupes ielas tilta projekts, Carnikava</t>
  </si>
  <si>
    <t xml:space="preserve">Pārējās privātās PII </t>
  </si>
  <si>
    <t>Izdevumi iestādes sabiedrisko aktivitāšu īstenošana</t>
  </si>
  <si>
    <t>Budžeta iestāžu dabas resursu nodokļa maksājumi</t>
  </si>
  <si>
    <t>Publiskās ārtelpas izveide Gaujas ielā 31 Ādažos</t>
  </si>
  <si>
    <t>Attekas ielas turpinājums 0,5 km - projektēšana</t>
  </si>
  <si>
    <t>Valsts finansējums projektu konkursā "Atbalsts jaunatnes politikas īstenošanai vietējā līmenī" Projekts "Mobilais darbs ar jaunatni Ādažu novadā"</t>
  </si>
  <si>
    <t>Projekts par energokopienām. Magliano Alpi pašvaldības Itālijā CERV Town Twinning programmas projektsa ietvaros</t>
  </si>
  <si>
    <t>Projekts jauniešu asociāciju federācija Eiropas mobilitātei. CERV programmas projekts "YOUTth and democracy: empowering Europe's next generation"</t>
  </si>
  <si>
    <t>21.3.9.9.; CKS</t>
  </si>
  <si>
    <t>AM līdzfinansējums Vecštāles ceļa rekonstrukcijai</t>
  </si>
  <si>
    <t>7.1.4.</t>
  </si>
  <si>
    <t xml:space="preserve">ESF projekts Atbalsts priekšlaicīgas mācību pārtraukšanas samazināšanai © </t>
  </si>
  <si>
    <t>10.1.15.</t>
  </si>
  <si>
    <t>2024. gada budžets</t>
  </si>
  <si>
    <t>projekti Erasmus+; NordPlus</t>
  </si>
  <si>
    <t xml:space="preserve">Apgaismes stabi Attekas ielas savienojumā no Ķiršu līdz Draudzības ielai. </t>
  </si>
  <si>
    <t>61 803 978</t>
  </si>
  <si>
    <t>50 914 203</t>
  </si>
  <si>
    <t>34 831 773</t>
  </si>
  <si>
    <t>5.5.3.0.</t>
  </si>
  <si>
    <t>70 000</t>
  </si>
  <si>
    <t>6 453</t>
  </si>
  <si>
    <t>5 856</t>
  </si>
  <si>
    <t>10 153 512</t>
  </si>
  <si>
    <t xml:space="preserve">    Maksas pakalpojumi un citi pašu ieņēmumi</t>
  </si>
  <si>
    <t>2 153 758</t>
  </si>
  <si>
    <t>F 40020010</t>
  </si>
  <si>
    <t xml:space="preserve">   Aizņēmumi Valsts kasē</t>
  </si>
  <si>
    <t>1 873 161</t>
  </si>
  <si>
    <t>9 016 614</t>
  </si>
  <si>
    <t xml:space="preserve">2024. gada plāns </t>
  </si>
  <si>
    <t>58 317 823</t>
  </si>
  <si>
    <t>11 584 926</t>
  </si>
  <si>
    <t>1 032 368</t>
  </si>
  <si>
    <t>521 949</t>
  </si>
  <si>
    <t>14 182 678</t>
  </si>
  <si>
    <t>2 519 182</t>
  </si>
  <si>
    <t>24 609 695</t>
  </si>
  <si>
    <t>3 797 026</t>
  </si>
  <si>
    <t>3 486 155</t>
  </si>
  <si>
    <t>24 369 680</t>
  </si>
  <si>
    <t>12 837 828</t>
  </si>
  <si>
    <t>192 269</t>
  </si>
  <si>
    <t>2 229 302</t>
  </si>
  <si>
    <t xml:space="preserve"> Pamatkapitāla veidošana</t>
  </si>
  <si>
    <t>4 408 846</t>
  </si>
  <si>
    <t>2 064 458</t>
  </si>
  <si>
    <t>8 486 299</t>
  </si>
  <si>
    <t>10.2.7.</t>
  </si>
  <si>
    <t>- uzturēšanas izmaksas (CKS)</t>
  </si>
  <si>
    <t>sākumskolas uzturēšanas izmaksas (CKS)</t>
  </si>
  <si>
    <t>-  sporta funkcijas nodrošināšana</t>
  </si>
  <si>
    <t>Dalība atveseļošanas un noturības mehānisma pasākumā “Atbalsta pasākumi cilvēkiem ar invaliditāti mājokļu vides pieejamības nodrošināšanai”</t>
  </si>
  <si>
    <t>AND trūkstošais finansējums uz, ko jāatmaksā citām pašv.</t>
  </si>
  <si>
    <t>Jaunas pirmsskolas izglītības iestādes Podniekos būvniecība</t>
  </si>
  <si>
    <t>0632.7 LAD, Jūras Zeme projekts, Mākslu skolas ārtelpas projekts Garā iela 20, Carnikavā</t>
  </si>
  <si>
    <t>0903</t>
  </si>
  <si>
    <t>12.2.3.0.</t>
  </si>
  <si>
    <t>18.6.2.14.</t>
  </si>
  <si>
    <t>18.6.2.20.</t>
  </si>
  <si>
    <t>MD pedagogiem</t>
  </si>
  <si>
    <t>MD interešu izglītība</t>
  </si>
  <si>
    <t>MD mācību līdzekļiem</t>
  </si>
  <si>
    <t>0954.1</t>
  </si>
  <si>
    <t>09821.1</t>
  </si>
  <si>
    <t>Kompensācijas, kuras Latvijas valsts izmaksā personām, pamatojoties uz Eiropas Kopienu Tiesas lēmumu</t>
  </si>
  <si>
    <t>- pedagogu algas, māc. līdzekļi (mērķdotācija)</t>
  </si>
  <si>
    <t>Pašvaldības DRN maksājums</t>
  </si>
  <si>
    <t>Projekts noslēdzies, konta atlikums.</t>
  </si>
  <si>
    <t>0632.7</t>
  </si>
  <si>
    <t>Atņemts EKK 7230, jo tā izpilde nāk no CKS</t>
  </si>
  <si>
    <t>1.3. Atbilstoši plānam.</t>
  </si>
  <si>
    <t>Kļavu ielā divkārtas virsmas apstrāde 0.35km</t>
  </si>
  <si>
    <t>Mežmalas ielas seguma vienkāršotā atjaunošana, 0.22km, Alderi</t>
  </si>
  <si>
    <t>Pašvaldību transferti citām pašvaldībām</t>
  </si>
  <si>
    <t>Naudas līdzekļu pārvietošana</t>
  </si>
  <si>
    <t>Mēnešalga</t>
  </si>
  <si>
    <t>Deputātu mēnešalga</t>
  </si>
  <si>
    <t>Ministru kabineta locekļu, valsts ministru un ministriju parlamentāro sekretāru mēnešalga</t>
  </si>
  <si>
    <t>Valsts civildienesta ierēdņu mēnešalga</t>
  </si>
  <si>
    <t>Specializētā valsts civildienesta ierēdņu mēnešalga</t>
  </si>
  <si>
    <t>Mēnešalga amatpersonām ar speciālajām dienesta pakāpēm</t>
  </si>
  <si>
    <t>Piemaksas, prēmijas un naudas balvas</t>
  </si>
  <si>
    <t>Piemaksas par speciālo dienesta pakāpi un diplomātisko rangu</t>
  </si>
  <si>
    <t>Piemaksa par izdienu</t>
  </si>
  <si>
    <t>Darba devēja valsts sociālās apdrošināšanas obligātās iemaksas, sociāla rakstura pabalsti un kompensācijas</t>
  </si>
  <si>
    <t>Studējošo kredītu dzēšana no iedalītajiem budžeta līdzekļiem</t>
  </si>
  <si>
    <t>Ārvalstīs nodarbināto amatpersonu (darbinieku) pabalsti un kompensācijas</t>
  </si>
  <si>
    <t>Darba devēja uzturdevas kompensācija</t>
  </si>
  <si>
    <t>Dienesta pienākumu izpildei nepieciešamā apģērba iegādes kompensācija</t>
  </si>
  <si>
    <t>Darbības ar valsts fondēto pensiju shēmas līdzekļiem</t>
  </si>
  <si>
    <t>Mācību, darba un dienesta komandējumi, dienesta, darba braucieni</t>
  </si>
  <si>
    <t>Iekšzemes mācību, darba un dienesta komandējumi, dienesta, darba braucieni</t>
  </si>
  <si>
    <t>Ārvalstu mācību, darba un dienesta komandējumi, dienesta, darba braucieni</t>
  </si>
  <si>
    <t>Pakalpojumi</t>
  </si>
  <si>
    <t>Valsts nozīmes datu pārraides tīkla pakalpojumi (pieslēguma punkta abonēšanas maksa, pieslēguma punkta ierīkošanas maksa un citi izdevumi)</t>
  </si>
  <si>
    <t>Pārējie sakaru pakalpojumi</t>
  </si>
  <si>
    <t>Izdevumi par komunālajiem pakalpojumiem</t>
  </si>
  <si>
    <t>Dažādi pakalpojumi</t>
  </si>
  <si>
    <t>Normatīvajos aktos noteiktie ceselības un fiziskās sagatavotības pārbaudes</t>
  </si>
  <si>
    <t>Ārvalstīs strādājošo darbinieku bērna pirmsskolas un skolas izdevumu kompensācija</t>
  </si>
  <si>
    <t>Ārvalstīs nodarbināto amatpersonu (darbinieku) kompensācijas</t>
  </si>
  <si>
    <t>Remontdarbi un iestāžu uzturēšanas pakalpojumi (izņemot kapitālo remontu)</t>
  </si>
  <si>
    <t>Autoceļu un ielu pārvaldīšana un uzturēšana</t>
  </si>
  <si>
    <t>(Svītrots ar MK 27.11.2018. noteikumiem Nr.746) Profesionālās darbības civiltiesiskās apdrošināšanas izdevumi</t>
  </si>
  <si>
    <t>(Nelietot) Informācijas tehnoloģiju pakalpojumi</t>
  </si>
  <si>
    <t>(Svītrots ar MK 27.11.2018. noteikumiem Nr.482) Informācijas sistēmas licenču nomas izdevumi</t>
  </si>
  <si>
    <t>Pārējie informācijas tehnoloģiju pakalpojumi</t>
  </si>
  <si>
    <t>Īre un noma</t>
  </si>
  <si>
    <t>Pārējā noma</t>
  </si>
  <si>
    <t>Pārējie pakalpojumi</t>
  </si>
  <si>
    <t>Izdevumi, kas saistīti ar operatīvo darbību</t>
  </si>
  <si>
    <t>Maksa par zinātniskās pētniecības darbu izpildi</t>
  </si>
  <si>
    <t>Izdevumi juridiskās palīdzības sniedzējiem un zvērinātiem tiesu izpildītājiem</t>
  </si>
  <si>
    <t>(Svītrots ar MK 15.10.2016. noteikumiem Nr.560) Iestādes iekšējo kolektīvo pasākumu organizēšanas izdevumi</t>
  </si>
  <si>
    <t>Maksājumi par saņemtajiem finanšu pakalpojumiem</t>
  </si>
  <si>
    <t>Maksājumi par valsts parāda apkalpošanu</t>
  </si>
  <si>
    <t>Komisijas maksas par izmantotajiem atvasinātajiem finanšu instrumentiem</t>
  </si>
  <si>
    <t>Maksājumi par parāda apkalpošanu un komisijas maksas par izmantotajiem atvasinātajiem finanšu instrumentiem</t>
  </si>
  <si>
    <t>Krājumi, materiāli, energoresursi, preces, biroja preces un inventārs, kurus neuzskaita kodā 5000</t>
  </si>
  <si>
    <t>Izdevumi par dažādām precēm un inventāru</t>
  </si>
  <si>
    <t>Darba aizsardzības līdzekļi</t>
  </si>
  <si>
    <t>Kurināmais un enerģētiskie materiāli</t>
  </si>
  <si>
    <t>Materiāli un izejvielas palīgražošanai</t>
  </si>
  <si>
    <t>Zāles, ķimikālijas, laboratorijas preces, medicīniskās ierīces, medicīniskie instrumenti, laboratorijas dzīvnieki un to uzturēšana</t>
  </si>
  <si>
    <t>Asins iegāde</t>
  </si>
  <si>
    <t>Medicīnas instrumenti, laboratorijas dzīvnieki un to uzturēšana</t>
  </si>
  <si>
    <t>Valsts un pašvaldību aprūpē, apgādē un dienestā (amatā) esošo personu uzturēšana</t>
  </si>
  <si>
    <t>Uzturdevas kompensācija naudā</t>
  </si>
  <si>
    <t>Apdrošināšanas izdevumi veselības, dzīvības un nelaimes gadījumu apdrošināšanai</t>
  </si>
  <si>
    <t>Pārējie valsts un pašvaldību aprūpē un apgādē esošo personu uzturēšanas izdevumi, kuri nav minēti citos koda 2360 apakškodos</t>
  </si>
  <si>
    <t>Specifiskie materiāli un inventārs</t>
  </si>
  <si>
    <t>Munīcijas un sprāgstvielas</t>
  </si>
  <si>
    <t>(Svītrots ar MK 27.11.2018 noteikumiem Nr.746) Speciālais militārais inventārs</t>
  </si>
  <si>
    <t>(Svītrots ar MK 10.11.2014. noteikumiem Nr.696) Speciālā militārā inventāra remonts un izveidošana</t>
  </si>
  <si>
    <t>Pārējie specifiskas lietošanas materiāli un inventārs</t>
  </si>
  <si>
    <t>Izdevumi periodikas iegādei bibliotēku krājumiem</t>
  </si>
  <si>
    <t>Budžeta iestāžu nodokļu, nodevu un sankciju maksājumi</t>
  </si>
  <si>
    <t>Budžeta iestāžu nodokļu un nodevu maksājumi</t>
  </si>
  <si>
    <t>Budžeta iestāžu nekustamā īpašuma nodokļa (t.sk. zemes nodokļa parāda) maksājumi budžetā</t>
  </si>
  <si>
    <t>Iedzīvotāju ienākuma nodoklis (no maksātnespējīgā darba devēja darbinieku prasījumu summām)</t>
  </si>
  <si>
    <t>Valsts sociālās apdrošināšanas obligātās iemaksas (no maksātnespējīgā darba devēja darbinieku prasījumu summām)</t>
  </si>
  <si>
    <t>Pakalpojumi, kurus budžeta iestādes apmaksā noteikto funkciju ietvaros, kas nav iestādes administratīvie izdevumi</t>
  </si>
  <si>
    <t>Subsīdijas lauksaimniecības ražošanai</t>
  </si>
  <si>
    <t>Subsīdijas lauksaimniecībai saskaņā ar normatīvajiem aktiem par valsts atbalstu lauksaimniecībai kārtējā gadā</t>
  </si>
  <si>
    <t>Produktu subsīdijas lauksaimniecībai saskaņā ar normatīvajiem aktiem par valsts atbalstu lauksaimniecībai kārtējā gadā</t>
  </si>
  <si>
    <t>Citas ražošanas subsīdijas lauksaimniecībai saskaņā ar normatīvajiem aktiem par valsts atbalstu lauksaimniecībai kārtējā gadā</t>
  </si>
  <si>
    <t>Subsīdijas lauksaimniecības tirgus intervencei</t>
  </si>
  <si>
    <t>Pārējās subsīdijas lauksaimniecībai, kuras nevar attiecināt uz kodiem 3110 un 3150</t>
  </si>
  <si>
    <t>Pārējās produktu subsīdijas lauksaimniecībai</t>
  </si>
  <si>
    <t>Pārējās ražošanas subsīdijas lauksaimniecībai</t>
  </si>
  <si>
    <t>Subsīdijas un dotācijas komersantiem, biedrībām, nodibinājumiem un fiziskām personām</t>
  </si>
  <si>
    <t>Subsīdijas valsts un pašvaldību komersantiem, kuras nav attiecināmas uz kodu 3290</t>
  </si>
  <si>
    <t>Produktu subsīdijas valsts un pašvaldību komersantiem</t>
  </si>
  <si>
    <t>Citas ražošanas subsīdijas valsts un pašvaldību komersantiem</t>
  </si>
  <si>
    <t>Subsīdijas biedrībām un nodibinājumiem (t.sk. reliģiskajām organizācijām)</t>
  </si>
  <si>
    <t>Produktu subsīdijas biedrībām un nodibinājumiem</t>
  </si>
  <si>
    <t>Citas ražošanas subsīdijas biedrībām un nodibinājumiem</t>
  </si>
  <si>
    <t>Valsts un pašvaldību budžeta dotācija komersantiem, biedrībām, nodibinājumiem un fiziskām personām</t>
  </si>
  <si>
    <t>Valsts kultūrkapitāla fonda pārskaitījumi fiziskām personām kultūras projektu īstenošanai</t>
  </si>
  <si>
    <t>Subsīdijas komersantiem</t>
  </si>
  <si>
    <t>Produktu subsīdijas komersantiem</t>
  </si>
  <si>
    <t>Citas ražošanas subsīdijas komersantiem</t>
  </si>
  <si>
    <t>Subsīdijas un dotācijas komersantiem, biedrībām un nodibinājumiem Eiropas Savienības politiku instrumentu un pārējās ārvalstu finanšu palīdzības līdzfinansēto projektu un (vai) pasākumu ietvaros</t>
  </si>
  <si>
    <t>Subsīdijas un dotācijas biedrībām un nodibinājumiem Eiropas Savienības politiku instrumentu un pārējās ārvalstu finanšu palīdzības līdzfinansētajiem projektiem (pasākumiem)</t>
  </si>
  <si>
    <t>Subsīdijas un dotācijas komersantiem Eiropas Savienības politiku instrumentu un pārējās ārvalstu finanšu palīdzības līdzfinansētajiem projektiem (pasākumiem)</t>
  </si>
  <si>
    <t>Atmaksa komersantiem par Eiropas Savienības politiku instrumentu un pārējās ārvalstu finanšu palīdzības projektu (pasākumu) īstenošanu</t>
  </si>
  <si>
    <t>Atmaksa biedrībām un nodibinājumiem par Eiropas Savienības politiku instrumentu un pārējās ārvalstu finanšu palīdzības projektu (pasākumu) īstenošanu</t>
  </si>
  <si>
    <t>Atmaksa valsts budžetam no valsts budžeta iestāžu valsts budžeta līdzekļiem vai ārvalstu finanšu palīdzības līdzekļu atlikumiem par iepriekšējos budžeta periodos finansētajiem izdevumiem</t>
  </si>
  <si>
    <t>Subsīdijas komersantiem sabiedriskā transporta pakalpojumu nodrošināšanai (par pasažieru regulārajiem pārvadājumiem)</t>
  </si>
  <si>
    <t>Produktu subsīdijas komersantiem sabiedriskā transporta pakalpojumu nodrošināšanai (par pasažieru regulārajiem pārvadājumiem)</t>
  </si>
  <si>
    <t>Citas ražošanas subsīdijas komersantiem sabiedriskā transporta pakalpojumu nodrošināšanai (par pasažieru regulārajiem pārvadājumiem)</t>
  </si>
  <si>
    <t>Konkursa kārtībā un sadarbības līgumiem un programmām sadalāmie valsts budžeta līdzekļi, kurus valsts budžeta likumā kārtējam gadam objektīvu iemeslu dēļ nav bijis iespējams ieplānot sadalījumā pa ekonomiskajām kategorijām</t>
  </si>
  <si>
    <t>Gadskārtējā valsts budžeta likuma izpildes laikā pārdalāmās budžeta apropriācijas</t>
  </si>
  <si>
    <t>Procentu maksājumi ārvalstu un starptautiskajām finanšu institūcijām</t>
  </si>
  <si>
    <t>Procentu maksājumi ārvalstu un starptautiskajām finnašu institūcijām par aizņēmumiem un vērtspapīriem</t>
  </si>
  <si>
    <t>Procentu maksājumi ārvalstu un starptautiskajām finanšu institūcijām no atvasināto finanšu instrumentu rezultāta</t>
  </si>
  <si>
    <t>Procentu maksājumi iekšzemes kredītiestādēm</t>
  </si>
  <si>
    <t>Procentu maksājumi iekšzemes kredītiestādēm no atvasināto finanšu instrumentu rezultāta</t>
  </si>
  <si>
    <t>Procentu maksājumi iekšzemes finnašu institūcijām par aizņēmumiem un vērtspapīriem</t>
  </si>
  <si>
    <t>Budžeta iestāžu līzinga procentu maksājumi</t>
  </si>
  <si>
    <t>Pārējie procentu maksājumi</t>
  </si>
  <si>
    <t>Budžeta iestāžu procentu maksājumi Valsts kasei</t>
  </si>
  <si>
    <t>Budžeta iestāžu procentu maksājumi Valsts kasei, izņemot valsts sociālās apdrošināšanas speciālo budžetu</t>
  </si>
  <si>
    <t>Valsts sociālās apdrošināšanas speciālā budžeta procentu maksājumi Valsts kasei</t>
  </si>
  <si>
    <t>Valsts budžeta (Valsts kases) procentu maksājumi</t>
  </si>
  <si>
    <t>Valsts budžeta (Valsts kases) procentu maksājumi valsts speciālajam sociālās apdrošināšanas budžetam</t>
  </si>
  <si>
    <t>Valsts budžeta (Valsts kases) procentu maksājumi pārējiem valsts budžeta iestāžu līdzekļu ieguldītājiem</t>
  </si>
  <si>
    <t>Valsts budžeta (Valsts kases) procentu maksājumi par pašvaldību budžeta līdzekļu ieguldījumiem</t>
  </si>
  <si>
    <t>Valsts budžeta (Valsts kases) procentu maksājumi pārējiem ieguldītājiem</t>
  </si>
  <si>
    <t>Pašvaldību iestāžu procentu maksājumi par aizņēmumiem no pašvaldību budžeta</t>
  </si>
  <si>
    <t>Nemateriālie ieguldījumi</t>
  </si>
  <si>
    <t>(Nelietot) Licences, koncesijas un patenti, preču zīmes un līdzīgas tiesības</t>
  </si>
  <si>
    <t>Pārējās licences, koncesijas un patenti, preču zīmes un tamlīdzīgas tiesības</t>
  </si>
  <si>
    <t>Pārējie nemateriālie ieguldījumi</t>
  </si>
  <si>
    <t>Derīgo izrakteņu izpēte un citi līdzīgi neražotie nemateriālie ieguldījumi</t>
  </si>
  <si>
    <t>Kapitālsabiedrību iegādes rezultātā iegūtā nemateriālā vērtība</t>
  </si>
  <si>
    <t>Pamatlīdzekļi, ieguldījuma īpašumi un bioloģsikie aktīvi</t>
  </si>
  <si>
    <t>Zeme un būves</t>
  </si>
  <si>
    <t>Dzīvojamās ēkas</t>
  </si>
  <si>
    <t>Nedzīvojamās ēkas</t>
  </si>
  <si>
    <t>Kultivētā zeme</t>
  </si>
  <si>
    <t>Atpūtai un izklaidei izmantojamā zeme</t>
  </si>
  <si>
    <t>Pārējais nekustamais īpašums</t>
  </si>
  <si>
    <t>Tehnoloģiskās iekārtas un mašīnas</t>
  </si>
  <si>
    <t>Pārējie pamatlīdzekļi</t>
  </si>
  <si>
    <t>(Svītrots ar MK 27.11.2018. noteikumiem Nr.746) Saimniecības pamatlīdzekļi</t>
  </si>
  <si>
    <t>Izklaides, literārie un mākslas oriģināldarbi</t>
  </si>
  <si>
    <t>Dārgakmeņi, dārgmetāli un citas vērtslietas</t>
  </si>
  <si>
    <t>Antīkie un citi mākslas priekšmeti</t>
  </si>
  <si>
    <t>(Svītrots ar MK 27.11.2018. noteikumiem Nr. 746) Citas vērtslietas</t>
  </si>
  <si>
    <t>Bioloģiskie un pazemes aktīvi</t>
  </si>
  <si>
    <t>Pazemes aktīvi</t>
  </si>
  <si>
    <t>Augļu dārzi un citi regulāri ražojošie stādījumi</t>
  </si>
  <si>
    <t>Pārējie bioloģiskie un lauksaimniecības aktīvi</t>
  </si>
  <si>
    <t>Ilgtermiņa ieguldījumi nomātajos pamatlīdzekļos</t>
  </si>
  <si>
    <t>Izdevumi par kapitāla daļu pārdošanu un pārvērtēšanu, vērtspapīru tirdzniecību un pārvērtēšanu un kapitāla daļu iegādi</t>
  </si>
  <si>
    <t>Izdevumi par kapitāla daļu pārdošanu un vērtspapīru tirdzniecību</t>
  </si>
  <si>
    <t>(Svītrots ar MK 27.11.2018. noteikumiem Nr.746) Izdevumi par kapitāla daļu pārdošanu</t>
  </si>
  <si>
    <t>(Svītrots ar MK 27.11.2018. noteikumiem Nr.746) Izdevumi par vērtspapīru tirdzniecību</t>
  </si>
  <si>
    <t>Izdevumi par kapitāla daļu un vērtspapīru pārvērtēšanu un izdevumi par ieguldījumu radniecīgajās un asociētajās kapitālsabiedrībās pārvērtēšanu</t>
  </si>
  <si>
    <t>Izdevumi par kapitāla daļu un par ieguldījumu radniecīgajās un asociētajās kapitālsabiedrībās pārvērtēšanu</t>
  </si>
  <si>
    <t>(Svītrots ar MK 27.11.2018. noteikumiem Nr.746) Izdevumi par vērtspapīru pārvērtēšanu</t>
  </si>
  <si>
    <t>Pensijas un sociālie pabalsti naudā</t>
  </si>
  <si>
    <t>Valsts pensijas</t>
  </si>
  <si>
    <t>Vecuma pensijas</t>
  </si>
  <si>
    <t>Invaliditātes pensijas</t>
  </si>
  <si>
    <t>Pensijas apgādnieka zaudējuma gadījumā</t>
  </si>
  <si>
    <t>Augstākās padomes deputātu pensijas</t>
  </si>
  <si>
    <t>Pensijas saskaņā ar speciāliem lēmumiem</t>
  </si>
  <si>
    <t>Izdienas pensijas</t>
  </si>
  <si>
    <t>Valsts sociālās apdrošināšanas pabalsti naudā</t>
  </si>
  <si>
    <t>Slimības pabalsts</t>
  </si>
  <si>
    <t>Maternitātes pabalsts</t>
  </si>
  <si>
    <t>Atlīdzība par darbspēju zaudējumu</t>
  </si>
  <si>
    <t>Atlīdzība par apgādnieka zaudējumu</t>
  </si>
  <si>
    <t>Apbedīšanas pabalsts</t>
  </si>
  <si>
    <t>Kaitējuma atlīdzība Černobiļas atomelektrostacijas (turpmāk - Černobiļas AES) avārijas rezultātā cietušajām personām</t>
  </si>
  <si>
    <t>Paternitātes pabalsts</t>
  </si>
  <si>
    <t>Darbā nodarītā kaitējuma atlīdzība</t>
  </si>
  <si>
    <t>Pārējie pabalsti</t>
  </si>
  <si>
    <t>Valsts sociālie pabalsti naudā</t>
  </si>
  <si>
    <t>Bērna kopšanas pabalsts</t>
  </si>
  <si>
    <t>Ģimenes valsts pabalsts</t>
  </si>
  <si>
    <t>Piemaksas pie ģimenes valsts pabalsta par bērnu invalīdu</t>
  </si>
  <si>
    <t>Bērna piedzimšanas pabalsts</t>
  </si>
  <si>
    <t>Valsts sociālā nodrošinājuma pabalsts</t>
  </si>
  <si>
    <t>Pabalsts un atlīdzība aizbildnim un audžuģimenei</t>
  </si>
  <si>
    <t>Pabalsts invalīdam, kuram nepieciešama īpaša kopšana</t>
  </si>
  <si>
    <t>Pārējie valsts pabalsti un kompensācijas</t>
  </si>
  <si>
    <t>Valsts un pašvaldību nodarbinātības pabalsti naudā</t>
  </si>
  <si>
    <t>Bezdarbnieka pabalsts</t>
  </si>
  <si>
    <t>Bezdarbnieka stipendija</t>
  </si>
  <si>
    <t>Pašvaldības papildu sociālā palīdzība iedzīvotājiem un sociālās garantijas bāreņiem un audžuģimenēm naudā</t>
  </si>
  <si>
    <t>(Svītrots ar MK 08.04.2021.noteikumiem Nr.223, kas piemērojami ar 01.04.2021.) Pabalsti ēdināšanai naudā</t>
  </si>
  <si>
    <t>Valsts un pašvaldību budžeta maksājumi</t>
  </si>
  <si>
    <t>Stipendijas</t>
  </si>
  <si>
    <t>Pārmaksāto sociālās apdrošināšanas iemaksu atmaksa</t>
  </si>
  <si>
    <t>Maksātnespējīgo darba devēju darbinieku prasījumi</t>
  </si>
  <si>
    <t>Eiropas Savienības pensiju shēmai pārskaitītais pensijas kapitāls</t>
  </si>
  <si>
    <t>Ilgstošas sociālās aprūpes un sociālās rehabilitācijas institūciju veiktie maksājumi klientiem personiskiem izdevumiem no normatīvajos aktos noteiktajiem klientu ienākumiem, kas izmaksāti no valsts budžeta līdzekļiem</t>
  </si>
  <si>
    <t>Sociālie pabalsti natūrā</t>
  </si>
  <si>
    <t>Pašvaldību papildu sociālā palīdzība iedzīvotājiem un sociālās garantijas bāreņiem un audžuģimenēm natūrā</t>
  </si>
  <si>
    <t>Pabalsti veselības aprūpei natūrā</t>
  </si>
  <si>
    <t>Pašvaldību pabalsti natūrā krīzes situācijā</t>
  </si>
  <si>
    <t>Sociālās garantijas bāreņiem un audžuģimenēm natūrā</t>
  </si>
  <si>
    <t>Pārējā papildu sociālā palīdzība natūrā</t>
  </si>
  <si>
    <t>Atbalsta pasākumi un kompensācijas natūrā</t>
  </si>
  <si>
    <t>Darba devēja sociālie pabalsti natūrā</t>
  </si>
  <si>
    <t>(Svītrots ar MK 08.04.2021. noteikumiem Nr.223, kas piemērojami ar 01.04.2021.) Pabalsts garantētā minimālā ienākumu līmeņa nodrošināšanai natūrā</t>
  </si>
  <si>
    <t>Pārējie klasifikācijā neminētie maksājumi iedzīvotājiem natūrā un kompensācijas</t>
  </si>
  <si>
    <t>Pašvaldības pirktie sociālie pakalpojumi iedzīvotājiem</t>
  </si>
  <si>
    <t>Izdevumi par piešķirumiem iedzīvotājiem natūrā, naudas balvas, izdevumi pašvaldību brīvprātīgo iniciatīvu izpildei</t>
  </si>
  <si>
    <t>Valsts budžeta uzturēšanas izdevumu transferti</t>
  </si>
  <si>
    <t>Valsts budžeta uzturēšanas izdevumu transferti no valsts speciālā budžeta uz valsts pamatbudžetu</t>
  </si>
  <si>
    <t>Valsts budžeta uzturēšanas izdevumu transferti no valsts pamatbudžeta uz valsts pamatbudžetu</t>
  </si>
  <si>
    <t>Valsts budžeta uzturēšanas izdevumu transferti no valsts pamatbudžeta dotācijas no vispārējiem ieņēmumiem uz valsts pamatbudžetu</t>
  </si>
  <si>
    <t>Valsts budžeta uzturēšanas izdevumu transferti no valsts pamatbudžeta ārvalstu finanšu palīdzības līdzekļiem uz valsts pamatbudžetu</t>
  </si>
  <si>
    <t>Nenaudas (aktīvu nodošana un saistību uzņemšana bilancē) darījumu transferti no valsts pamatbudžeta uz valsts pamatbudžetu starp vienas institucionālās padotības valsts budžeta iestādēm</t>
  </si>
  <si>
    <t>Nenaudas (aktīvu nodošana un saistību uzņemšana bilancē) darījumu transferti no valsts pamatbudžeta uz valsts pamatbudžetu starp dažādas institucionālās padotības valsts budžeta iestādēm</t>
  </si>
  <si>
    <t>Pārējie valsts budžeta uzturēšanas izdevumu transferti no valsts pamatbudžeta uz valsts pamatbudžetu</t>
  </si>
  <si>
    <t>Valsts budžeta uzturēšanas izdevumu transferti no valsts speciālā budžeta uz valsts speciālo budžetu</t>
  </si>
  <si>
    <t>Pašvaldību transferti uzturēšanas izdevumu transferti</t>
  </si>
  <si>
    <t>Pašvaldību izdevumu iekšējie transferti starp pašvaldības budžeta veidiem</t>
  </si>
  <si>
    <t>(Svītrots ar MK 27.11.2018. moteikumiem Nr.746) Pašvaldības speciālā budžeta uzturēšanas izdevumu transferts uz pašvaldības pamatbudžetu</t>
  </si>
  <si>
    <t>Pašvaldību uzturēšanas izdevumu transferti uz valsts budžetu</t>
  </si>
  <si>
    <t>Pašvaldību atmaksu valsts budžetam par iepriekšējos gados saņemtajiem, bet neizlietotajiem valsts budžeta transfertiem uzturēšanas izdevumiem, par neatbilstoši veiktajiem uzturēšanas izdevumiem Eiropas Savienības politiku instrumentu un pārējās ārval</t>
  </si>
  <si>
    <t>Pašvaldību uzturēšanas izdevumu transferti valsts budžeta daļēji finansētām atvasinātajām publiskajām personām, budžeta nefinansētajām iestādēm</t>
  </si>
  <si>
    <t>Valsts budžeta uzturēšanas izdevumu transferti citiem budžetiem noteiktam mērķim</t>
  </si>
  <si>
    <t>Valsts budžeta uzturēšanas izdevumu transferti pašvaldībām noteiktam mērķim</t>
  </si>
  <si>
    <t>Valsts budžeta uzturēšanas izdevumu transferti pašvaldībām Eiropas Savienības politiku instrumentu un pārējās ārvalstu finanšu palīdzības līdzfinansētajiem projektiem (pasākumiem)</t>
  </si>
  <si>
    <t>Valsts budžeta transferti valsts budžeta daļēji finansētām atvasinātajām publiskajām personām un budžeta nefinansētām iestādēm noteiktam mērķim</t>
  </si>
  <si>
    <t>Valsts budžeta uzturēšanas izdevumu transferti noteiktam mērķim savas ministrijas vai centrālās valsts iestādes padotībā esošajām no valsts budžeta daļēji finansētām atvasinātajām publiskajām personām un budžeta nefinansētām iestādēm</t>
  </si>
  <si>
    <t>Valsts budžeta uzturēšanas izdevumu transferti noteiktam mērķim citas ministrijas, centrālās valsts iestādes padotībā esošajām no valsts budžeta daļēji finansētām atvasinātajām publiskajām personām un budžeta nefinansētajām iestādēm</t>
  </si>
  <si>
    <t>Valsts budžeta uzturēšanas izdevumu transferti savas ministrijas, centrālās valsts iestādes padotībā esošajām no valsts budžeta daļēji finansētām atvasinātajām publiskajām personām un budžeta nefinansētām iestādēm Eiropas Savienības politiku instrume</t>
  </si>
  <si>
    <t>Valsts budžeta uzturēšanas izdevumu transferti citas ministrijas, centrālās valsts iestādes padotībā esošajām no valsts budžeta daļēji finansētām atvasinātajām publiskajām personām un budžeta nefinansētajām iestādēm Eiropas Savienības politiku instru</t>
  </si>
  <si>
    <t>Pārējie valsts budžeta uzturēšanas izdevumu transferti citiem budžetiem</t>
  </si>
  <si>
    <t>Pārējie valsts budžeta uzturēšanas izdevumu transferti pašvaldībām</t>
  </si>
  <si>
    <t>Pārējie valsts budžeta uzturēšanas izdevumu transferti valsts budžeta daļēji finansētām atvasinātajām publiskajām personām un budžeta nefinansētajām iestādēm</t>
  </si>
  <si>
    <t>Pārējie valsts budžeta uzturēšanas izdevumu transferti savas ministrijas, centrālās valsts iestādes padotībā esošajām valsts budžeta daļēji finansētām atvasinātām publiskām personām un budžeta nefinansētām iestādēm</t>
  </si>
  <si>
    <t>Pārējie valsts budžeta uzturēšanas izdevumu transferti citas ministrijas, centrālās valsts iestādes padotībā esošajām valsts budžeta daļēji finansētām atvasinātajām publiskajām personām un budžeta nefinansētām iestādēm</t>
  </si>
  <si>
    <t>Atmaksa valsts budžetā par veiktiem uzturēšanas izdevumiem</t>
  </si>
  <si>
    <t>Atmaksa valsts pamatbudžetā par valsts budžeta iestādes veiktajiem uzturēšanas izdevumiem Eiropas Savienības politiku instrumentu un pārējās ārvalstu finanšu palīdzības līdzfinansētajos projektos (pasākumos)</t>
  </si>
  <si>
    <t>Kārtējie maksājumi Eiropas Savienības budžetā</t>
  </si>
  <si>
    <t>Tradicionālo pašu resursu iemaksa Eiropas Savienības budžetā</t>
  </si>
  <si>
    <t>Pārējās iemaksas Eiropas Savienības budžetā</t>
  </si>
  <si>
    <t>Pievienotās vērtības nodokļa resurss</t>
  </si>
  <si>
    <t>Nacionālā kopienākuma resurss un rezerves</t>
  </si>
  <si>
    <t>Soda procenti</t>
  </si>
  <si>
    <t>Apvienotās Karalistes korekcija un citām dalībvalstīm budžeta līdzsvarošanai piešķirtās atlaides</t>
  </si>
  <si>
    <t>Eiropas Komisijai atmaksājamie līdzekļi</t>
  </si>
  <si>
    <t>Eiropas Komisijai atmaksājamie līdzekļi PHARE finansēto programmu ietvaros</t>
  </si>
  <si>
    <t>Eiropas Komisijai atmaksājamie līdzekļi Kohēzijas fonda finansēto programmu ietvaros</t>
  </si>
  <si>
    <t>Eiropas Komisijai atmaksājamie līdzekļi citu Eiropas Savienības politiku instrumentu finansēto programmu ietvaros</t>
  </si>
  <si>
    <t>Starptautiskā sadarbība</t>
  </si>
  <si>
    <t>Biedra naudas un dalības maksa starptautiskajās institūcijās</t>
  </si>
  <si>
    <t>Biedra naudas un dalības maksa Eiropas Savienības starptautiskajās institūcijās, izņemot kodā 7714 iekļaujamās izmaksas</t>
  </si>
  <si>
    <t>Biedra naudas un dalības maksa pārējās starptautiskajās institūcijās, izņemot kodā 7715 iekļaujamās iemaksas</t>
  </si>
  <si>
    <t>Iemaksas NATO budžetā</t>
  </si>
  <si>
    <t>Iemaksas Eiropas Savienības starptautisko institūciju kapitālā</t>
  </si>
  <si>
    <t>Iemaksas pārējo starptautisko institūciju kapitālā</t>
  </si>
  <si>
    <t>Pārējie pārskaitījumi ārvalstīm</t>
  </si>
  <si>
    <t>Starptautiskā palīdzība</t>
  </si>
  <si>
    <t>No valsts budžeta daļēji finansētu atvasināto publisko personu un budžeta nefinansētu iestāžu uzturēšanas izdevumu transferti</t>
  </si>
  <si>
    <t>No valsts budžeta daļēji finansētu atvasināto publisko personu un budžeta nefinansētu iestāžu uzturēšanas izdevumu transferti uz valsts budžetu</t>
  </si>
  <si>
    <t>No valsts budžeta daļēji finansētu atvasināto publisko personu un budžeta nefinansētu iestāžu uzturēšanas izdevumu transferti uz valsts budžetu (ministrijai, centrālajai valsts iestādei, kuras padotībā tā atrodas)</t>
  </si>
  <si>
    <t>No valsts budžeta daļēji finansētu atvasināto publisko personu un budžeta nefinansētu iestāžu uzturēšanas izdevumu transferti uz valsts budžetu (citai ministrijai, centrālajai valsts iestādei)</t>
  </si>
  <si>
    <t>No valsts budžeta daļēji finansētu atvasināto publisko personu un budžeta nefinansētu iestāžu atmaksa valsts budžetam (ministrijai, centrālajai valsts iestādei, kuras padotībā tā atrodas) par iepriekšējos gados saņemtajiem, bet neizlietotajiem valsts</t>
  </si>
  <si>
    <t>No valsts budžeta daļēji finansētu atvasināto publisko personu un budžeta nefinansētu iestāžu atmaksa valsts budžetam (citai ministrijai, centrālajai valsts iestādei) par iepriekšējos gados saņemtajiem, bet neizlietotajiem valsts budžeta transfertiem</t>
  </si>
  <si>
    <t>No valsts budžeta daļēji finansēto atvasināto publisko personu un budžeta nefinansēto iestāžu uzturēšanas izdevumu transferti pašvaldībām</t>
  </si>
  <si>
    <t>No valsts budžeta daļēji finansētu atvasināto publisko personu uzturēšanas izdevumu transferti uz to izveidotām iestādēm</t>
  </si>
  <si>
    <t>No valsts budžeta daļēji finansētu atvasināto publisko personu un budžeta nefinansētu iestāžu savstarpējie uzturēšanas izdevumu transferti</t>
  </si>
  <si>
    <t>No valsts budž.daļēji finans.atvas.publ.pers.un budžeta nefinans.iest.uztur.izd.transf.uz savas ministr.,centr.valsts iest.pad.esošajām no valsts budž.daļ.finans.atvas.publ.pers.un budž.nefin.iest.</t>
  </si>
  <si>
    <t>No valsts budž.daļēji finans.atvas.publ.pers.un budž.nefinans.iest.uztur.izd. transferti uz citas min.,centr.valsts iest.padot.esošajām no VB daļ.finans.atvas.publ.pers.un budž.nefin.iest.</t>
  </si>
  <si>
    <t>Dažādi izdevumi, kas veidojas pēc uzkrāšanas principa un nav klasificēti iepriekš</t>
  </si>
  <si>
    <t>Zaudējumi no valūtas kursa svārstībām</t>
  </si>
  <si>
    <t>Zaudējumi no valūtas kursa svārstībām attiecībā uz speciālā budžeta ārvalstu finanšu palīdzības līdzekļiem</t>
  </si>
  <si>
    <t>Izdevumi nedrošo debitoru parādu norakstīšanai un uzkrājumu veidošanai</t>
  </si>
  <si>
    <t>Izdevumi debitoru parādu norakstīšanai un vērtības samazinājuma atzīšanai</t>
  </si>
  <si>
    <t>Pārējie iepriekš neuzskaitītie budžeta izdevumi, kas veidojas pēc uzkrāšanas principa un nav uzskaitīti citos koda 8000 apakškodos</t>
  </si>
  <si>
    <t>Kapitālo izdevumu transferti</t>
  </si>
  <si>
    <t>Valsts budžeta kapitālo izdevumu transferti</t>
  </si>
  <si>
    <t>Valsts budžeta kapitālo izdevumu transferti no valsts speciālā budžeta uz valsts pamatbudžetu</t>
  </si>
  <si>
    <t>Valsts budžeta kapitālo izdevumu transferti no valsts pamatbudžeta uz valsts speciālo budžetu</t>
  </si>
  <si>
    <t>Valsts budžeta kapitālo izdevumu transferti no valsts pamatbudžeta uz valsts pamatbudžetu</t>
  </si>
  <si>
    <t>Valsts budžeta kapitālo izdevumu transferti no valsts pamatbudžeta dotācijas no vispārējiem ieņēmumiem uz valsts pamatbudžetu</t>
  </si>
  <si>
    <t>Valsts budžeta kapitālo izdevumu transferti no valsts pamatbudžeta ārvalstu finanšu palīdzības līdzekļiem uz valsts pamatbudžetu</t>
  </si>
  <si>
    <t>Nenaudas (aktīvu nodošana un saistību uzņemšana bilancē) darījumu izdevumu transferti no valsts pamatbudžeta uz valsts pamatbudžetu starp vienas institucionālās padotības valsts budžeta iestādēm</t>
  </si>
  <si>
    <t>Nenaudas (aktīvu nodošana un saistību uzņemšana bilancē) darījumu izdevumu transferti no valsts pamatbudžeta uz valsts pamatbudžetu starp dažādas institucionālās padotības valsts budžeta iestādēm</t>
  </si>
  <si>
    <t>Pārējie valsts budžeta kapitālo izdevumu transferti no valsts pamatbudžeta uz valsts pamatbudžetu</t>
  </si>
  <si>
    <t>Valsts budžeta kapitālo izdevumu transferti no valsts speciālā budžeta uz valsts speciālo budžetu</t>
  </si>
  <si>
    <t>Pašvaldību kapitālo izdevumu transferti</t>
  </si>
  <si>
    <t>Pašvaldību kapitālo izdevumu transferti citām pašvaldībām</t>
  </si>
  <si>
    <t>Pašvaldību kapitālo izdevumu transferti starp pašvaldības budžeta veidiem</t>
  </si>
  <si>
    <t>Pašvaldību pamatbudžeta kapitālo izdevumu transferti uz pašvaldības speciālo budžetu</t>
  </si>
  <si>
    <t>Pašvaldību speciālā budžeta kapitālo izdevumu transferti uz pašvaldības pamatbudžetu</t>
  </si>
  <si>
    <t>Pašvaldību kapitālo izdevumu transferti padotības iestādēm</t>
  </si>
  <si>
    <t>Pašvaldību kapitālo izdevumu transferti uz valsts budžetu</t>
  </si>
  <si>
    <t>Pašvaldību kapitālo izdevumu transferti (izņemot atmaksas) uz valsts budžetu</t>
  </si>
  <si>
    <t>Pašvaldību atmaksa valsts budžetam par iepriekšējos gados saņemto, bet neizlietoto valsts budžeta kapitālo izdevumu transfertiem</t>
  </si>
  <si>
    <t>Pašvaldību atmaksa valsts budžetam par iepriekšējos gados saņemtajiem, bet neizlietotajiem valsts budžeta transfertiem kapitālajiem izdevumiem vai atmaksa par neatbilstoši veiktajiem kapitālajiem izdevumiem Eiropas Savienības politiku instrumentu un</t>
  </si>
  <si>
    <t>Pašvaldību kapitālo izdevumu transferti valsts budžeta daļēji finansētām atvasinātām publiskām personām un budžeta nefinansētajām iestādēm</t>
  </si>
  <si>
    <t>Valsts budžeta transferti kapitālajiem izdevumiem citiem budžetiem noteiktam mērķim</t>
  </si>
  <si>
    <t>Valsts budžeta kapitālo izdevumu transferti pašvaldībām noteiktam mērķim</t>
  </si>
  <si>
    <t>Valsts budžeta kapitālo izdevumu transferti pašvaldībām Eiropas Savienības politiku instrumentu un pārējās ārvalstu finanšu palīdzības līdzfinansētajiem projektiem (pasākumiem)</t>
  </si>
  <si>
    <t>Valsts budžeta kapitālo izdevumu transferti valsts budžeta daļēji finansētām atvasinātajām publiskajām personām un budžeta nefinansētām iestādēm noteiktam mērķim</t>
  </si>
  <si>
    <t>Valsts budžeta kapitālo izdevumu transferti noteiktam mērķim savas ministrijas, centrālās valsts iestādes padotībā esošajām no valsts budžeta daļēji finansētām atvasinātajām publiskajām personām un budžeta nefinansētām iestādēm</t>
  </si>
  <si>
    <t>Valsts budžeta kapitālo izdevumu transferti noteiktam mērķim citas ministrijas, centrālās valsts iestādes padotībā esošajām no valsts budžeta daļēji finansētām atvasinātajām publiskajām personām un budžeta nefinansētām iestādēm</t>
  </si>
  <si>
    <t>Valsts budžeta kapitālo izdevumu transferti savas ministrijas, centrālās valsts iestādes padotībā esošajām no valsts budžeta daļēji finansētām atvasinātajām publiskajām personām un budžeta nefinansētām iestādēm Eiropas Savienības politiku instrumentu</t>
  </si>
  <si>
    <t>Valsts budžeta kapitālo izdevumu transferti citas ministrijas, centrālās valsts iestādes padotībā esošajām no valsts budžeta daļēji finansētām atvasinātajām publiskajām personām un budžeta nefinansētām iestādēm Eiropas Savienības politiku instrumentu</t>
  </si>
  <si>
    <t>Atmaksa valsts budžetā par veiktajiem kapitālajiem izdevumiem</t>
  </si>
  <si>
    <t>Atmaksa valsts pamatbudžetā par valsts budžeta iestādes veiktajiem kapitālajiem izdevumiem Eiropas Savienības politiku instrumentu un pārējās ārvalstu finanšu palīdzības līdzfinansētajos projektos (pasākumos)</t>
  </si>
  <si>
    <t>Pamatsumma IF</t>
  </si>
  <si>
    <t>Pārējie valsts budžeta kapitālo izdevumu transferti citiem budžetiem</t>
  </si>
  <si>
    <t>Pārējie valsts budžeta kapitālo izdevumu transferti pašvaldībām</t>
  </si>
  <si>
    <t>Pārējie valsts budžeta transferti kapitālajiem izdevumiem valsts budžeta daļēji finansētām atvasinātajām publiskajām personām un budžeta nefinansētām iestādēm</t>
  </si>
  <si>
    <t>Pārējie valsts budžeta transferti kapitālajiem izdevumiem savas ministrijas, centrālās valsts iestādes padotībā esošajām valsts budžeta daļēji finansētām atvasinātajām publiskajām personām un budžeta nefinansētām iestādēm</t>
  </si>
  <si>
    <t>Pārējie valsts budžeta transferti kapitālajiem izdevumiem citas ministrijas, centrālās valsts iestādes padotībā esošajām valsts budžeta daļēji finansētām atvasinātajām publiskajām personām un budžeta nefinansētām iestādēm</t>
  </si>
  <si>
    <t>No valsts budžeta daļēji finansētu atvasināto publisko personu un budžeta nefinansētu iestāžu kapitālo izdevumu transferti</t>
  </si>
  <si>
    <t>No valsts budžeta daļēji finansētu atvasināto publisko personu un budžeta nefinansētu iestāžu kapitālo izdevumu transferti uz valsts budžetu</t>
  </si>
  <si>
    <t>No valsts budžeta daļēji finansētu atvasināto publisko personu un budžeta nefinansētu iestāžu kapitālo izdevumu transferti uz valsts budžetu (ministrijai, centrālajai valsts iestādei, kuras padotībā tā atrodas)</t>
  </si>
  <si>
    <t>No valsts budžeta daļēji finansētu atvasināto publisko personu un budžeta nefinansētu iestāžu kapitālo izdevumu transferti uz valsts budžetu (citai ministrijai, centrālajai valsts iestādei)</t>
  </si>
  <si>
    <t>No valsts budžeta daļēji finansēto atvasināto publisko personu un budžeta nefinansēto iestāžu atmaksa valsts budžetam (ministrijai, centrālajai valsts iestādei, kuras padotībā tā atrodas) par iepriekšējos gados saņemtajiem, bet neizlietotajiem valsts</t>
  </si>
  <si>
    <t>No valsts budžeta daļēji finansētu atvasināto publisko personu un budžeta nefinansētu iestāžu kapitālo izdevumu transferti pašvaldībām</t>
  </si>
  <si>
    <t>No valsts budžeta daļēji finansētu atvasināto publisko personu kapitālo izdevumu transferti to izveidotām iestādēm</t>
  </si>
  <si>
    <t>No valsts budžeta daļēji finansētu atvasināto publisko personu un budžeta nefinansētu iestāžu savstarpējie kapitālo izdevumu transferti</t>
  </si>
  <si>
    <t>No valsts budž.daļēji finans.atvas.publ.pers.un budž.nefinans.iest.kapit.izdev.transf.uz savas ministr., centr.valsts iest.padotībā esoš.no VB daļēji finans.atvas.publ.pers.un budž.nefinans.iest.</t>
  </si>
  <si>
    <t>No valsts budž.daļēji finans.atvas.publ.pers.un budž.nefinans.iest.kapit.izdev.transf.uz citas ministr., centr.valsts iest.padot.esošajām no VB daļēji finans.atvas.publ.pers.un budž.nefinans.iest.</t>
  </si>
  <si>
    <t>Sporta centa peldbaseina izbūve</t>
  </si>
  <si>
    <t>0111 Deputāti</t>
  </si>
  <si>
    <t>0120 Vēlēšanu komisija</t>
  </si>
  <si>
    <t>0130 Administratīvā komisija</t>
  </si>
  <si>
    <t>0140 Iepirkumu komisija</t>
  </si>
  <si>
    <t>0150 Pārējās komisijas</t>
  </si>
  <si>
    <t>0420 Autoceļu dotācijas izlietojums</t>
  </si>
  <si>
    <t>0490 Sabiedrisko attiecību nodaļa</t>
  </si>
  <si>
    <t>0490.1 Sabiedrisko attiecību nodaļa - Ādažu vēstis</t>
  </si>
  <si>
    <t>0510 Dabas resursa nodokļa izlietojums</t>
  </si>
  <si>
    <t>0610 Neparedzēti gadījumi</t>
  </si>
  <si>
    <t>0630 Attīstības un projektu nodaļa</t>
  </si>
  <si>
    <t>0630.1 Attīstības un projektu nodaļa - iedzīvotāju iniciatīvas</t>
  </si>
  <si>
    <t>0631.1 Pastaigu celiņa izveide gar Gaujas-Baltezera kanālu</t>
  </si>
  <si>
    <t>0631.2 Krastupes ielas projekts</t>
  </si>
  <si>
    <t>0632.5 TEP Atjaunojamo energoresursu izmantošana Ādažu novadā (EUCF)</t>
  </si>
  <si>
    <t>0633.1 Mobilitātes punkta infrastruktūras izveidošana Rīgas metropoles areālā. Carnikava</t>
  </si>
  <si>
    <t>0633.6 EKII projekts (Emisijas kvotu izsolīšanas instruments)</t>
  </si>
  <si>
    <t>0643 Ēka, Gaujas iela 33A</t>
  </si>
  <si>
    <t>0648 Saimniecības un infrastruktūras daļa</t>
  </si>
  <si>
    <t>0649 Ielu un ceļu uzturēšana</t>
  </si>
  <si>
    <t>0660 Teritorijas plānošanas nodaļa</t>
  </si>
  <si>
    <t>0670 Nekustamā īpašuma nodaļa</t>
  </si>
  <si>
    <t>0812 Sporta nodaļa</t>
  </si>
  <si>
    <t>0841.1 Ādažu novada kultūras centrs</t>
  </si>
  <si>
    <t>0841.2 Carnikavas Tautas nams "Ozolaine"</t>
  </si>
  <si>
    <t>0841.3 Carnikavas novadpētniecības centrs</t>
  </si>
  <si>
    <t>0841.4 Tūrisms</t>
  </si>
  <si>
    <t>0843 Multihalle Pirmajā ielā</t>
  </si>
  <si>
    <t>0901 Carnikavas PII "Riekstiņš"</t>
  </si>
  <si>
    <t>09011 Carnikavas PII "Riekstiņš" (VB mērķdotācija)</t>
  </si>
  <si>
    <t>0902 Siguļu PII "Piejūra"</t>
  </si>
  <si>
    <t>09021 Siguļu PII "Piejūra" (VB mērķdotācija)</t>
  </si>
  <si>
    <t>0903 Jauna PII izbūve Podniekos</t>
  </si>
  <si>
    <t>0910 Ādažu PII "Strautiņš"</t>
  </si>
  <si>
    <t>0911 Ādažu PII (VB mērķdotācija)</t>
  </si>
  <si>
    <t>0920 Kadagas PII "Mežavēji"</t>
  </si>
  <si>
    <t>0921 Kadagas PII (VB mērķdotācija)</t>
  </si>
  <si>
    <t>0930 Izglītības un jaunatnes nodaļa</t>
  </si>
  <si>
    <t>0930.2 Jaunatnes nodaļa</t>
  </si>
  <si>
    <t>0931 ESF projekts Atbalsts priekšlaicīgas mācību pārtraukšanas samazināšnai (Pumpurs)</t>
  </si>
  <si>
    <t>0932 ESF projekts Karjeras atbalsts vispārējās un profesionālās izglītības iestādēs ©</t>
  </si>
  <si>
    <t>0933 Mobilais darbs ar jaunatni Ādažu novadā</t>
  </si>
  <si>
    <t>0940.1 Pašvaldību savstarpējie norēķini izglīt.funkc.nodrošināšanai</t>
  </si>
  <si>
    <t>0940.2 Līdzfinansējums privātajiem PII izglīt.funkc.nodrošināšanai</t>
  </si>
  <si>
    <t>0940.3 Līdzfinansējums privātajām skolām izglīt.funkc.nodrošināšanai</t>
  </si>
  <si>
    <t>0951 Projekts "Skolas soma"</t>
  </si>
  <si>
    <t>0952 PII ĀVS</t>
  </si>
  <si>
    <t>0952.1 PII ĀVS (VB mērķdotācija)</t>
  </si>
  <si>
    <t>0954 Ādažu vidusskola (VB mērķdotācija)</t>
  </si>
  <si>
    <t>0954.1 Ādažu vidusskola (VB mērķdotācija - interešu izglītība)</t>
  </si>
  <si>
    <t>0956 Projekts "Atbalsts izglītojamo individuālo kompetenču attīstībai" Ādaži</t>
  </si>
  <si>
    <t>0957 Projekts "ERASMUS+" Ādažu vsk.</t>
  </si>
  <si>
    <t>0960 Ādažu novada Mākslu skola</t>
  </si>
  <si>
    <t>DI centra uzturēšanas izdevumi (CKS)</t>
  </si>
  <si>
    <t>Uzturēšanas izdevumi (CKS)</t>
  </si>
  <si>
    <t>8.9.</t>
  </si>
  <si>
    <t>0632.6 "LIFE BauhausingEurope" pieejas piemērošana sabiedrisko ēku pārveidošanai</t>
  </si>
  <si>
    <t>0633.2 Maģistrālā veloceļa izbūve Rīga-Carnikava</t>
  </si>
  <si>
    <t>0634 Plūdu riska novēršanas pasākumi Ādažu nov.terit.</t>
  </si>
  <si>
    <t>0634.1 Jaunais plūdu projekts - 2.1.3.2. "Nacionālas nozīmes plūdu un krasta erozijas pasākumi" 1.daļa</t>
  </si>
  <si>
    <t>0645 Teritorijas kopšana</t>
  </si>
  <si>
    <t>0844.1 SAM 5.5.1. Kultūras objektu būvniecība (maksājumi projekta partneriem)C</t>
  </si>
  <si>
    <t>0880 Evanģēliski luteriskās draudzes un Garkalnes Evaņģēliski luteriskā draudze</t>
  </si>
  <si>
    <t>0962 Ādažu novada Mākslu skola (VB mērķdotācija)</t>
  </si>
  <si>
    <t>0965 Ādažu Bērnu un jaunatnes sporta skola</t>
  </si>
  <si>
    <t>09651 Ādažu bērnu un jaunatnes sporta skola (VB mērķdotācija)</t>
  </si>
  <si>
    <t>0970 Ādažu brīvā Valdorfa skola</t>
  </si>
  <si>
    <t>0981 Ādažu sākumskola</t>
  </si>
  <si>
    <t>0982 Carnikavas pamatskola</t>
  </si>
  <si>
    <t>09821 Carnikavas pamatskola (VB mērķdotācija)</t>
  </si>
  <si>
    <t>09821.1 Carnikavas pamatskola (VB mērķdotācija - interešu izglītība)</t>
  </si>
  <si>
    <t>09822 Projekts "Skolas soma" Carnikavas pamatskola</t>
  </si>
  <si>
    <t>09823 Carnikavas stadiona rekonstrukcija</t>
  </si>
  <si>
    <t>09825 Projekts "ERASMUS+" Carnikava pamatskola</t>
  </si>
  <si>
    <t>09826 Projekts Nordplus Junior</t>
  </si>
  <si>
    <t>1011 Stipendiāti, bezdarbnieki</t>
  </si>
  <si>
    <t>1012 Asistenti</t>
  </si>
  <si>
    <t>1013.1 Projekts "Pasākumi vietējās sabiedrības veselības veicināšanai"/ SAM 9.2.4.2. Ādaži</t>
  </si>
  <si>
    <t>1013.2 Projekts "Pasākumi vietējās sabiedrības veselības veicināšanai"/ SAM 9.2.4.2. Carnikava</t>
  </si>
  <si>
    <t>1014.1 Projekts "Deinstitucionalizācija - Dienas centra izveide"/ SAM 9.3.1.1. Ādaži</t>
  </si>
  <si>
    <t>1014.3 Projekts Deinstitucionalizācija SAM 9.3.1.1./Dienas aprūpes un rehabilitācijas centrs "Ādažu Ūdensroze"</t>
  </si>
  <si>
    <t>1015 Sociālā centra "Kadiķis" uzturēšana</t>
  </si>
  <si>
    <t>1016 Dotācijas Ukrainas pilsoņu atbalstam</t>
  </si>
  <si>
    <t>1017 Dotācijas "Energoresursu atbalsts"</t>
  </si>
  <si>
    <t>0631.2</t>
  </si>
  <si>
    <t>0634.1</t>
  </si>
  <si>
    <t>Jaunais plūdu projekts - 2.1.3.2. "Nacionālas nozīmes plūdu un krasta erozijas pasākumi" 1.daļa</t>
  </si>
  <si>
    <t xml:space="preserve">Par projekta gaitu ziņo izpilddirektors. </t>
  </si>
  <si>
    <t>8.1. Maksa par izglītības pakalpojumiem u.c. ieņēmumi</t>
  </si>
  <si>
    <t>2. Izpilde atbilstoši plānotajam.</t>
  </si>
  <si>
    <t>Līdzdalības budžets</t>
  </si>
  <si>
    <t>0940.2</t>
  </si>
  <si>
    <t>0940.3</t>
  </si>
  <si>
    <t>Carnikavas vidusskola</t>
  </si>
  <si>
    <t>Norēķini notiek 3x gadā.</t>
  </si>
  <si>
    <t>2025-2024</t>
  </si>
  <si>
    <t>2025/2024</t>
  </si>
  <si>
    <t>Āra lifta izbūve pie A korpusa</t>
  </si>
  <si>
    <t>Ādažu vidusskolas D korpusa siltināšana</t>
  </si>
  <si>
    <t>"Upesceļi II/Ūdenstūrisma pieejamības veicināšana (RiverwaysII/Facilitating access to watertourism activities)".</t>
  </si>
  <si>
    <t>0631.3</t>
  </si>
  <si>
    <t>0904</t>
  </si>
  <si>
    <t>2025. gada budžets</t>
  </si>
  <si>
    <t>21.1.9.1.</t>
  </si>
  <si>
    <t>8.3.9.0.; 8.6.1.2.; 8.6.4.0.; 12.3.9.9.</t>
  </si>
  <si>
    <t>pārrobežu projektu ieņēmumi</t>
  </si>
  <si>
    <t>0690</t>
  </si>
  <si>
    <t>2025. gads</t>
  </si>
  <si>
    <t>3.1.1.</t>
  </si>
  <si>
    <t>3.1.2.</t>
  </si>
  <si>
    <t>5.5.1.</t>
  </si>
  <si>
    <t>5.5.2.</t>
  </si>
  <si>
    <t>5.5.3.</t>
  </si>
  <si>
    <t>5.5.4.</t>
  </si>
  <si>
    <t>5.5.5.</t>
  </si>
  <si>
    <t>5.5.6.</t>
  </si>
  <si>
    <t>5.5.7.</t>
  </si>
  <si>
    <t>5.5.8.</t>
  </si>
  <si>
    <t>5.5.9.</t>
  </si>
  <si>
    <t>5.5.10.</t>
  </si>
  <si>
    <t>5.5.11.</t>
  </si>
  <si>
    <t>5.5.12.</t>
  </si>
  <si>
    <t>5.5.13.</t>
  </si>
  <si>
    <t>5.6.1.</t>
  </si>
  <si>
    <t>5.6.2.</t>
  </si>
  <si>
    <t>5.6.3.</t>
  </si>
  <si>
    <t>5.6.4.</t>
  </si>
  <si>
    <t>5.6.6.</t>
  </si>
  <si>
    <t>5.6.7.</t>
  </si>
  <si>
    <t>5.6.10.</t>
  </si>
  <si>
    <t>5.6.11.</t>
  </si>
  <si>
    <t>5.6.12.</t>
  </si>
  <si>
    <t>5.6.13.</t>
  </si>
  <si>
    <t>5.6.14.</t>
  </si>
  <si>
    <t>5.6.15.</t>
  </si>
  <si>
    <t>5.6.16.</t>
  </si>
  <si>
    <t>6.1.4.</t>
  </si>
  <si>
    <t>7.1.5.</t>
  </si>
  <si>
    <t>7.3.1.</t>
  </si>
  <si>
    <t>7.3.2.</t>
  </si>
  <si>
    <t>7.3.3.</t>
  </si>
  <si>
    <t>7.3.4.</t>
  </si>
  <si>
    <t>8.2.3.</t>
  </si>
  <si>
    <t>8.4.1.</t>
  </si>
  <si>
    <t>8.4.2.</t>
  </si>
  <si>
    <t>8.4.3.</t>
  </si>
  <si>
    <t>8.5.1.</t>
  </si>
  <si>
    <t>8.5.2.</t>
  </si>
  <si>
    <t>8.5.3.</t>
  </si>
  <si>
    <t>8.6.1.</t>
  </si>
  <si>
    <t>8.6.2.</t>
  </si>
  <si>
    <t>8.6.3.</t>
  </si>
  <si>
    <t>8.7.1.</t>
  </si>
  <si>
    <t>8.7.1.1.</t>
  </si>
  <si>
    <t>8.7.1.2.</t>
  </si>
  <si>
    <t>8.7.1.3.</t>
  </si>
  <si>
    <t>8.7.2.</t>
  </si>
  <si>
    <t>8.7.3.</t>
  </si>
  <si>
    <t>8.7.4.</t>
  </si>
  <si>
    <t>8.7.5.</t>
  </si>
  <si>
    <t>8.7.6.</t>
  </si>
  <si>
    <t>8.7.7.</t>
  </si>
  <si>
    <t>8.8.1.</t>
  </si>
  <si>
    <t>8.8.1.1.</t>
  </si>
  <si>
    <t>8.8.1.2.</t>
  </si>
  <si>
    <t>8.8.1.3.</t>
  </si>
  <si>
    <t>8.8.2.</t>
  </si>
  <si>
    <t>8.8.3.</t>
  </si>
  <si>
    <t>8.8.4.</t>
  </si>
  <si>
    <t>8.8.5.</t>
  </si>
  <si>
    <t>8.8.6.</t>
  </si>
  <si>
    <t>8.8.7.</t>
  </si>
  <si>
    <t>8.8.8.</t>
  </si>
  <si>
    <t>8.8.9.</t>
  </si>
  <si>
    <t>8.8.10.</t>
  </si>
  <si>
    <t>8.8.11.</t>
  </si>
  <si>
    <t>8.8.11.1</t>
  </si>
  <si>
    <t>8.8.11.2.</t>
  </si>
  <si>
    <t>8.8.11.3.</t>
  </si>
  <si>
    <t>8.9.1.</t>
  </si>
  <si>
    <t>8.10.</t>
  </si>
  <si>
    <t>8.10.2.</t>
  </si>
  <si>
    <t>8.10.1.</t>
  </si>
  <si>
    <t>8.11</t>
  </si>
  <si>
    <t>8.12.</t>
  </si>
  <si>
    <t>8.13.</t>
  </si>
  <si>
    <t>8.14.</t>
  </si>
  <si>
    <t>8.15.</t>
  </si>
  <si>
    <t>citi pārrobežu projektu ieņēmumi</t>
  </si>
  <si>
    <t xml:space="preserve">0631.4 </t>
  </si>
  <si>
    <t>Projekts “Infrastruktūras uzlabošana uzņēmējdarbības attīstībai Ādažos”</t>
  </si>
  <si>
    <t>8.18.</t>
  </si>
  <si>
    <t>8.18.1.</t>
  </si>
  <si>
    <t>8.18.2</t>
  </si>
  <si>
    <t>Teritorijas novērtēšana pirms būvprojekta izstrādes un būvprojekts jaunas pamatskolas izveidei Ādažu pilsētā</t>
  </si>
  <si>
    <t>"Blusu" kroga pārbūves tehniskā projekta izstrāde.</t>
  </si>
  <si>
    <t>"Blusu" kroga pārbūves tehniskā projekta izstrāde</t>
  </si>
  <si>
    <t>Latvijas Skolu jaunatnes dziesmu un deju svētki</t>
  </si>
  <si>
    <t>Investīcijas energosaimniecības uzlabošanā</t>
  </si>
  <si>
    <t>5.6.4.1.</t>
  </si>
  <si>
    <t>5.6.4.2.</t>
  </si>
  <si>
    <t>5.6.4.3.</t>
  </si>
  <si>
    <t>5.6.5.</t>
  </si>
  <si>
    <t>Investīcijas vides pārvaldībā un uzlabošanā</t>
  </si>
  <si>
    <t>Investīcijas ceļu, ielu infrastruktūras attīstībā un uzlabošanā</t>
  </si>
  <si>
    <t xml:space="preserve">Dzirnupes ielas tilta pārbūve I kārta </t>
  </si>
  <si>
    <t>18.6.2.9.; 18.6.2.6.1.</t>
  </si>
  <si>
    <t xml:space="preserve">Nekustamā īpašuma nodaļa </t>
  </si>
  <si>
    <t>EKII</t>
  </si>
  <si>
    <t>0990</t>
  </si>
  <si>
    <t>VĒRTĪBAS</t>
  </si>
  <si>
    <t>0631.5</t>
  </si>
  <si>
    <t>1010; 1010.1; 1010.2</t>
  </si>
  <si>
    <t xml:space="preserve">Koriģēts interešu izgl. finansējums saskaņā ar 30.01. rīkojumu </t>
  </si>
  <si>
    <t>EUR 1'113 mērķdotācija no ĀVS uz CVSs, saskaņā ar 27.02.2025. lēmumu "Par mācību jomu koordinatoru darba nodrošināšanu".</t>
  </si>
  <si>
    <t>ERASMUS programmas projekts "Nacionālie koordinatori dalības pieaugušo izglītībā veicināšanai Latvijā" (realizē Izglītības nodaļa).</t>
  </si>
  <si>
    <t>Saskaņā ar lēmumprojektu par izmaiņām CKS struktūrā daļa tehnisko darbinieku (atalgojums) tiek pārcelts uz izglītības iestādes budžtu.</t>
  </si>
  <si>
    <t>EUR 1'113 mērķdotācija no ĀVS uz CVS, saskaņā ar 27.02.2025. lēmumu "Par mācību jomu koordinatoru darba nodrošināšanu".</t>
  </si>
  <si>
    <t>Saskaņā ar lēmumprojektu par izmaiņām CKS struktūrā daļa tehnisko darbinieku (atalgojums) tiek pārcelts uz iestādes budžetu.</t>
  </si>
  <si>
    <t>Saskaņā ar lēmumprojektu par izmaiņām CKS struktūrā daļa tehnisko darbinieku (atalgojums) tiek pārcelts uz izglītības iestādes budžetu.</t>
  </si>
  <si>
    <t>27.03.2025. grozījumi</t>
  </si>
  <si>
    <t>Izmaiņa 27.03.2025. - 22.01.2025.</t>
  </si>
  <si>
    <t>1) EUR 1'500 ERASMUS programmas projekts "Nacionālie koordinatori dalības pieaugušo izglītībā veicināšanai Latvijā" ārfinansējums (realizē Izglītības nodaļa).
2) EUR 30'428 projekta “Digitālā darba ar jaunatni sistēmas attīstība pašvaldībās” ārfinansējums (0932).</t>
  </si>
  <si>
    <t>Projekts “Digitālā darba ar jaunatni sistēmas attīstība pašvaldībās”</t>
  </si>
  <si>
    <t>EUR 30'428 projekta “Digitālā darba ar jaunatni sistēmas attīstība pašvaldībās” ārfinansējums (0932).</t>
  </si>
  <si>
    <t>EUR 21 780 ĀVS D korpusa siltināšanai pārcelt uz ĀVS CKS-investīcijas (līgums ar SIA "US Arhitekti", par paskaidrojuma raksta izstrādi, noslēgts ar CKS) no EKK 5250 uz EKK 7230</t>
  </si>
  <si>
    <t>1) EUR 4'000 no CKS apsaimniekošanas (0645) (ietaupījumu no Carnikavas stadiona vārtu uztādīšanas)  uz ĀVS apsaimniekošanu  (0950) (ĀVS kanalizācijas un ūdens cauruļvadu remontam).
2) EUR 1'600 no CKS apsaimniekošanas (0645) (ietaupījums no Carnikavas stadiona vārtu uzstādīšanas) uz ĀVS sākumskolas apsaimniekošanu (0981) (UPS nomaiņa un signalizācijas sistēmas programmēšana).</t>
  </si>
  <si>
    <t>1) Saskaņā ar lēmumprojektu par izmaiņām CKS struktūrā daļa tehnisko darbinieku (atalgojums) tiek pārcelts uz izglītības iestādes budžetu.
2) EUR 4'000 no CKS apsaimniekošanas (0645) (ietaupījumu no Carnikavas stadiona vārtu uztādīšanas)  uz ĀVS apsaimniekošanu  (0950) (ĀVS kanalizācijas un ūdens cauruļvadu remontam). 
3) EUR 4'000 no ĀVS sākumskolas apsaimniekošanas (0981) (ietaupījumu no ēku uzraugiem) pārcelt uz ĀVS apsaimniekošanu (0950)  (signalizācijas sistēmas uzstādīšanai).</t>
  </si>
  <si>
    <t>1) Saskaņā ar lēmumprojektu par izmaiņām CKS struktūrā daļa tehnisko darbinieku (atalgojums) tiek pārcelts uz izglītības iestādes budžetu.
2) EUR 1'600 no CKS apsaimniekošanas (0645) (ietaupījums no Carnikavas stadiona vārtu uzstādīšanas) uz ĀVS sākumskolas apsaimniekošanu (0981) (UPS nomaiņa un signalizācijas sistēmas programmēšana).
3) EUR 4'000 no ĀVS sākumskolas apsaimniekošanas (0981) (ietaupījumu no ēku uzraugiem) pārcelt uz ĀVS apsaimniekošanu (0950)  (signalizācijas sistēmas uzstādīšanai).</t>
  </si>
  <si>
    <t>EUR 78'842 no Baltezera kapu atmežotās daļas ceļu un celiņu izveidošanai plānotajiem līdzekļiem novirzīt Ķiršu ielas pārbūves 4.kārtai</t>
  </si>
  <si>
    <t>1010; 1010.3</t>
  </si>
  <si>
    <t>Projekts "Labklājības nozares un pašvaldību sociālās sfēras platformas "DigiSoc" izstrāde un ieviešana</t>
  </si>
  <si>
    <t>EUR 2'000 no ekonomijas plānošanas programmas iegādei iniciatīvu projektu finansējuma palielinājumam.</t>
  </si>
  <si>
    <t>7210 (0940.1)</t>
  </si>
  <si>
    <t>1.3. Dabas resursu nodoklis un azartspēļu nodoklis</t>
  </si>
  <si>
    <t>8.3. Pārrobežu projektu ieņēmumi</t>
  </si>
  <si>
    <t>6.2. Teritorijas uzturēšana</t>
  </si>
  <si>
    <t>6.3. Izdevumi neparedzētiem gadījumiem, līdzdalības budžets</t>
  </si>
  <si>
    <t>1. Nodokļu ieņēmumu izpilde atbilstoši plānotajam.</t>
  </si>
  <si>
    <t>1.1. IIN atbilstoši plānotajam. (I.cet. 22%, II.cet.23%. III.cet.27%, IV.cet. 28%)</t>
  </si>
  <si>
    <t>(I.cet. 22%, II.cet.23%. III.cet.27%, IV.cet. 28%)</t>
  </si>
  <si>
    <t>Par projektu izpildes gaitu ziņo izpilddirektors</t>
  </si>
  <si>
    <t>7. Maksājumi tiek veikti 3 reizes gadā, maksājums par Ādažos deklarēto bērnu skaitu, kas apmeklē citu pašvaldību izglītības iestādes. Pirmais maksājums aprīlī.</t>
  </si>
  <si>
    <t xml:space="preserve">4. Realizē un par izpildi ziņo CKS. </t>
  </si>
  <si>
    <t>5. Pašvaldības DRN maksājums. Plānots novirzīt kapitālieguldījumiem, kas vēl nav realizēti.</t>
  </si>
  <si>
    <t xml:space="preserve">6.2. Realizē un par izpildi ziņo CKS. </t>
  </si>
  <si>
    <t>6.4.  Par projektu gaitu sīkāk ziņo izpilddirektors.</t>
  </si>
  <si>
    <t xml:space="preserve">     9.12. projekti - vēl nav finansiļa izpilde. Par projektu gaitu ziņo izpilddirektors.</t>
  </si>
  <si>
    <t xml:space="preserve">10. Atbilstoši plānotajam. </t>
  </si>
  <si>
    <t>Aizņēmums Skolas ielas rekonstrukcijai</t>
  </si>
  <si>
    <t>29.05.2025. grozījumi</t>
  </si>
  <si>
    <t>Izmaiņa 29.05.2025. - 27.03.2025.</t>
  </si>
  <si>
    <t>6.4.1.</t>
  </si>
  <si>
    <t>6.4.2.</t>
  </si>
  <si>
    <t>EUR 952'269 no IIN klasificējas kā IIN dotācijas, kas jāatspoguļo valsts budžeta transfertu sadaļā (10.p.)</t>
  </si>
  <si>
    <t>Pēdējais maksājums no KA izņemtais VK aizņēmums. Garantija netika saņemta, līdz ar to maksājums garantijas termiņa beigās. Novirzīts VK aizņēmuma atmaksai.</t>
  </si>
  <si>
    <t>Papildus apjoms avīzes drukai, lai iekļautu pašvaldību vēlēšanu informāciju. Līdzekļus pārcelt no nodaļas plānotajiem reprezentācijas izdevumiem.</t>
  </si>
  <si>
    <t>Dalība Zivju fonda projektā par videonovērošanas kameru iegādi. Realizē pašvaldības policija.</t>
  </si>
  <si>
    <t>EUR 14'715 no ekonomijas Sporta centra ventilācijas sistēmu tīrīšanas uz Ādažu vidusskolas siltināšanas procesā konstatēto papildus darbu veikšanai.</t>
  </si>
  <si>
    <t>EUR 1'321 no ekonomijas Sporta centra ventilācijas sistēmu tīrīšanai uz Ādažu vidusskolu (karstā cirkulācijas sūkņa nomaiņai)</t>
  </si>
  <si>
    <t>1) EUR 14'715 no ekonomijas Sporta centra ventilācijas sistēmu tīrīšanas uz Ādažu vidusskolas siltināšanas procesā konstatēto papildus darbu veikšanai.
2) EUR 1'321 no ekonomijas Sporta centra ventilācijas sistēmu tīrīšanai uz Ādažu vidusskolu (karstā cirkulācijas sūkņa nomaiņai).</t>
  </si>
  <si>
    <t>EUR 5'070 no CKS plānotās dotācijas īpašumu apsaimniekošanai uz Teritorijas uzturēšanu (Dome) arboristu čempionāta līguma apmaksai, kas noslēgts ar Domi).</t>
  </si>
  <si>
    <t>Sporta centra POS termināla nomas maksas plānu pārcelt no pārvaldes tāmes uz Sporta centra tāmi (EUR 650)</t>
  </si>
  <si>
    <t>Rīkojums par valsts mērķdotāciju mācību līdzekļiem</t>
  </si>
  <si>
    <t>Precizēts pēc projekta naudas plūsmas</t>
  </si>
  <si>
    <t>Pēdējais maksājums no KA izņemtais VK aizņēmums. Garantija netika saņemta, līdz ar to maksājums garantijas termiņa beigās (2029.gadā). Novirzīts VK aizņēmuma atmaksai.</t>
  </si>
  <si>
    <t>1) Dalība Zivju fonda projektā par videonovērošanas kameru iegādi. Realizē pašvaldības policija.
2) Atbalsts Ukrainas un Latvijas bērnu nometnēm EUR 4'455</t>
  </si>
  <si>
    <t>Atbalsts Ukrainas un Latvijas bērnu nometnēm EUR 4'455</t>
  </si>
  <si>
    <t>EUR 8'000 pārcelts uz CKS ēkas nojaukšanai  Kalmju ielā 2</t>
  </si>
  <si>
    <t>1) EUR 5'070 no CKS plānotās dotācijas īpašumu apsaimniekošanai uz Teritorijas uzturēšanu (Dome) arboristu čempionāta līguma apmaksai, kas noslēgts ar Domi).
2) EUR 8'000 pārcelts uz CKS ēkas nojaukšanai  Kalmju ielā 2</t>
  </si>
  <si>
    <t>26.06.2025. grozījumi</t>
  </si>
  <si>
    <t>Izmaiņa 26.06.2025. - 29.05.2025.</t>
  </si>
  <si>
    <t>Tā kā pamatā pašvaldībai ir mainīgās likmes aizņēmumi, kas šobrīd samazinās salīdzinot ar brīdi, kad tika plānots budžets, tad likmes ir pārskatītas un plānojam, ka 2025.gada maksājamā summa būs mazāka kā sākotnēji plānotā.</t>
  </si>
  <si>
    <t>EUR 300 no Mākslu skolas budžeta uz vidusskolas budžetu par apmācību vadīšanu Bērnu tiesību aizsardzību.</t>
  </si>
  <si>
    <t>14.3.</t>
  </si>
  <si>
    <t>14.7.</t>
  </si>
  <si>
    <t>14.8.</t>
  </si>
  <si>
    <t>14.9.</t>
  </si>
  <si>
    <t>Saņemtā PVN par sniegtajiem pakalpojumiem atmaksa valstij.</t>
  </si>
  <si>
    <t>1) Saņemtā PVN par sporta centra sniegtajiem pakalpojumiem atmaksa valstij.
2) Saskaņā ar atbalstīto lēmumu papildus finansējums EUR 13'800 no nesadalītā konta atlikuma grīdas seguma iegādei Ādažu vsk sporta zālē.</t>
  </si>
  <si>
    <t>1) Apstiprināts projekts Pedagogu profesionālā atbalsta sistēmas izveidei. Precizēts finansējums 35'581 un no pašvaldības nepieciešams 20% avanss (EUR 8'896), ko atgūsim, noslēdzeties projektam.
2) Dalība konkursā "Atbalsts jaunatnes politikas īstenošanai vietējā līmenī" - ārfinansējums EUR 8'781.
3) Dalība ESF projektu konkursā “Skola – kopienā”. Plānots ienākošais finansējums EUR 38'003 (realizē Izglītības nodaļa).
4) Valsts izglītības attīstības aģentūras finansējums EUR 5'643 dalībai projektā “Neformālās izglītības pasākumi, t.sk., latviešu valodas apguve, Ukrainas bērniem un jauniešiem”</t>
  </si>
  <si>
    <t>Ieguvumu izdevumu analīzei ERAF projektu pieteikumiem «Multimodāls sabiedriskā transporta tīkls» STACIJA 2.0 (Garciems, Carnikava, Gauja).</t>
  </si>
  <si>
    <t>Papildus plānotajam ieņēmumi Gaujas svētku ietvaros</t>
  </si>
  <si>
    <t>Saskaņā ar 27.02.2025. Domes lēmumu Nr.86 papildus ieņēmumi Gaujas ielas svētku laikā novirzīti svētku organizēšanas izdevumu segšanai.</t>
  </si>
  <si>
    <t>EKII projekts noslēdzies, tiks ieskaitīts gala maksājums, kas jānovirza kredīta atmaksai</t>
  </si>
  <si>
    <t>EUR 5'051 no Gaujas dambja virskārtas atjaunošanai plānotajiem līdzekļiem novirzīt Lavera ceļa drenu kolektora iztekas pārbūvei.</t>
  </si>
  <si>
    <t>1) Apstiprināts projekts Pedagogu profesionālā atbalsta sistēmas izveidei. Precizēts finansējums 35'581 un no pašvaldības nepieciešams 20% avanss (EUR 8'896), ko atgūsim, noslēdzoties projektam (0934).
2) Dalība konkursā "Atbalsts jaunatnes politikas īstenošanai vietējā līmenī" - ārfinansējums EUR 8'781 (0935).
3) Dalība ESF projektu konkursā “Skola – kopienā”. Plānots ienākošais finansējums EUR 38'003 (realizē Izglītības nodaļa) (0936).
4) Valsts izglītības attīstības aģentūras finansējums EUR 5'643 dalībai projektā “Neformālās izglītības pasākumi, t.sk., latviešu valodas apguve, Ukrainas bērniem un jauniešiem” (0930).
5) Apstiprināts valsts finansējums dziesmu un deju svētku dalībnieku ēdināšanai EUR 16'359 (0990).</t>
  </si>
  <si>
    <t>30.06.2025. fakts</t>
  </si>
  <si>
    <t>30.06.2025. fakts (%) pret 2025. plānu</t>
  </si>
  <si>
    <t>Soc. pabalsti pēc faktiskājām izmaksām EUR 52'517;
DI pakalpojumu finansējums pēc faktiskajām izmaksām EUR 22'583.
VB dotācija KAC uzturēšanai un publisko pakalp.sistēmas pilnveidei un pakalp.vadības sistēmas uzturēšana EUR 4'568
Zivju fonda projekts EUR 15 152.</t>
  </si>
  <si>
    <t>Maksājumi tiek veikti 3x gadā</t>
  </si>
  <si>
    <t>2025.g. 1. pusgads</t>
  </si>
  <si>
    <t>EUR 18'420 - % ieņēmumi no nakts depozīta; 
EUR 5'317 AM kompensāciju par Vecštāles ceļa bojājumiem mācību laikā.</t>
  </si>
  <si>
    <t>Līdzfinansējums Baltezera kapu apsaimniekošanai (Ropažu novada pašvaldība) EUR 66'730.
Komunālie ieņēmumi CKS EUR 10'879.
 Pārējie ieņēmumi CKS EUR 17'456.</t>
  </si>
  <si>
    <t>Kopējā ieņēmumu izpilde pret plānoto ir 46%, jeb EUR 28'436'3575.</t>
  </si>
  <si>
    <t>1.2. NĪN rēķins par visu gadu gada sākumā, var nomaksāt gan visu uzreiz, gan 4 maksājumos.</t>
  </si>
  <si>
    <t xml:space="preserve">1.3. DRN plāns bija sastādīts balstoties uz 2024.gada izpildi. Ja būs pārpilde, šie līdzekļi ir novirzāmi konkrētiem mērķiem. Ir plānoti divi projekti (Atkritumu dalītās vākšanas laukums, </t>
  </si>
  <si>
    <t>Laveru sūkņu stacijas pārbūve), kam šo finansējumu uzkrājam.</t>
  </si>
  <si>
    <t xml:space="preserve">3. Pirmajā pusgadā izpilde 62%, taču plāna pārsniegums uz 1.pusgada beigām negarantē, ka tāds pats apjoms būs arī nākamajos mēnešos. </t>
  </si>
  <si>
    <t>Ja arī 2.pusgadā būs tāds pats plāna pārsniegums, tad gada griezumā plāna pārpilde būtu ~ EUR 31'000.</t>
  </si>
  <si>
    <t xml:space="preserve">4. Uz pirmā pusgada beigām plāna pārpilde EUR 15'639. EUR 18'420 - % ieņēmumi no nakts depozīta (plāns EUR 20'000, ātad iespējamā pārpilde ap EUR 20'000); </t>
  </si>
  <si>
    <t>EUR 1 255 - CKS ieņēmumi; EUR 5'317 AM kompensāciju par Vecštāles ceļa bojājumiem mācību laikā; EUR 12'137 ieņēmumi no zvejas tiesību nomas (plānā bija ielikti EUR 10'000).</t>
  </si>
  <si>
    <t xml:space="preserve">5. Divu dzīvokļu izsoles ceļā pārdošana par kopējo summu EUR 80'823. Ieņēmumi par Sintēzes ielu 2 EUR 26'020. Divu zemesgabalu izsoles ieņēmumi EUR 66'800 (nauda vēl nav ieskaitīta). </t>
  </si>
  <si>
    <t>Ieņēmumi no pašvaldības īpašuma pārdošanas uz nomaksu EUR 5'349.</t>
  </si>
  <si>
    <t>6. Valsts budžeta transferti un projektu finansējums ieņēmumu izpilde 39%.</t>
  </si>
  <si>
    <t>6.1. Pedagogu algām 67%, kas ir lielākā pozīcija šajā sadaļā, jo jūnijā tiek ieskaitīta dotācija par 3 mēnešiem (jūn-aug). Dotācija asistenta pakalpojumu nodrošināšanai 54% izpilde un sociālo izmaksu mērķdotācijas izpilde 55% no gadā plānotā.</t>
  </si>
  <si>
    <t>6.2.Izpilde 5%. Par projektu gaitu sīkāk ziņos izpilddirektors.</t>
  </si>
  <si>
    <t>6.3.IIN budžeta dotācijas izpilde 50%. Atbilstoši plānotajam.</t>
  </si>
  <si>
    <t>8. Izpilde atbilst plānotajam, jo šeit parādās zemes nomu ieņēmumi vasaraas brīvdabas svētkos un ERASMUS+ projektu ieņēmumi.</t>
  </si>
  <si>
    <t>Maksas par izglītības pakalpojumiem u.c. ieņēmumiem izpilde 72%, kas gada griezumā varētu būt lielāki kā ieplānots.</t>
  </si>
  <si>
    <t>1. Kopumā izpilde 33%, jeb EUR 25'143'553. Izpilde salidzinoši maza, jo daļa investīciju projektu vēl nav realizēti. Lielākās investīcijas (projekti) sastāda 24% no kopējām plānotajām izmaksām (EUR 17'217'267), kuru kopējā finansiālā izpilde uz 1.pusgada beigām ir 4%.</t>
  </si>
  <si>
    <t>1.1. Izpilde 40% no gada plāna. Ekonomija uz komisiju atalgojuma, kur plānots saskaņā ar nolikumiem atļautās stundas.</t>
  </si>
  <si>
    <t>1.2. Izpilde 46%. Šajā pozīcijā iespējamsbūs ekonomija, taču vairākiem aizņēmumiem likmes mainās gada otrajā pusē.</t>
  </si>
  <si>
    <t>2. Izpilde 39%. Vēl nav veikta formastērpu iegāde EUR 10'960. Speciāli aprīkotais policijas operatīvais transportlīdzeklis vēl nav piegādāts, tāpēc maksājumi vēl nav uzsākti.</t>
  </si>
  <si>
    <t>3. Plāna izpilde 40%. Izdevumi par kalendāru izgatavošanu visam novadam paredzēta gada beigās.</t>
  </si>
  <si>
    <t>6. Kopējā izpilde 17%. Maza izpilde, jo šajā sadaļā ir plānotie projekti EUR 10'670'317 apmērā, kur izpilde uz 30.06. ir 4% (EUR 405'782).</t>
  </si>
  <si>
    <t xml:space="preserve">     6.1. Izpilde 38%. Gada otrajā pusē paredzētas lielākas izmaksas gadskārtējo svētku noformējumam novadā (Valsts svētki, Ziemassvētki utt.). EUR 35'000 ĀŪ nododamo zemes gabalu atdalīšana (rezerve), vēl nav realizēts. </t>
  </si>
  <si>
    <t>6.3. Izdevumi neparedzētiem gadījumiem, līdzdalības budžets - šī gada pirmajā pusē izpilde "0".</t>
  </si>
  <si>
    <t>7.  Kopējā izpilde 43%. Ādažu kultūras centram izpilde 47%, TN Ozolaine, muzejam uz tūrismam  izpilde 32%, jo lielākās izmaksas gada otrajā pusē. Augustā - Nēģu svētki, pasākumi siltajā sezonā.
Sporta daļai izpilde 52%, jo gada pirmajā ceturksnī tiek izmaksātas dotācija biedrībām un nodibinājumiem, kas sastāda 15% no kopējā sporta daļas gada plāna.</t>
  </si>
  <si>
    <t>8. Kopējā izpilde 41%. Iniciatīvu projektu finansēšanai paredzētā summa EUR 15'000 izmaksāta pilnā apmērā.</t>
  </si>
  <si>
    <t>9. Kopējā izpilde 34%. Izglītības iestāžu atalgojuma sadaļā lielākā izpilde vasaras mēnešos, kad lielākā daļa darbinieku dodas atvaļinājumā. Izglītības sektora projektiem paredzēti plānā EUR 6'724'875 no kuriem ir veiktas izmaksas EUR 413'914 apmērā.</t>
  </si>
  <si>
    <t xml:space="preserve">     9.1. Norēķini ar pašvaldībām par izglītības iestāžu pakalp. - izpilde 54%, norēķini notiek 3x gadā un daļai jau samaksāts par periodu līdz šī gada augustam.</t>
  </si>
  <si>
    <t>9.2. - 9.5. Ādažu PII izpilde izpilde vidēji 40%. Darbinieku atvaļinājumi vasarā un mācību līdzekļu iegāde notiek pirms jaunā mācību gada.</t>
  </si>
  <si>
    <t>9.6. Privātās izglītības iestādes. Izpilde 39%, atbilstoši plānotajam.</t>
  </si>
  <si>
    <t>9.7. Carnikavas pamatskola - izpilde 44 %, pedagogu atvaļinājumi vasarā.</t>
  </si>
  <si>
    <t>9.9. Mākslu skola - izpilde 50%, atbilstoši plānotajam.</t>
  </si>
  <si>
    <t>9.10. Sporta skola 39% - vasarā plānotas nometnes.</t>
  </si>
  <si>
    <t>9.11. Izglītības un jauniešu lietu pārvalde 26% - lielākās plāna pozīcijas - bērnu radošās nometnes vasarā un skolēnu apbalvošana par augstiem mācību sasniegumiem pēc mācību gada noslēgšanās.</t>
  </si>
  <si>
    <t>9.8. Ādažu vidusskola 43% - projekts Ādažu vidusskolas ēkas A korpusa, savienojuma daļas starp korpusiem (A un B), kā arī, vidusskolas centrālās daļas, tai skaitā torņa fasādes atjaunošana realizēti 74% apjomā no kopējā plāna. EUR 300'000 plānoti Ādažu vidusskolas D korpusa siltināšanai notiek būvdarbu iepirkums.</t>
  </si>
  <si>
    <t>9.7. Carnikavas vidusskola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</si>
</sst>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43" formatCode="_-* #,##0.00_-;\-* #,##0.00_-;_-* &quot;-&quot;??_-;_-@_-"/>
    <numFmt numFmtId="164" formatCode="_-* #,##0.00\ _€_-;\-* #,##0.00\ _€_-;_-* &quot;-&quot;??\ _€_-;_-@_-"/>
    <numFmt numFmtId="165" formatCode="_-&quot;€&quot;\ * #,##0.00_-;\-&quot;€&quot;\ * #,##0.00_-;_-&quot;€&quot;\ * &quot;-&quot;??_-;_-@_-"/>
    <numFmt numFmtId="166" formatCode="_-&quot;Ls&quot;\ * #,##0.00_-;\-&quot;Ls&quot;\ * #,##0.00_-;_-&quot;Ls&quot;\ * &quot;-&quot;??_-;_-@_-"/>
    <numFmt numFmtId="167" formatCode="_-* #,##0_-;\-* #,##0_-;_-* &quot;-&quot;??_-;_-@_-"/>
    <numFmt numFmtId="168" formatCode="0.0%"/>
    <numFmt numFmtId="169" formatCode="[$-426]General"/>
    <numFmt numFmtId="170" formatCode="[$-426]0%"/>
    <numFmt numFmtId="171" formatCode="&quot; &quot;#,##0.00&quot; &quot;;&quot;-&quot;#,##0.00&quot; &quot;;&quot; -&quot;#&quot; &quot;;&quot; &quot;@&quot; &quot;"/>
    <numFmt numFmtId="172" formatCode="[&lt;=9999999]###\-####;\(###\)\ ###\-####"/>
    <numFmt numFmtId="173" formatCode="_-* #,##0.00\ [$EUR]_-;\-* #,##0.00\ [$EUR]_-;_-* &quot;-&quot;??\ [$EUR]_-;_-@_-"/>
    <numFmt numFmtId="174" formatCode="_-&quot;€&quot;* #,##0.00_-;\-&quot;€&quot;* #,##0.00_-;_-&quot;€&quot;* &quot;-&quot;??_-;_-@_-"/>
    <numFmt numFmtId="175" formatCode="&quot; &quot;#,##0.00&quot; &quot;;&quot;-&quot;#,##0.00&quot; &quot;;&quot; -&quot;00&quot; &quot;;&quot; &quot;@&quot; &quot;"/>
  </numFmts>
  <fonts count="138" x14ac:knownFonts="1">
    <font>
      <sz val="9"/>
      <color theme="1"/>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rgb="FFFF0000"/>
      <name val="Calibri"/>
      <family val="2"/>
      <charset val="186"/>
      <scheme val="minor"/>
    </font>
    <font>
      <sz val="11"/>
      <name val="Times New Roman"/>
      <family val="1"/>
      <charset val="186"/>
    </font>
    <font>
      <sz val="11"/>
      <color indexed="10"/>
      <name val="Times New Roman"/>
      <family val="1"/>
      <charset val="186"/>
    </font>
    <font>
      <sz val="11"/>
      <color rgb="FFFF0000"/>
      <name val="Times New Roman"/>
      <family val="1"/>
      <charset val="186"/>
    </font>
    <font>
      <sz val="11"/>
      <color theme="3"/>
      <name val="Times New Roman"/>
      <family val="1"/>
      <charset val="186"/>
    </font>
    <font>
      <sz val="11"/>
      <color indexed="8"/>
      <name val="Calibri"/>
      <family val="2"/>
      <charset val="186"/>
    </font>
    <font>
      <b/>
      <sz val="11"/>
      <name val="Times New Roman"/>
      <family val="1"/>
      <charset val="186"/>
    </font>
    <font>
      <sz val="9"/>
      <color theme="1"/>
      <name val="Arial"/>
      <family val="2"/>
      <charset val="186"/>
    </font>
    <font>
      <sz val="10"/>
      <name val="Arial"/>
      <family val="2"/>
      <charset val="186"/>
    </font>
    <font>
      <b/>
      <sz val="11"/>
      <color rgb="FFFF0000"/>
      <name val="Times New Roman"/>
      <family val="1"/>
      <charset val="186"/>
    </font>
    <font>
      <b/>
      <sz val="11"/>
      <color theme="3"/>
      <name val="Times New Roman"/>
      <family val="1"/>
      <charset val="186"/>
    </font>
    <font>
      <sz val="11"/>
      <color indexed="8"/>
      <name val="Times New Roman"/>
      <family val="1"/>
      <charset val="186"/>
    </font>
    <font>
      <sz val="10"/>
      <name val="Times New Roman"/>
      <family val="1"/>
      <charset val="186"/>
    </font>
    <font>
      <i/>
      <sz val="11"/>
      <name val="Times New Roman"/>
      <family val="1"/>
      <charset val="186"/>
    </font>
    <font>
      <sz val="11"/>
      <color theme="1"/>
      <name val="Times New Roman"/>
      <family val="1"/>
      <charset val="186"/>
    </font>
    <font>
      <b/>
      <sz val="9"/>
      <color theme="1"/>
      <name val="Arial"/>
      <family val="2"/>
      <charset val="186"/>
    </font>
    <font>
      <sz val="8"/>
      <name val="Arial"/>
      <family val="2"/>
      <charset val="186"/>
    </font>
    <font>
      <sz val="8"/>
      <color indexed="10"/>
      <name val="Tahoma"/>
      <family val="2"/>
      <charset val="186"/>
    </font>
    <font>
      <sz val="9"/>
      <color indexed="8"/>
      <name val="Arial"/>
      <family val="2"/>
      <charset val="186"/>
    </font>
    <font>
      <sz val="9"/>
      <color theme="3"/>
      <name val="Arial"/>
      <family val="2"/>
      <charset val="186"/>
    </font>
    <font>
      <sz val="9"/>
      <color rgb="FFFF0000"/>
      <name val="Arial"/>
      <family val="2"/>
      <charset val="186"/>
    </font>
    <font>
      <sz val="9"/>
      <color rgb="FF006100"/>
      <name val="Arial"/>
      <family val="2"/>
      <charset val="186"/>
    </font>
    <font>
      <sz val="12"/>
      <name val="Times New Roman"/>
      <family val="1"/>
      <charset val="186"/>
    </font>
    <font>
      <sz val="9"/>
      <name val="Arial"/>
      <family val="2"/>
      <charset val="186"/>
    </font>
    <font>
      <b/>
      <sz val="11"/>
      <color theme="1"/>
      <name val="Calibri"/>
      <family val="2"/>
      <charset val="186"/>
      <scheme val="minor"/>
    </font>
    <font>
      <u/>
      <sz val="11"/>
      <color theme="10"/>
      <name val="Calibri"/>
      <family val="2"/>
      <charset val="186"/>
      <scheme val="minor"/>
    </font>
    <font>
      <sz val="11"/>
      <color rgb="FF000000"/>
      <name val="Calibri"/>
      <family val="2"/>
    </font>
    <font>
      <sz val="10"/>
      <color rgb="FFFF0000"/>
      <name val="Arial"/>
      <family val="2"/>
      <charset val="186"/>
    </font>
    <font>
      <b/>
      <sz val="9"/>
      <name val="Arial"/>
      <family val="2"/>
      <charset val="186"/>
    </font>
    <font>
      <sz val="10"/>
      <color theme="1"/>
      <name val="Arial"/>
      <family val="2"/>
      <charset val="186"/>
    </font>
    <font>
      <sz val="10"/>
      <name val="Arial"/>
      <family val="2"/>
    </font>
    <font>
      <b/>
      <sz val="11"/>
      <name val="Times New Roman"/>
      <family val="1"/>
    </font>
    <font>
      <sz val="9"/>
      <color indexed="81"/>
      <name val="Tahoma"/>
      <family val="2"/>
      <charset val="186"/>
    </font>
    <font>
      <b/>
      <sz val="9"/>
      <color indexed="81"/>
      <name val="Tahoma"/>
      <family val="2"/>
      <charset val="186"/>
    </font>
    <font>
      <sz val="10"/>
      <name val="Arial"/>
      <family val="2"/>
      <charset val="186"/>
    </font>
    <font>
      <sz val="11"/>
      <color theme="1"/>
      <name val="Arial"/>
      <family val="2"/>
      <charset val="186"/>
    </font>
    <font>
      <b/>
      <sz val="20"/>
      <color indexed="8"/>
      <name val="Times New Roman"/>
      <family val="1"/>
      <charset val="186"/>
    </font>
    <font>
      <b/>
      <sz val="16"/>
      <color theme="1"/>
      <name val="Times New Roman"/>
      <family val="1"/>
      <charset val="186"/>
    </font>
    <font>
      <sz val="13"/>
      <name val="Times New Roman"/>
      <family val="1"/>
    </font>
    <font>
      <b/>
      <sz val="9"/>
      <color indexed="8"/>
      <name val="Arial"/>
      <family val="2"/>
      <charset val="186"/>
    </font>
    <font>
      <u/>
      <sz val="12"/>
      <color theme="10"/>
      <name val="Times New Roman"/>
      <family val="2"/>
      <charset val="186"/>
    </font>
    <font>
      <sz val="11"/>
      <color theme="1"/>
      <name val="Calibri"/>
      <family val="2"/>
      <scheme val="minor"/>
    </font>
    <font>
      <sz val="11"/>
      <name val="Calibri"/>
      <family val="2"/>
      <scheme val="minor"/>
    </font>
    <font>
      <sz val="18"/>
      <color theme="3"/>
      <name val="Calibri Light"/>
      <family val="2"/>
      <charset val="186"/>
      <scheme val="major"/>
    </font>
    <font>
      <b/>
      <sz val="15"/>
      <color theme="3"/>
      <name val="Calibri"/>
      <family val="2"/>
      <charset val="186"/>
      <scheme val="minor"/>
    </font>
    <font>
      <b/>
      <sz val="13"/>
      <color theme="3"/>
      <name val="Calibri"/>
      <family val="2"/>
      <charset val="186"/>
      <scheme val="minor"/>
    </font>
    <font>
      <b/>
      <sz val="11"/>
      <color theme="3"/>
      <name val="Calibri"/>
      <family val="2"/>
      <charset val="186"/>
      <scheme val="minor"/>
    </font>
    <font>
      <sz val="11"/>
      <color rgb="FF006100"/>
      <name val="Calibri"/>
      <family val="2"/>
      <charset val="186"/>
      <scheme val="minor"/>
    </font>
    <font>
      <sz val="11"/>
      <color rgb="FF9C0006"/>
      <name val="Calibri"/>
      <family val="2"/>
      <charset val="186"/>
      <scheme val="minor"/>
    </font>
    <font>
      <sz val="11"/>
      <color rgb="FF9C6500"/>
      <name val="Calibri"/>
      <family val="2"/>
      <charset val="186"/>
      <scheme val="minor"/>
    </font>
    <font>
      <sz val="11"/>
      <color rgb="FF3F3F76"/>
      <name val="Calibri"/>
      <family val="2"/>
      <charset val="186"/>
      <scheme val="minor"/>
    </font>
    <font>
      <b/>
      <sz val="11"/>
      <color rgb="FF3F3F3F"/>
      <name val="Calibri"/>
      <family val="2"/>
      <charset val="186"/>
      <scheme val="minor"/>
    </font>
    <font>
      <b/>
      <sz val="11"/>
      <color rgb="FFFA7D00"/>
      <name val="Calibri"/>
      <family val="2"/>
      <charset val="186"/>
      <scheme val="minor"/>
    </font>
    <font>
      <sz val="11"/>
      <color rgb="FFFA7D00"/>
      <name val="Calibri"/>
      <family val="2"/>
      <charset val="186"/>
      <scheme val="minor"/>
    </font>
    <font>
      <b/>
      <sz val="11"/>
      <color theme="0"/>
      <name val="Calibri"/>
      <family val="2"/>
      <charset val="186"/>
      <scheme val="minor"/>
    </font>
    <font>
      <i/>
      <sz val="11"/>
      <color rgb="FF7F7F7F"/>
      <name val="Calibri"/>
      <family val="2"/>
      <charset val="186"/>
      <scheme val="minor"/>
    </font>
    <font>
      <sz val="11"/>
      <color theme="0"/>
      <name val="Calibri"/>
      <family val="2"/>
      <charset val="186"/>
      <scheme val="minor"/>
    </font>
    <font>
      <sz val="10"/>
      <name val="Helv"/>
    </font>
    <font>
      <sz val="11"/>
      <color rgb="FF000000"/>
      <name val="Calibri"/>
      <family val="2"/>
      <charset val="186"/>
    </font>
    <font>
      <sz val="9"/>
      <color rgb="FF7030A0"/>
      <name val="Arial"/>
      <family val="2"/>
      <charset val="186"/>
    </font>
    <font>
      <u/>
      <sz val="9"/>
      <color theme="10"/>
      <name val="Arial"/>
      <family val="2"/>
      <charset val="186"/>
    </font>
    <font>
      <b/>
      <sz val="11"/>
      <name val="Calibri"/>
      <family val="2"/>
      <scheme val="minor"/>
    </font>
    <font>
      <sz val="11"/>
      <color rgb="FF9C5700"/>
      <name val="Calibri"/>
      <family val="2"/>
      <charset val="186"/>
      <scheme val="minor"/>
    </font>
    <font>
      <u/>
      <sz val="11"/>
      <color theme="10"/>
      <name val="Calibri"/>
      <family val="2"/>
      <charset val="186"/>
    </font>
    <font>
      <b/>
      <sz val="18"/>
      <name val="Calibri"/>
      <family val="2"/>
      <scheme val="minor"/>
    </font>
    <font>
      <sz val="8"/>
      <color rgb="FF000000"/>
      <name val="Times New Roman"/>
      <family val="1"/>
      <charset val="186"/>
    </font>
    <font>
      <sz val="28"/>
      <color theme="0" tint="-0.499984740745262"/>
      <name val="Calibri Light"/>
      <family val="2"/>
      <scheme val="major"/>
    </font>
    <font>
      <b/>
      <i/>
      <sz val="11"/>
      <name val="Calibri"/>
      <family val="2"/>
      <scheme val="minor"/>
    </font>
    <font>
      <i/>
      <sz val="11"/>
      <name val="Calibri"/>
      <family val="2"/>
      <scheme val="minor"/>
    </font>
    <font>
      <b/>
      <sz val="11"/>
      <color theme="1"/>
      <name val="Times New Roman"/>
      <family val="1"/>
      <charset val="186"/>
    </font>
    <font>
      <b/>
      <sz val="10"/>
      <color theme="1"/>
      <name val="Arial"/>
      <family val="2"/>
      <charset val="186"/>
    </font>
    <font>
      <b/>
      <sz val="10"/>
      <color rgb="FFFF0000"/>
      <name val="Arial"/>
      <family val="2"/>
      <charset val="186"/>
    </font>
    <font>
      <b/>
      <sz val="10"/>
      <color theme="0"/>
      <name val="Arial"/>
      <family val="2"/>
      <charset val="186"/>
    </font>
    <font>
      <b/>
      <sz val="11"/>
      <color rgb="FF000000"/>
      <name val="Times New Roman"/>
      <family val="1"/>
      <charset val="186"/>
    </font>
    <font>
      <sz val="11"/>
      <color rgb="FF000000"/>
      <name val="Times New Roman"/>
      <family val="1"/>
      <charset val="186"/>
    </font>
    <font>
      <sz val="11"/>
      <color rgb="FF000000"/>
      <name val="Calibri"/>
      <family val="2"/>
      <charset val="1"/>
    </font>
    <font>
      <i/>
      <sz val="11"/>
      <color indexed="8"/>
      <name val="Times New Roman"/>
      <family val="1"/>
      <charset val="186"/>
    </font>
    <font>
      <u/>
      <sz val="10"/>
      <name val="Arial"/>
      <family val="2"/>
      <charset val="186"/>
    </font>
    <font>
      <b/>
      <sz val="20"/>
      <name val="Times New Roman"/>
      <family val="1"/>
      <charset val="186"/>
    </font>
    <font>
      <b/>
      <sz val="11"/>
      <color rgb="FFEE0000"/>
      <name val="Times New Roman"/>
      <family val="1"/>
      <charset val="186"/>
    </font>
    <font>
      <sz val="11"/>
      <color rgb="FFEE0000"/>
      <name val="Times New Roman"/>
      <family val="1"/>
      <charset val="186"/>
    </font>
    <font>
      <sz val="10"/>
      <color rgb="FFEE0000"/>
      <name val="Arial"/>
      <family val="2"/>
      <charset val="186"/>
    </font>
    <font>
      <i/>
      <sz val="10"/>
      <color theme="1"/>
      <name val="Arial"/>
      <family val="2"/>
      <charset val="186"/>
    </font>
  </fonts>
  <fills count="53">
    <fill>
      <patternFill patternType="none"/>
    </fill>
    <fill>
      <patternFill patternType="gray125"/>
    </fill>
    <fill>
      <patternFill patternType="solid">
        <fgColor rgb="FFC6EFCE"/>
      </patternFill>
    </fill>
    <fill>
      <patternFill patternType="solid">
        <fgColor indexed="22"/>
        <bgColor indexed="64"/>
      </patternFill>
    </fill>
    <fill>
      <patternFill patternType="solid">
        <fgColor indexed="50"/>
        <bgColor indexed="64"/>
      </patternFill>
    </fill>
    <fill>
      <patternFill patternType="solid">
        <fgColor theme="0"/>
        <bgColor indexed="64"/>
      </patternFill>
    </fill>
    <fill>
      <patternFill patternType="solid">
        <fgColor indexed="9"/>
        <bgColor indexed="64"/>
      </patternFill>
    </fill>
    <fill>
      <patternFill patternType="solid">
        <fgColor rgb="FFFFC000"/>
        <bgColor indexed="64"/>
      </patternFill>
    </fill>
    <fill>
      <patternFill patternType="solid">
        <fgColor indexed="47"/>
        <bgColor indexed="64"/>
      </patternFill>
    </fill>
    <fill>
      <patternFill patternType="solid">
        <fgColor rgb="FFFFFF00"/>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2"/>
        <bgColor indexed="64"/>
      </patternFill>
    </fill>
    <fill>
      <patternFill patternType="solid">
        <fgColor rgb="FF00B0F0"/>
        <bgColor indexed="64"/>
      </patternFill>
    </fill>
    <fill>
      <patternFill patternType="solid">
        <fgColor theme="5" tint="0.79998168889431442"/>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39997558519241921"/>
        <bgColor indexed="64"/>
      </patternFill>
    </fill>
    <fill>
      <patternFill patternType="solid">
        <fgColor theme="1" tint="0.34998626667073579"/>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7"/>
        <bgColor indexed="64"/>
      </patternFill>
    </fill>
    <fill>
      <patternFill patternType="solid">
        <fgColor theme="6" tint="0.59999389629810485"/>
        <bgColor indexed="64"/>
      </patternFill>
    </fill>
  </fills>
  <borders count="90">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auto="1"/>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bottom style="thin">
        <color auto="1"/>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auto="1"/>
      </left>
      <right style="thin">
        <color auto="1"/>
      </right>
      <top style="thin">
        <color auto="1"/>
      </top>
      <bottom style="thin">
        <color auto="1"/>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right/>
      <top/>
      <bottom style="thin">
        <color auto="1"/>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medium">
        <color rgb="FF000000"/>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s>
  <cellStyleXfs count="329">
    <xf numFmtId="0" fontId="0" fillId="0" borderId="0"/>
    <xf numFmtId="43" fontId="62" fillId="0" borderId="0" applyFont="0" applyFill="0" applyBorder="0" applyAlignment="0" applyProtection="0"/>
    <xf numFmtId="9" fontId="62" fillId="0" borderId="0" applyFont="0" applyFill="0" applyBorder="0" applyAlignment="0" applyProtection="0"/>
    <xf numFmtId="0" fontId="54" fillId="0" borderId="0"/>
    <xf numFmtId="9" fontId="60" fillId="0" borderId="0" applyFont="0" applyFill="0" applyBorder="0" applyAlignment="0" applyProtection="0"/>
    <xf numFmtId="43" fontId="60" fillId="0" borderId="0" applyFont="0" applyFill="0" applyBorder="0" applyAlignment="0" applyProtection="0"/>
    <xf numFmtId="9" fontId="60" fillId="0" borderId="0" applyFont="0" applyFill="0" applyBorder="0" applyAlignment="0" applyProtection="0"/>
    <xf numFmtId="0" fontId="63" fillId="0" borderId="0"/>
    <xf numFmtId="43" fontId="60" fillId="0" borderId="0" applyFont="0" applyFill="0" applyBorder="0" applyAlignment="0" applyProtection="0"/>
    <xf numFmtId="9" fontId="60" fillId="0" borderId="0" applyFont="0" applyFill="0" applyBorder="0" applyAlignment="0" applyProtection="0"/>
    <xf numFmtId="0" fontId="63" fillId="0" borderId="0"/>
    <xf numFmtId="43" fontId="63" fillId="0" borderId="0" applyFont="0" applyFill="0" applyBorder="0" applyAlignment="0" applyProtection="0"/>
    <xf numFmtId="43" fontId="60" fillId="0" borderId="0" applyFont="0" applyFill="0" applyBorder="0" applyAlignment="0" applyProtection="0"/>
    <xf numFmtId="0" fontId="53" fillId="0" borderId="0"/>
    <xf numFmtId="9" fontId="63" fillId="0" borderId="0" applyFont="0" applyFill="0" applyBorder="0" applyAlignment="0" applyProtection="0"/>
    <xf numFmtId="43" fontId="60" fillId="0" borderId="0" applyFont="0" applyFill="0" applyBorder="0" applyAlignment="0" applyProtection="0"/>
    <xf numFmtId="0" fontId="60" fillId="0" borderId="0"/>
    <xf numFmtId="43" fontId="60" fillId="0" borderId="0" applyFont="0" applyFill="0" applyBorder="0" applyAlignment="0" applyProtection="0"/>
    <xf numFmtId="0" fontId="67" fillId="0" borderId="0"/>
    <xf numFmtId="43" fontId="62" fillId="0" borderId="0" applyFont="0" applyFill="0" applyBorder="0" applyAlignment="0" applyProtection="0"/>
    <xf numFmtId="43" fontId="60" fillId="0" borderId="0" applyFont="0" applyFill="0" applyBorder="0" applyAlignment="0" applyProtection="0"/>
    <xf numFmtId="166" fontId="62" fillId="0" borderId="0" applyFont="0" applyFill="0" applyBorder="0" applyAlignment="0" applyProtection="0"/>
    <xf numFmtId="43" fontId="60" fillId="0" borderId="0" applyFont="0" applyFill="0" applyBorder="0" applyAlignment="0" applyProtection="0"/>
    <xf numFmtId="43" fontId="73" fillId="0" borderId="0" applyFont="0" applyFill="0" applyBorder="0" applyAlignment="0" applyProtection="0"/>
    <xf numFmtId="43" fontId="53" fillId="0" borderId="0" applyFont="0" applyFill="0" applyBorder="0" applyAlignment="0" applyProtection="0"/>
    <xf numFmtId="43" fontId="60" fillId="0" borderId="0" applyFont="0" applyFill="0" applyBorder="0" applyAlignment="0" applyProtection="0"/>
    <xf numFmtId="0" fontId="53" fillId="0" borderId="0"/>
    <xf numFmtId="0" fontId="76" fillId="2" borderId="0" applyNumberFormat="0" applyBorder="0" applyAlignment="0" applyProtection="0"/>
    <xf numFmtId="0" fontId="63" fillId="0" borderId="0"/>
    <xf numFmtId="43" fontId="63" fillId="0" borderId="0" applyFont="0" applyFill="0" applyBorder="0" applyAlignment="0" applyProtection="0"/>
    <xf numFmtId="43" fontId="63" fillId="0" borderId="0" applyFont="0" applyFill="0" applyBorder="0" applyAlignment="0" applyProtection="0"/>
    <xf numFmtId="9" fontId="63" fillId="0" borderId="0" applyFont="0" applyFill="0" applyBorder="0" applyAlignment="0" applyProtection="0"/>
    <xf numFmtId="0" fontId="52" fillId="0" borderId="0"/>
    <xf numFmtId="0" fontId="51" fillId="0" borderId="0"/>
    <xf numFmtId="9" fontId="51" fillId="0" borderId="0" applyFont="0" applyFill="0" applyBorder="0" applyAlignment="0" applyProtection="0"/>
    <xf numFmtId="0" fontId="51" fillId="0" borderId="0"/>
    <xf numFmtId="43" fontId="60" fillId="0" borderId="0" applyFont="0" applyFill="0" applyBorder="0" applyAlignment="0" applyProtection="0"/>
    <xf numFmtId="0" fontId="60" fillId="0" borderId="0"/>
    <xf numFmtId="0" fontId="60" fillId="0" borderId="0"/>
    <xf numFmtId="43" fontId="51" fillId="0" borderId="0" applyFont="0" applyFill="0" applyBorder="0" applyAlignment="0" applyProtection="0"/>
    <xf numFmtId="0" fontId="77" fillId="0" borderId="0"/>
    <xf numFmtId="0" fontId="80" fillId="0" borderId="0" applyNumberFormat="0" applyFill="0" applyBorder="0" applyAlignment="0" applyProtection="0"/>
    <xf numFmtId="0" fontId="63" fillId="0" borderId="0" applyNumberFormat="0" applyFill="0" applyBorder="0" applyAlignment="0" applyProtection="0"/>
    <xf numFmtId="0" fontId="50" fillId="0" borderId="0"/>
    <xf numFmtId="0" fontId="50" fillId="0" borderId="0"/>
    <xf numFmtId="0" fontId="60" fillId="0" borderId="0"/>
    <xf numFmtId="0" fontId="60" fillId="0" borderId="0"/>
    <xf numFmtId="0" fontId="63" fillId="0" borderId="0"/>
    <xf numFmtId="0" fontId="49" fillId="0" borderId="0"/>
    <xf numFmtId="43" fontId="49" fillId="0" borderId="0" applyFont="0" applyFill="0" applyBorder="0" applyAlignment="0" applyProtection="0"/>
    <xf numFmtId="43" fontId="62" fillId="0" borderId="0" applyFont="0" applyFill="0" applyBorder="0" applyAlignment="0" applyProtection="0"/>
    <xf numFmtId="0" fontId="63" fillId="0" borderId="0"/>
    <xf numFmtId="0" fontId="49" fillId="0" borderId="0"/>
    <xf numFmtId="0" fontId="85" fillId="0" borderId="0"/>
    <xf numFmtId="169" fontId="81" fillId="0" borderId="0"/>
    <xf numFmtId="0" fontId="48" fillId="0" borderId="0"/>
    <xf numFmtId="9" fontId="48" fillId="0" borderId="0" applyFont="0" applyFill="0" applyBorder="0" applyAlignment="0" applyProtection="0"/>
    <xf numFmtId="43" fontId="62" fillId="0" borderId="0" applyFont="0" applyFill="0" applyBorder="0" applyAlignment="0" applyProtection="0"/>
    <xf numFmtId="43" fontId="73" fillId="0" borderId="0" applyFont="0" applyFill="0" applyBorder="0" applyAlignment="0" applyProtection="0"/>
    <xf numFmtId="43" fontId="48" fillId="0" borderId="0" applyFont="0" applyFill="0" applyBorder="0" applyAlignment="0" applyProtection="0"/>
    <xf numFmtId="43" fontId="63" fillId="0" borderId="0" applyFont="0" applyFill="0" applyBorder="0" applyAlignment="0" applyProtection="0"/>
    <xf numFmtId="43" fontId="60" fillId="0" borderId="0" applyFont="0" applyFill="0" applyBorder="0" applyAlignment="0" applyProtection="0"/>
    <xf numFmtId="0" fontId="48" fillId="0" borderId="0"/>
    <xf numFmtId="43" fontId="48" fillId="0" borderId="0" applyFont="0" applyFill="0" applyBorder="0" applyAlignment="0" applyProtection="0"/>
    <xf numFmtId="0" fontId="47" fillId="0" borderId="0"/>
    <xf numFmtId="0" fontId="46" fillId="0" borderId="0"/>
    <xf numFmtId="0" fontId="45" fillId="0" borderId="0"/>
    <xf numFmtId="43" fontId="45" fillId="0" borderId="0" applyFont="0" applyFill="0" applyBorder="0" applyAlignment="0" applyProtection="0"/>
    <xf numFmtId="170" fontId="81" fillId="0" borderId="0" applyBorder="0" applyProtection="0"/>
    <xf numFmtId="171" fontId="81" fillId="0" borderId="0" applyBorder="0" applyProtection="0"/>
    <xf numFmtId="0" fontId="63" fillId="0" borderId="0"/>
    <xf numFmtId="0" fontId="44" fillId="0" borderId="0"/>
    <xf numFmtId="43" fontId="44" fillId="0" borderId="0" applyFont="0" applyFill="0" applyBorder="0" applyAlignment="0" applyProtection="0"/>
    <xf numFmtId="9" fontId="44" fillId="0" borderId="0" applyFont="0" applyFill="0" applyBorder="0" applyAlignment="0" applyProtection="0"/>
    <xf numFmtId="0" fontId="43" fillId="0" borderId="0"/>
    <xf numFmtId="43" fontId="43" fillId="0" borderId="0" applyFont="0" applyFill="0" applyBorder="0" applyAlignment="0" applyProtection="0"/>
    <xf numFmtId="0" fontId="89" fillId="0" borderId="0"/>
    <xf numFmtId="0" fontId="42" fillId="0" borderId="0"/>
    <xf numFmtId="43" fontId="42" fillId="0" borderId="0" applyFont="0" applyFill="0" applyBorder="0" applyAlignment="0" applyProtection="0"/>
    <xf numFmtId="165" fontId="42" fillId="0" borderId="0" applyFont="0" applyFill="0" applyBorder="0" applyAlignment="0" applyProtection="0"/>
    <xf numFmtId="9" fontId="42" fillId="0" borderId="0" applyFont="0" applyFill="0" applyBorder="0" applyAlignment="0" applyProtection="0"/>
    <xf numFmtId="43" fontId="62" fillId="0" borderId="0" applyFont="0" applyFill="0" applyBorder="0" applyAlignment="0" applyProtection="0"/>
    <xf numFmtId="0" fontId="41" fillId="0" borderId="0"/>
    <xf numFmtId="0" fontId="40" fillId="0" borderId="0"/>
    <xf numFmtId="0" fontId="39" fillId="0" borderId="0"/>
    <xf numFmtId="0" fontId="93" fillId="0" borderId="0" applyNumberFormat="0" applyProtection="0">
      <alignment vertical="top"/>
    </xf>
    <xf numFmtId="0" fontId="85" fillId="0" borderId="0"/>
    <xf numFmtId="43" fontId="39" fillId="0" borderId="0" applyFont="0" applyFill="0" applyBorder="0" applyAlignment="0" applyProtection="0"/>
    <xf numFmtId="0" fontId="39" fillId="0" borderId="0"/>
    <xf numFmtId="0" fontId="38" fillId="0" borderId="0"/>
    <xf numFmtId="0" fontId="37" fillId="0" borderId="0"/>
    <xf numFmtId="0" fontId="95" fillId="0" borderId="0" applyNumberFormat="0" applyFill="0" applyBorder="0" applyAlignment="0" applyProtection="0"/>
    <xf numFmtId="0" fontId="96" fillId="0" borderId="0"/>
    <xf numFmtId="0" fontId="35" fillId="0" borderId="0"/>
    <xf numFmtId="0" fontId="35" fillId="0" borderId="0"/>
    <xf numFmtId="9" fontId="63" fillId="0" borderId="0" applyFont="0" applyFill="0" applyBorder="0" applyAlignment="0" applyProtection="0"/>
    <xf numFmtId="0" fontId="34" fillId="0" borderId="0"/>
    <xf numFmtId="0" fontId="63" fillId="0" borderId="0"/>
    <xf numFmtId="43" fontId="63" fillId="0" borderId="0" applyFont="0" applyFill="0" applyBorder="0" applyAlignment="0" applyProtection="0"/>
    <xf numFmtId="43" fontId="34" fillId="0" borderId="0" applyFont="0" applyFill="0" applyBorder="0" applyAlignment="0" applyProtection="0"/>
    <xf numFmtId="0" fontId="62" fillId="0" borderId="0"/>
    <xf numFmtId="0" fontId="98" fillId="0" borderId="0" applyNumberFormat="0" applyFill="0" applyBorder="0" applyAlignment="0" applyProtection="0"/>
    <xf numFmtId="0" fontId="99" fillId="0" borderId="35" applyNumberFormat="0" applyFill="0" applyAlignment="0" applyProtection="0"/>
    <xf numFmtId="0" fontId="100" fillId="0" borderId="36" applyNumberFormat="0" applyFill="0" applyAlignment="0" applyProtection="0"/>
    <xf numFmtId="0" fontId="101" fillId="0" borderId="37" applyNumberFormat="0" applyFill="0" applyAlignment="0" applyProtection="0"/>
    <xf numFmtId="0" fontId="101" fillId="0" borderId="0" applyNumberFormat="0" applyFill="0" applyBorder="0" applyAlignment="0" applyProtection="0"/>
    <xf numFmtId="0" fontId="102" fillId="2" borderId="0" applyNumberFormat="0" applyBorder="0" applyAlignment="0" applyProtection="0"/>
    <xf numFmtId="0" fontId="103" fillId="17" borderId="0" applyNumberFormat="0" applyBorder="0" applyAlignment="0" applyProtection="0"/>
    <xf numFmtId="0" fontId="104" fillId="18" borderId="0" applyNumberFormat="0" applyBorder="0" applyAlignment="0" applyProtection="0"/>
    <xf numFmtId="0" fontId="105" fillId="19" borderId="38" applyNumberFormat="0" applyAlignment="0" applyProtection="0"/>
    <xf numFmtId="0" fontId="106" fillId="20" borderId="39" applyNumberFormat="0" applyAlignment="0" applyProtection="0"/>
    <xf numFmtId="0" fontId="107" fillId="20" borderId="38" applyNumberFormat="0" applyAlignment="0" applyProtection="0"/>
    <xf numFmtId="0" fontId="108" fillId="0" borderId="40" applyNumberFormat="0" applyFill="0" applyAlignment="0" applyProtection="0"/>
    <xf numFmtId="0" fontId="109" fillId="21" borderId="41" applyNumberFormat="0" applyAlignment="0" applyProtection="0"/>
    <xf numFmtId="0" fontId="55" fillId="0" borderId="0" applyNumberFormat="0" applyFill="0" applyBorder="0" applyAlignment="0" applyProtection="0"/>
    <xf numFmtId="0" fontId="110" fillId="0" borderId="0" applyNumberFormat="0" applyFill="0" applyBorder="0" applyAlignment="0" applyProtection="0"/>
    <xf numFmtId="0" fontId="79" fillId="0" borderId="43" applyNumberFormat="0" applyFill="0" applyAlignment="0" applyProtection="0"/>
    <xf numFmtId="0" fontId="111"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111" fillId="26" borderId="0" applyNumberFormat="0" applyBorder="0" applyAlignment="0" applyProtection="0"/>
    <xf numFmtId="0" fontId="111"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111" fillId="30" borderId="0" applyNumberFormat="0" applyBorder="0" applyAlignment="0" applyProtection="0"/>
    <xf numFmtId="0" fontId="111" fillId="31"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111" fillId="34" borderId="0" applyNumberFormat="0" applyBorder="0" applyAlignment="0" applyProtection="0"/>
    <xf numFmtId="0" fontId="111" fillId="35"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111" fillId="38" borderId="0" applyNumberFormat="0" applyBorder="0" applyAlignment="0" applyProtection="0"/>
    <xf numFmtId="0" fontId="111" fillId="39"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111" fillId="42" borderId="0" applyNumberFormat="0" applyBorder="0" applyAlignment="0" applyProtection="0"/>
    <xf numFmtId="0" fontId="111" fillId="43" borderId="0" applyNumberFormat="0" applyBorder="0" applyAlignment="0" applyProtection="0"/>
    <xf numFmtId="0" fontId="32" fillId="44" borderId="0" applyNumberFormat="0" applyBorder="0" applyAlignment="0" applyProtection="0"/>
    <xf numFmtId="0" fontId="32" fillId="45" borderId="0" applyNumberFormat="0" applyBorder="0" applyAlignment="0" applyProtection="0"/>
    <xf numFmtId="0" fontId="111" fillId="46" borderId="0" applyNumberFormat="0" applyBorder="0" applyAlignment="0" applyProtection="0"/>
    <xf numFmtId="0" fontId="32" fillId="0" borderId="0"/>
    <xf numFmtId="0" fontId="32" fillId="22" borderId="42" applyNumberFormat="0" applyFont="0" applyAlignment="0" applyProtection="0"/>
    <xf numFmtId="0" fontId="31" fillId="0" borderId="0"/>
    <xf numFmtId="43" fontId="31" fillId="0" borderId="0" applyFont="0" applyFill="0" applyBorder="0" applyAlignment="0" applyProtection="0"/>
    <xf numFmtId="43" fontId="96" fillId="0" borderId="0" applyFont="0" applyFill="0" applyBorder="0" applyAlignment="0" applyProtection="0"/>
    <xf numFmtId="0" fontId="30" fillId="0" borderId="0"/>
    <xf numFmtId="0" fontId="30" fillId="22" borderId="42" applyNumberFormat="0" applyFont="0" applyAlignment="0" applyProtection="0"/>
    <xf numFmtId="0" fontId="30" fillId="24" borderId="0" applyNumberFormat="0" applyBorder="0" applyAlignment="0" applyProtection="0"/>
    <xf numFmtId="0" fontId="30" fillId="25"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0" fillId="32" borderId="0" applyNumberFormat="0" applyBorder="0" applyAlignment="0" applyProtection="0"/>
    <xf numFmtId="0" fontId="30" fillId="33" borderId="0" applyNumberFormat="0" applyBorder="0" applyAlignment="0" applyProtection="0"/>
    <xf numFmtId="0" fontId="30" fillId="36" borderId="0" applyNumberFormat="0" applyBorder="0" applyAlignment="0" applyProtection="0"/>
    <xf numFmtId="0" fontId="30" fillId="37" borderId="0" applyNumberFormat="0" applyBorder="0" applyAlignment="0" applyProtection="0"/>
    <xf numFmtId="0" fontId="30" fillId="40" borderId="0" applyNumberFormat="0" applyBorder="0" applyAlignment="0" applyProtection="0"/>
    <xf numFmtId="0" fontId="30" fillId="41" borderId="0" applyNumberFormat="0" applyBorder="0" applyAlignment="0" applyProtection="0"/>
    <xf numFmtId="0" fontId="30" fillId="44" borderId="0" applyNumberFormat="0" applyBorder="0" applyAlignment="0" applyProtection="0"/>
    <xf numFmtId="0" fontId="30" fillId="45" borderId="0" applyNumberFormat="0" applyBorder="0" applyAlignment="0" applyProtection="0"/>
    <xf numFmtId="0" fontId="72" fillId="0" borderId="0" pivotButton="1"/>
    <xf numFmtId="43" fontId="72" fillId="0" borderId="0" applyFont="0" applyFill="0" applyBorder="0" applyAlignment="0" applyProtection="0"/>
    <xf numFmtId="0" fontId="96" fillId="0" borderId="0"/>
    <xf numFmtId="0" fontId="90" fillId="0" borderId="0"/>
    <xf numFmtId="0" fontId="63" fillId="0" borderId="0"/>
    <xf numFmtId="43" fontId="63" fillId="0" borderId="0" applyFont="0" applyFill="0" applyBorder="0" applyAlignment="0" applyProtection="0"/>
    <xf numFmtId="0" fontId="29" fillId="0" borderId="0"/>
    <xf numFmtId="0" fontId="63" fillId="0" borderId="0" applyBorder="0"/>
    <xf numFmtId="0" fontId="29" fillId="0" borderId="0"/>
    <xf numFmtId="0" fontId="112" fillId="0" borderId="0"/>
    <xf numFmtId="0" fontId="62" fillId="0" borderId="0"/>
    <xf numFmtId="9" fontId="62" fillId="0" borderId="0" applyFont="0" applyFill="0" applyBorder="0" applyAlignment="0" applyProtection="0"/>
    <xf numFmtId="0" fontId="28" fillId="0" borderId="0"/>
    <xf numFmtId="0" fontId="115" fillId="0" borderId="0" applyNumberFormat="0" applyFill="0" applyBorder="0" applyAlignment="0" applyProtection="0"/>
    <xf numFmtId="0" fontId="27" fillId="0" borderId="0"/>
    <xf numFmtId="0" fontId="26" fillId="0" borderId="0"/>
    <xf numFmtId="0" fontId="117" fillId="18" borderId="0" applyNumberFormat="0" applyBorder="0" applyAlignment="0" applyProtection="0"/>
    <xf numFmtId="0" fontId="26" fillId="22" borderId="42" applyNumberFormat="0" applyFont="0" applyAlignment="0" applyProtection="0"/>
    <xf numFmtId="0" fontId="26" fillId="24" borderId="0" applyNumberFormat="0" applyBorder="0" applyAlignment="0" applyProtection="0"/>
    <xf numFmtId="0" fontId="26" fillId="25" borderId="0" applyNumberFormat="0" applyBorder="0" applyAlignment="0" applyProtection="0"/>
    <xf numFmtId="0" fontId="26" fillId="26"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26" fillId="32" borderId="0" applyNumberFormat="0" applyBorder="0" applyAlignment="0" applyProtection="0"/>
    <xf numFmtId="0" fontId="26" fillId="33" borderId="0" applyNumberFormat="0" applyBorder="0" applyAlignment="0" applyProtection="0"/>
    <xf numFmtId="0" fontId="26" fillId="34" borderId="0" applyNumberFormat="0" applyBorder="0" applyAlignment="0" applyProtection="0"/>
    <xf numFmtId="0" fontId="26" fillId="36"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26" fillId="44" borderId="0" applyNumberFormat="0" applyBorder="0" applyAlignment="0" applyProtection="0"/>
    <xf numFmtId="0" fontId="26" fillId="45" borderId="0" applyNumberFormat="0" applyBorder="0" applyAlignment="0" applyProtection="0"/>
    <xf numFmtId="0" fontId="26" fillId="46" borderId="0" applyNumberFormat="0" applyBorder="0" applyAlignment="0" applyProtection="0"/>
    <xf numFmtId="0" fontId="25" fillId="0" borderId="0"/>
    <xf numFmtId="0" fontId="118" fillId="0" borderId="0" applyNumberFormat="0" applyFill="0" applyBorder="0" applyAlignment="0" applyProtection="0">
      <alignment vertical="top"/>
      <protection locked="0"/>
    </xf>
    <xf numFmtId="0" fontId="24" fillId="0" borderId="0"/>
    <xf numFmtId="0" fontId="24" fillId="0" borderId="0"/>
    <xf numFmtId="0" fontId="23" fillId="0" borderId="0"/>
    <xf numFmtId="43" fontId="23" fillId="0" borderId="0" applyFont="0" applyFill="0" applyBorder="0" applyAlignment="0" applyProtection="0"/>
    <xf numFmtId="0" fontId="22" fillId="0" borderId="0"/>
    <xf numFmtId="0" fontId="22" fillId="0" borderId="0"/>
    <xf numFmtId="0" fontId="119" fillId="0" borderId="0">
      <alignment horizontal="left" wrapText="1"/>
    </xf>
    <xf numFmtId="0" fontId="121" fillId="0" borderId="0">
      <alignment horizontal="right"/>
    </xf>
    <xf numFmtId="0" fontId="97" fillId="0" borderId="0">
      <alignment horizontal="left" wrapText="1"/>
    </xf>
    <xf numFmtId="0" fontId="122" fillId="0" borderId="0">
      <alignment vertical="top" wrapText="1"/>
    </xf>
    <xf numFmtId="0" fontId="116" fillId="0" borderId="0">
      <alignment horizontal="right" indent="1"/>
    </xf>
    <xf numFmtId="14" fontId="97" fillId="0" borderId="0" applyFont="0" applyFill="0" applyBorder="0" applyAlignment="0" applyProtection="0">
      <alignment horizontal="left"/>
    </xf>
    <xf numFmtId="172" fontId="97" fillId="0" borderId="0" applyFont="0" applyFill="0" applyBorder="0" applyProtection="0">
      <alignment horizontal="left" vertical="top" wrapText="1"/>
    </xf>
    <xf numFmtId="0" fontId="116" fillId="0" borderId="0">
      <alignment horizontal="left" vertical="top"/>
    </xf>
    <xf numFmtId="0" fontId="123" fillId="0" borderId="0">
      <alignment horizontal="right" indent="1"/>
    </xf>
    <xf numFmtId="0" fontId="97" fillId="0" borderId="0">
      <alignment horizontal="left" vertical="top" wrapText="1"/>
    </xf>
    <xf numFmtId="173" fontId="97" fillId="0" borderId="0" applyFont="0" applyFill="0" applyBorder="0" applyProtection="0">
      <alignment horizontal="right"/>
    </xf>
    <xf numFmtId="0" fontId="116" fillId="0" borderId="0">
      <alignment horizontal="center" wrapText="1"/>
    </xf>
    <xf numFmtId="0" fontId="21" fillId="0" borderId="0"/>
    <xf numFmtId="43" fontId="21" fillId="0" borderId="0" applyFont="0" applyFill="0" applyBorder="0" applyAlignment="0" applyProtection="0"/>
    <xf numFmtId="0" fontId="20" fillId="0" borderId="0"/>
    <xf numFmtId="0" fontId="117" fillId="18" borderId="0" applyNumberFormat="0" applyBorder="0" applyAlignment="0" applyProtection="0"/>
    <xf numFmtId="0" fontId="20" fillId="22" borderId="42" applyNumberFormat="0" applyFont="0" applyAlignment="0" applyProtection="0"/>
    <xf numFmtId="0" fontId="20"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20" fillId="32" borderId="0" applyNumberFormat="0" applyBorder="0" applyAlignment="0" applyProtection="0"/>
    <xf numFmtId="0" fontId="20" fillId="33" borderId="0" applyNumberFormat="0" applyBorder="0" applyAlignment="0" applyProtection="0"/>
    <xf numFmtId="0" fontId="20" fillId="34" borderId="0" applyNumberFormat="0" applyBorder="0" applyAlignment="0" applyProtection="0"/>
    <xf numFmtId="0" fontId="20" fillId="36" borderId="0" applyNumberFormat="0" applyBorder="0" applyAlignment="0" applyProtection="0"/>
    <xf numFmtId="0" fontId="20" fillId="37" borderId="0" applyNumberFormat="0" applyBorder="0" applyAlignment="0" applyProtection="0"/>
    <xf numFmtId="0" fontId="20" fillId="38"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4" borderId="0" applyNumberFormat="0" applyBorder="0" applyAlignment="0" applyProtection="0"/>
    <xf numFmtId="0" fontId="20" fillId="45" borderId="0" applyNumberFormat="0" applyBorder="0" applyAlignment="0" applyProtection="0"/>
    <xf numFmtId="0" fontId="20" fillId="46" borderId="0" applyNumberFormat="0" applyBorder="0" applyAlignment="0" applyProtection="0"/>
    <xf numFmtId="0" fontId="19" fillId="0" borderId="0"/>
    <xf numFmtId="0" fontId="19" fillId="0" borderId="0"/>
    <xf numFmtId="0" fontId="19" fillId="0" borderId="0"/>
    <xf numFmtId="174" fontId="62" fillId="0" borderId="0" applyFont="0" applyFill="0" applyBorder="0" applyAlignment="0" applyProtection="0"/>
    <xf numFmtId="0" fontId="18" fillId="0" borderId="0"/>
    <xf numFmtId="0" fontId="17" fillId="0" borderId="0"/>
    <xf numFmtId="0" fontId="16" fillId="0" borderId="0"/>
    <xf numFmtId="0" fontId="15" fillId="0" borderId="0"/>
    <xf numFmtId="0" fontId="14" fillId="0" borderId="0"/>
    <xf numFmtId="0" fontId="13" fillId="0" borderId="0"/>
    <xf numFmtId="43" fontId="13" fillId="0" borderId="0" applyFont="0" applyFill="0" applyBorder="0" applyAlignment="0" applyProtection="0"/>
    <xf numFmtId="0" fontId="12" fillId="0" borderId="0"/>
    <xf numFmtId="43" fontId="12" fillId="0" borderId="0" applyFont="0" applyFill="0" applyBorder="0" applyAlignment="0" applyProtection="0"/>
    <xf numFmtId="0" fontId="11" fillId="0" borderId="0"/>
    <xf numFmtId="0" fontId="11" fillId="22" borderId="42" applyNumberFormat="0" applyFont="0" applyAlignment="0" applyProtection="0"/>
    <xf numFmtId="0" fontId="11" fillId="24" borderId="0" applyNumberFormat="0" applyBorder="0" applyAlignment="0" applyProtection="0"/>
    <xf numFmtId="0" fontId="11" fillId="25" borderId="0" applyNumberFormat="0" applyBorder="0" applyAlignment="0" applyProtection="0"/>
    <xf numFmtId="0" fontId="11" fillId="26"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11" fillId="30" borderId="0" applyNumberFormat="0" applyBorder="0" applyAlignment="0" applyProtection="0"/>
    <xf numFmtId="0" fontId="11" fillId="32" borderId="0" applyNumberFormat="0" applyBorder="0" applyAlignment="0" applyProtection="0"/>
    <xf numFmtId="0" fontId="11" fillId="33" borderId="0" applyNumberFormat="0" applyBorder="0" applyAlignment="0" applyProtection="0"/>
    <xf numFmtId="0" fontId="11" fillId="34" borderId="0" applyNumberFormat="0" applyBorder="0" applyAlignment="0" applyProtection="0"/>
    <xf numFmtId="0" fontId="11" fillId="36" borderId="0" applyNumberFormat="0" applyBorder="0" applyAlignment="0" applyProtection="0"/>
    <xf numFmtId="0" fontId="11" fillId="37" borderId="0" applyNumberFormat="0" applyBorder="0" applyAlignment="0" applyProtection="0"/>
    <xf numFmtId="0" fontId="11" fillId="38" borderId="0" applyNumberFormat="0" applyBorder="0" applyAlignment="0" applyProtection="0"/>
    <xf numFmtId="0" fontId="11" fillId="40" borderId="0" applyNumberFormat="0" applyBorder="0" applyAlignment="0" applyProtection="0"/>
    <xf numFmtId="0" fontId="11" fillId="41" borderId="0" applyNumberFormat="0" applyBorder="0" applyAlignment="0" applyProtection="0"/>
    <xf numFmtId="0" fontId="11" fillId="42" borderId="0" applyNumberFormat="0" applyBorder="0" applyAlignment="0" applyProtection="0"/>
    <xf numFmtId="0" fontId="11" fillId="44" borderId="0" applyNumberFormat="0" applyBorder="0" applyAlignment="0" applyProtection="0"/>
    <xf numFmtId="0" fontId="11" fillId="45" borderId="0" applyNumberFormat="0" applyBorder="0" applyAlignment="0" applyProtection="0"/>
    <xf numFmtId="0" fontId="11" fillId="46" borderId="0" applyNumberFormat="0" applyBorder="0" applyAlignment="0" applyProtection="0"/>
    <xf numFmtId="0" fontId="130" fillId="0" borderId="0"/>
    <xf numFmtId="43" fontId="96" fillId="0" borderId="0" applyFont="0" applyFill="0" applyBorder="0" applyAlignment="0" applyProtection="0"/>
    <xf numFmtId="0" fontId="62" fillId="0" borderId="0"/>
    <xf numFmtId="43" fontId="62" fillId="0" borderId="0" applyFont="0" applyFill="0" applyBorder="0" applyAlignment="0" applyProtection="0"/>
    <xf numFmtId="0" fontId="10" fillId="0" borderId="0"/>
    <xf numFmtId="0" fontId="9" fillId="0" borderId="0"/>
    <xf numFmtId="0" fontId="8"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3" fontId="62" fillId="0" borderId="0" applyFont="0" applyFill="0" applyBorder="0" applyAlignment="0" applyProtection="0"/>
    <xf numFmtId="175" fontId="113" fillId="0" borderId="0" applyFont="0" applyFill="0" applyBorder="0" applyAlignment="0" applyProtection="0"/>
    <xf numFmtId="0" fontId="7" fillId="0" borderId="0"/>
    <xf numFmtId="0" fontId="130" fillId="0" borderId="0"/>
    <xf numFmtId="0" fontId="90" fillId="0" borderId="0"/>
    <xf numFmtId="43" fontId="90" fillId="0" borderId="0" applyFont="0" applyFill="0" applyBorder="0" applyAlignment="0" applyProtection="0"/>
    <xf numFmtId="0" fontId="3" fillId="0" borderId="0"/>
    <xf numFmtId="0" fontId="2" fillId="0" borderId="0"/>
    <xf numFmtId="0" fontId="2" fillId="22" borderId="42" applyNumberFormat="0" applyFont="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2"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1" fillId="0" borderId="0"/>
    <xf numFmtId="0" fontId="1" fillId="22" borderId="42" applyNumberFormat="0" applyFont="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cellStyleXfs>
  <cellXfs count="554">
    <xf numFmtId="0" fontId="0" fillId="0" borderId="0" xfId="0"/>
    <xf numFmtId="9" fontId="56" fillId="0" borderId="0" xfId="4" applyFont="1"/>
    <xf numFmtId="0" fontId="70" fillId="0" borderId="0" xfId="0" applyFont="1"/>
    <xf numFmtId="167" fontId="0" fillId="0" borderId="0" xfId="1" applyNumberFormat="1" applyFont="1"/>
    <xf numFmtId="0" fontId="75" fillId="0" borderId="0" xfId="0" applyFont="1"/>
    <xf numFmtId="0" fontId="78" fillId="0" borderId="0" xfId="0" applyFont="1"/>
    <xf numFmtId="167" fontId="0" fillId="0" borderId="0" xfId="0" applyNumberFormat="1"/>
    <xf numFmtId="0" fontId="56" fillId="0" borderId="0" xfId="43" applyFont="1"/>
    <xf numFmtId="0" fontId="56" fillId="0" borderId="0" xfId="43" applyFont="1" applyAlignment="1">
      <alignment wrapText="1"/>
    </xf>
    <xf numFmtId="0" fontId="61" fillId="0" borderId="0" xfId="43" applyFont="1"/>
    <xf numFmtId="0" fontId="59" fillId="0" borderId="0" xfId="43" applyFont="1"/>
    <xf numFmtId="0" fontId="61" fillId="0" borderId="1" xfId="43" applyFont="1" applyBorder="1" applyAlignment="1">
      <alignment horizontal="center" vertical="center"/>
    </xf>
    <xf numFmtId="0" fontId="61" fillId="0" borderId="2" xfId="43" applyFont="1" applyBorder="1" applyAlignment="1">
      <alignment horizontal="center" vertical="center" wrapText="1"/>
    </xf>
    <xf numFmtId="3" fontId="61" fillId="3" borderId="5" xfId="43" applyNumberFormat="1" applyFont="1" applyFill="1" applyBorder="1"/>
    <xf numFmtId="3" fontId="61" fillId="4" borderId="5" xfId="43" applyNumberFormat="1" applyFont="1" applyFill="1" applyBorder="1"/>
    <xf numFmtId="0" fontId="66" fillId="0" borderId="0" xfId="43" applyFont="1"/>
    <xf numFmtId="3" fontId="56" fillId="0" borderId="8" xfId="43" applyNumberFormat="1" applyFont="1" applyBorder="1"/>
    <xf numFmtId="3" fontId="61" fillId="4" borderId="8" xfId="43" applyNumberFormat="1" applyFont="1" applyFill="1" applyBorder="1"/>
    <xf numFmtId="3" fontId="56" fillId="6" borderId="8" xfId="43" applyNumberFormat="1" applyFont="1" applyFill="1" applyBorder="1"/>
    <xf numFmtId="3" fontId="67" fillId="8" borderId="8" xfId="43" applyNumberFormat="1" applyFont="1" applyFill="1" applyBorder="1"/>
    <xf numFmtId="0" fontId="67" fillId="0" borderId="0" xfId="43" applyFont="1"/>
    <xf numFmtId="0" fontId="58" fillId="0" borderId="0" xfId="43" applyFont="1"/>
    <xf numFmtId="3" fontId="56" fillId="3" borderId="8" xfId="43" applyNumberFormat="1" applyFont="1" applyFill="1" applyBorder="1"/>
    <xf numFmtId="0" fontId="57" fillId="0" borderId="0" xfId="43" applyFont="1"/>
    <xf numFmtId="0" fontId="61" fillId="0" borderId="10" xfId="43" applyFont="1" applyBorder="1"/>
    <xf numFmtId="0" fontId="61" fillId="0" borderId="11" xfId="43" applyFont="1" applyBorder="1" applyAlignment="1">
      <alignment horizontal="right" wrapText="1"/>
    </xf>
    <xf numFmtId="49" fontId="56" fillId="0" borderId="7" xfId="43" applyNumberFormat="1" applyFont="1" applyBorder="1" applyAlignment="1">
      <alignment horizontal="left" wrapText="1" indent="4"/>
    </xf>
    <xf numFmtId="3" fontId="61" fillId="4" borderId="14" xfId="43" applyNumberFormat="1" applyFont="1" applyFill="1" applyBorder="1"/>
    <xf numFmtId="3" fontId="61" fillId="3" borderId="8" xfId="43" applyNumberFormat="1" applyFont="1" applyFill="1" applyBorder="1"/>
    <xf numFmtId="49" fontId="56" fillId="0" borderId="6" xfId="43" applyNumberFormat="1" applyFont="1" applyBorder="1" applyAlignment="1">
      <alignment horizontal="left" indent="2"/>
    </xf>
    <xf numFmtId="0" fontId="56" fillId="0" borderId="0" xfId="43" applyFont="1" applyAlignment="1">
      <alignment horizontal="right"/>
    </xf>
    <xf numFmtId="0" fontId="56" fillId="6" borderId="0" xfId="43" applyFont="1" applyFill="1"/>
    <xf numFmtId="49" fontId="61" fillId="0" borderId="10" xfId="43" applyNumberFormat="1" applyFont="1" applyBorder="1"/>
    <xf numFmtId="3" fontId="61" fillId="0" borderId="15" xfId="43" applyNumberFormat="1" applyFont="1" applyBorder="1"/>
    <xf numFmtId="3" fontId="61" fillId="0" borderId="16" xfId="43" applyNumberFormat="1" applyFont="1" applyBorder="1"/>
    <xf numFmtId="49" fontId="61" fillId="4" borderId="17" xfId="43" applyNumberFormat="1" applyFont="1" applyFill="1" applyBorder="1" applyAlignment="1">
      <alignment horizontal="center"/>
    </xf>
    <xf numFmtId="3" fontId="61" fillId="4" borderId="19" xfId="43" applyNumberFormat="1" applyFont="1" applyFill="1" applyBorder="1"/>
    <xf numFmtId="3" fontId="61" fillId="0" borderId="0" xfId="43" applyNumberFormat="1" applyFont="1"/>
    <xf numFmtId="0" fontId="66" fillId="5" borderId="0" xfId="43" applyFont="1" applyFill="1"/>
    <xf numFmtId="3" fontId="56" fillId="5" borderId="8" xfId="43" applyNumberFormat="1" applyFont="1" applyFill="1" applyBorder="1"/>
    <xf numFmtId="9" fontId="0" fillId="0" borderId="0" xfId="2" applyFont="1"/>
    <xf numFmtId="0" fontId="0" fillId="0" borderId="0" xfId="0" applyAlignment="1">
      <alignment horizontal="right"/>
    </xf>
    <xf numFmtId="167" fontId="56" fillId="3" borderId="8" xfId="1" applyNumberFormat="1" applyFont="1" applyFill="1" applyBorder="1"/>
    <xf numFmtId="167" fontId="56" fillId="5" borderId="8" xfId="1" applyNumberFormat="1" applyFont="1" applyFill="1" applyBorder="1"/>
    <xf numFmtId="3" fontId="0" fillId="0" borderId="0" xfId="0" applyNumberFormat="1"/>
    <xf numFmtId="3" fontId="56" fillId="0" borderId="0" xfId="43" applyNumberFormat="1" applyFont="1"/>
    <xf numFmtId="3" fontId="61" fillId="0" borderId="3" xfId="43" applyNumberFormat="1" applyFont="1" applyBorder="1"/>
    <xf numFmtId="3" fontId="61" fillId="0" borderId="12" xfId="43" applyNumberFormat="1" applyFont="1" applyBorder="1"/>
    <xf numFmtId="3" fontId="56" fillId="0" borderId="32" xfId="43" applyNumberFormat="1" applyFont="1" applyBorder="1"/>
    <xf numFmtId="167" fontId="61" fillId="0" borderId="0" xfId="5" applyNumberFormat="1" applyFont="1"/>
    <xf numFmtId="0" fontId="61" fillId="0" borderId="3" xfId="7" applyFont="1" applyBorder="1" applyAlignment="1">
      <alignment horizontal="center" vertical="center" wrapText="1"/>
    </xf>
    <xf numFmtId="3" fontId="56" fillId="7" borderId="8" xfId="43" applyNumberFormat="1" applyFont="1" applyFill="1" applyBorder="1"/>
    <xf numFmtId="10" fontId="56" fillId="0" borderId="0" xfId="9" applyNumberFormat="1" applyFont="1"/>
    <xf numFmtId="0" fontId="36" fillId="0" borderId="0" xfId="43" applyFont="1"/>
    <xf numFmtId="0" fontId="33" fillId="0" borderId="0" xfId="43" applyFont="1"/>
    <xf numFmtId="3" fontId="56" fillId="10" borderId="8" xfId="43" applyNumberFormat="1" applyFont="1" applyFill="1" applyBorder="1"/>
    <xf numFmtId="3" fontId="56" fillId="5" borderId="48" xfId="43" applyNumberFormat="1" applyFont="1" applyFill="1" applyBorder="1"/>
    <xf numFmtId="3" fontId="56" fillId="0" borderId="48" xfId="43" applyNumberFormat="1" applyFont="1" applyBorder="1"/>
    <xf numFmtId="167" fontId="61" fillId="3" borderId="5" xfId="1" applyNumberFormat="1" applyFont="1" applyFill="1" applyBorder="1"/>
    <xf numFmtId="0" fontId="50" fillId="0" borderId="0" xfId="43"/>
    <xf numFmtId="0" fontId="61" fillId="0" borderId="22" xfId="43" applyFont="1" applyBorder="1"/>
    <xf numFmtId="0" fontId="91" fillId="0" borderId="0" xfId="83" applyFont="1"/>
    <xf numFmtId="0" fontId="56" fillId="0" borderId="0" xfId="43" quotePrefix="1" applyFont="1"/>
    <xf numFmtId="0" fontId="59" fillId="0" borderId="0" xfId="43" quotePrefix="1" applyFont="1"/>
    <xf numFmtId="0" fontId="66" fillId="0" borderId="0" xfId="43" quotePrefix="1" applyFont="1"/>
    <xf numFmtId="3" fontId="56" fillId="3" borderId="32" xfId="43" applyNumberFormat="1" applyFont="1" applyFill="1" applyBorder="1"/>
    <xf numFmtId="0" fontId="56" fillId="6" borderId="0" xfId="43" quotePrefix="1" applyFont="1" applyFill="1"/>
    <xf numFmtId="0" fontId="61" fillId="3" borderId="50" xfId="43" applyFont="1" applyFill="1" applyBorder="1"/>
    <xf numFmtId="0" fontId="61" fillId="3" borderId="54" xfId="43" applyFont="1" applyFill="1" applyBorder="1" applyAlignment="1">
      <alignment wrapText="1"/>
    </xf>
    <xf numFmtId="0" fontId="61" fillId="4" borderId="50" xfId="43" quotePrefix="1" applyFont="1" applyFill="1" applyBorder="1"/>
    <xf numFmtId="0" fontId="61" fillId="4" borderId="54" xfId="43" applyFont="1" applyFill="1" applyBorder="1" applyAlignment="1">
      <alignment wrapText="1"/>
    </xf>
    <xf numFmtId="0" fontId="56" fillId="0" borderId="58" xfId="43" applyFont="1" applyBorder="1" applyAlignment="1">
      <alignment horizontal="left" indent="1"/>
    </xf>
    <xf numFmtId="0" fontId="56" fillId="0" borderId="52" xfId="43" applyFont="1" applyBorder="1" applyAlignment="1">
      <alignment horizontal="left" wrapText="1" indent="2"/>
    </xf>
    <xf numFmtId="0" fontId="61" fillId="4" borderId="58" xfId="43" applyFont="1" applyFill="1" applyBorder="1"/>
    <xf numFmtId="0" fontId="61" fillId="4" borderId="52" xfId="43" applyFont="1" applyFill="1" applyBorder="1" applyAlignment="1">
      <alignment wrapText="1"/>
    </xf>
    <xf numFmtId="0" fontId="67" fillId="0" borderId="58" xfId="43" applyFont="1" applyBorder="1" applyAlignment="1">
      <alignment horizontal="left" indent="2"/>
    </xf>
    <xf numFmtId="0" fontId="67" fillId="0" borderId="52" xfId="43" applyFont="1" applyBorder="1" applyAlignment="1">
      <alignment horizontal="left" wrapText="1" indent="3"/>
    </xf>
    <xf numFmtId="0" fontId="61" fillId="4" borderId="58" xfId="43" quotePrefix="1" applyFont="1" applyFill="1" applyBorder="1"/>
    <xf numFmtId="0" fontId="56" fillId="3" borderId="58" xfId="43" applyFont="1" applyFill="1" applyBorder="1" applyAlignment="1">
      <alignment horizontal="left" indent="1"/>
    </xf>
    <xf numFmtId="0" fontId="56" fillId="6" borderId="58" xfId="43" applyFont="1" applyFill="1" applyBorder="1" applyAlignment="1">
      <alignment horizontal="left" indent="2"/>
    </xf>
    <xf numFmtId="0" fontId="56" fillId="6" borderId="52" xfId="43" applyFont="1" applyFill="1" applyBorder="1" applyAlignment="1">
      <alignment horizontal="left" wrapText="1" indent="3"/>
    </xf>
    <xf numFmtId="0" fontId="61" fillId="0" borderId="49" xfId="43" quotePrefix="1" applyFont="1" applyBorder="1"/>
    <xf numFmtId="49" fontId="61" fillId="4" borderId="44" xfId="43" applyNumberFormat="1" applyFont="1" applyFill="1" applyBorder="1" applyAlignment="1">
      <alignment horizontal="left" indent="2"/>
    </xf>
    <xf numFmtId="49" fontId="56" fillId="3" borderId="58" xfId="43" applyNumberFormat="1" applyFont="1" applyFill="1" applyBorder="1" applyAlignment="1">
      <alignment horizontal="left" indent="1"/>
    </xf>
    <xf numFmtId="49" fontId="61" fillId="4" borderId="58" xfId="43" applyNumberFormat="1" applyFont="1" applyFill="1" applyBorder="1"/>
    <xf numFmtId="49" fontId="56" fillId="0" borderId="58" xfId="43" applyNumberFormat="1" applyFont="1" applyBorder="1" applyAlignment="1">
      <alignment horizontal="left" indent="2"/>
    </xf>
    <xf numFmtId="0" fontId="66" fillId="5" borderId="52" xfId="43" applyFont="1" applyFill="1" applyBorder="1" applyAlignment="1">
      <alignment horizontal="left" indent="2"/>
    </xf>
    <xf numFmtId="0" fontId="66" fillId="0" borderId="52" xfId="43" applyFont="1" applyBorder="1" applyAlignment="1">
      <alignment horizontal="left" indent="2"/>
    </xf>
    <xf numFmtId="49" fontId="61" fillId="3" borderId="58" xfId="43" applyNumberFormat="1" applyFont="1" applyFill="1" applyBorder="1" applyAlignment="1">
      <alignment horizontal="left" indent="1"/>
    </xf>
    <xf numFmtId="49" fontId="56" fillId="6" borderId="58" xfId="43" applyNumberFormat="1" applyFont="1" applyFill="1" applyBorder="1" applyAlignment="1">
      <alignment horizontal="left" indent="2"/>
    </xf>
    <xf numFmtId="49" fontId="56" fillId="0" borderId="58" xfId="43" applyNumberFormat="1" applyFont="1" applyBorder="1" applyAlignment="1">
      <alignment horizontal="left" indent="3"/>
    </xf>
    <xf numFmtId="49" fontId="86" fillId="3" borderId="58" xfId="43" applyNumberFormat="1" applyFont="1" applyFill="1" applyBorder="1" applyAlignment="1">
      <alignment horizontal="left" indent="1"/>
    </xf>
    <xf numFmtId="0" fontId="65" fillId="0" borderId="0" xfId="43" applyFont="1"/>
    <xf numFmtId="49" fontId="61" fillId="0" borderId="58" xfId="43" applyNumberFormat="1" applyFont="1" applyBorder="1" applyAlignment="1">
      <alignment horizontal="left" indent="2"/>
    </xf>
    <xf numFmtId="2" fontId="0" fillId="0" borderId="0" xfId="0" applyNumberFormat="1"/>
    <xf numFmtId="3" fontId="56" fillId="5" borderId="62" xfId="43" applyNumberFormat="1" applyFont="1" applyFill="1" applyBorder="1"/>
    <xf numFmtId="3" fontId="56" fillId="0" borderId="62" xfId="43" applyNumberFormat="1" applyFont="1" applyBorder="1"/>
    <xf numFmtId="3" fontId="56" fillId="3" borderId="62" xfId="43" applyNumberFormat="1" applyFont="1" applyFill="1" applyBorder="1"/>
    <xf numFmtId="167" fontId="70" fillId="0" borderId="0" xfId="0" applyNumberFormat="1" applyFont="1"/>
    <xf numFmtId="167" fontId="58" fillId="0" borderId="0" xfId="1" applyNumberFormat="1" applyFont="1"/>
    <xf numFmtId="0" fontId="115" fillId="0" borderId="0" xfId="173"/>
    <xf numFmtId="167" fontId="56" fillId="0" borderId="0" xfId="1" applyNumberFormat="1" applyFont="1"/>
    <xf numFmtId="0" fontId="67" fillId="0" borderId="63" xfId="43" applyFont="1" applyBorder="1" applyAlignment="1">
      <alignment horizontal="left" indent="2"/>
    </xf>
    <xf numFmtId="168" fontId="0" fillId="0" borderId="0" xfId="2" applyNumberFormat="1" applyFont="1"/>
    <xf numFmtId="167" fontId="0" fillId="0" borderId="0" xfId="1" applyNumberFormat="1" applyFont="1" applyBorder="1"/>
    <xf numFmtId="167" fontId="0" fillId="0" borderId="0" xfId="1" applyNumberFormat="1" applyFont="1" applyFill="1"/>
    <xf numFmtId="0" fontId="56" fillId="0" borderId="70" xfId="43" applyFont="1" applyBorder="1" applyAlignment="1">
      <alignment horizontal="left" wrapText="1" indent="2"/>
    </xf>
    <xf numFmtId="49" fontId="56" fillId="3" borderId="63" xfId="43" applyNumberFormat="1" applyFont="1" applyFill="1" applyBorder="1" applyAlignment="1">
      <alignment horizontal="left" indent="1"/>
    </xf>
    <xf numFmtId="3" fontId="61" fillId="3" borderId="59" xfId="43" applyNumberFormat="1" applyFont="1" applyFill="1" applyBorder="1"/>
    <xf numFmtId="3" fontId="61" fillId="0" borderId="8" xfId="43" applyNumberFormat="1" applyFont="1" applyBorder="1"/>
    <xf numFmtId="49" fontId="56" fillId="13" borderId="58" xfId="43" applyNumberFormat="1" applyFont="1" applyFill="1" applyBorder="1" applyAlignment="1">
      <alignment horizontal="left" indent="2"/>
    </xf>
    <xf numFmtId="49" fontId="56" fillId="13" borderId="63" xfId="43" applyNumberFormat="1" applyFont="1" applyFill="1" applyBorder="1" applyAlignment="1">
      <alignment horizontal="left" indent="2"/>
    </xf>
    <xf numFmtId="49" fontId="56" fillId="13" borderId="58" xfId="43" applyNumberFormat="1" applyFont="1" applyFill="1" applyBorder="1" applyAlignment="1">
      <alignment horizontal="left" indent="1"/>
    </xf>
    <xf numFmtId="0" fontId="66" fillId="13" borderId="52" xfId="43" applyFont="1" applyFill="1" applyBorder="1" applyAlignment="1">
      <alignment horizontal="left" indent="2"/>
    </xf>
    <xf numFmtId="0" fontId="56" fillId="6" borderId="63" xfId="43" applyFont="1" applyFill="1" applyBorder="1" applyAlignment="1">
      <alignment horizontal="left" indent="2"/>
    </xf>
    <xf numFmtId="3" fontId="56" fillId="0" borderId="59" xfId="43" applyNumberFormat="1" applyFont="1" applyBorder="1"/>
    <xf numFmtId="0" fontId="56" fillId="6" borderId="70" xfId="43" applyFont="1" applyFill="1" applyBorder="1" applyAlignment="1">
      <alignment horizontal="left" wrapText="1" indent="3"/>
    </xf>
    <xf numFmtId="167" fontId="0" fillId="0" borderId="71" xfId="1" applyNumberFormat="1" applyFont="1" applyBorder="1"/>
    <xf numFmtId="49" fontId="56" fillId="0" borderId="63" xfId="43" applyNumberFormat="1" applyFont="1" applyBorder="1" applyAlignment="1">
      <alignment horizontal="left" indent="2"/>
    </xf>
    <xf numFmtId="167" fontId="61" fillId="0" borderId="0" xfId="1" applyNumberFormat="1" applyFont="1"/>
    <xf numFmtId="0" fontId="56" fillId="6" borderId="73" xfId="43" applyFont="1" applyFill="1" applyBorder="1" applyAlignment="1">
      <alignment horizontal="left" indent="2"/>
    </xf>
    <xf numFmtId="49" fontId="68" fillId="0" borderId="63" xfId="43" applyNumberFormat="1" applyFont="1" applyBorder="1" applyAlignment="1">
      <alignment horizontal="left" indent="3"/>
    </xf>
    <xf numFmtId="0" fontId="67" fillId="0" borderId="74" xfId="43" applyFont="1" applyBorder="1" applyAlignment="1">
      <alignment horizontal="left" indent="2"/>
    </xf>
    <xf numFmtId="3" fontId="56" fillId="0" borderId="75" xfId="43" applyNumberFormat="1" applyFont="1" applyBorder="1"/>
    <xf numFmtId="0" fontId="56" fillId="6" borderId="74" xfId="43" applyFont="1" applyFill="1" applyBorder="1" applyAlignment="1">
      <alignment horizontal="left" indent="2"/>
    </xf>
    <xf numFmtId="3" fontId="56" fillId="0" borderId="72" xfId="43" applyNumberFormat="1" applyFont="1" applyBorder="1"/>
    <xf numFmtId="167" fontId="56" fillId="0" borderId="0" xfId="1" applyNumberFormat="1" applyFont="1" applyAlignment="1">
      <alignment wrapText="1"/>
    </xf>
    <xf numFmtId="0" fontId="125" fillId="5" borderId="0" xfId="0" applyFont="1" applyFill="1"/>
    <xf numFmtId="0" fontId="84" fillId="5" borderId="0" xfId="0" applyFont="1" applyFill="1"/>
    <xf numFmtId="0" fontId="84" fillId="50" borderId="0" xfId="0" applyFont="1" applyFill="1"/>
    <xf numFmtId="0" fontId="125" fillId="50" borderId="23" xfId="0" applyFont="1" applyFill="1" applyBorder="1"/>
    <xf numFmtId="0" fontId="125" fillId="51" borderId="23" xfId="0" applyFont="1" applyFill="1" applyBorder="1"/>
    <xf numFmtId="0" fontId="125" fillId="5" borderId="71" xfId="0" applyFont="1" applyFill="1" applyBorder="1"/>
    <xf numFmtId="0" fontId="125" fillId="5" borderId="71" xfId="0" applyFont="1" applyFill="1" applyBorder="1" applyAlignment="1">
      <alignment horizontal="center" wrapText="1"/>
    </xf>
    <xf numFmtId="3" fontId="125" fillId="5" borderId="0" xfId="0" applyNumberFormat="1" applyFont="1" applyFill="1"/>
    <xf numFmtId="9" fontId="125" fillId="5" borderId="0" xfId="2" applyFont="1" applyFill="1"/>
    <xf numFmtId="3" fontId="84" fillId="5" borderId="0" xfId="0" applyNumberFormat="1" applyFont="1" applyFill="1"/>
    <xf numFmtId="9" fontId="84" fillId="5" borderId="0" xfId="2" applyFont="1" applyFill="1"/>
    <xf numFmtId="0" fontId="84" fillId="14" borderId="0" xfId="0" applyFont="1" applyFill="1" applyAlignment="1">
      <alignment horizontal="left" indent="2"/>
    </xf>
    <xf numFmtId="3" fontId="84" fillId="14" borderId="0" xfId="0" applyNumberFormat="1" applyFont="1" applyFill="1"/>
    <xf numFmtId="9" fontId="84" fillId="14" borderId="0" xfId="2" applyFont="1" applyFill="1"/>
    <xf numFmtId="0" fontId="63" fillId="5" borderId="0" xfId="0" applyFont="1" applyFill="1"/>
    <xf numFmtId="0" fontId="63" fillId="14" borderId="0" xfId="0" applyFont="1" applyFill="1" applyAlignment="1">
      <alignment horizontal="left" indent="2"/>
    </xf>
    <xf numFmtId="0" fontId="84" fillId="5" borderId="0" xfId="0" applyFont="1" applyFill="1" applyAlignment="1">
      <alignment horizontal="left" indent="1"/>
    </xf>
    <xf numFmtId="0" fontId="82" fillId="5" borderId="0" xfId="0" applyFont="1" applyFill="1"/>
    <xf numFmtId="3" fontId="125" fillId="5" borderId="0" xfId="0" applyNumberFormat="1" applyFont="1" applyFill="1" applyAlignment="1">
      <alignment wrapText="1"/>
    </xf>
    <xf numFmtId="168" fontId="84" fillId="5" borderId="0" xfId="2" applyNumberFormat="1" applyFont="1" applyFill="1"/>
    <xf numFmtId="9" fontId="84" fillId="5" borderId="0" xfId="2" applyFont="1" applyFill="1" applyBorder="1"/>
    <xf numFmtId="0" fontId="84" fillId="14" borderId="0" xfId="0" applyFont="1" applyFill="1"/>
    <xf numFmtId="3" fontId="84" fillId="14" borderId="0" xfId="0" applyNumberFormat="1" applyFont="1" applyFill="1" applyAlignment="1">
      <alignment horizontal="left" indent="2"/>
    </xf>
    <xf numFmtId="9" fontId="84" fillId="14" borderId="0" xfId="2" applyFont="1" applyFill="1" applyAlignment="1">
      <alignment horizontal="left" indent="2"/>
    </xf>
    <xf numFmtId="167" fontId="84" fillId="5" borderId="0" xfId="1" applyNumberFormat="1" applyFont="1" applyFill="1"/>
    <xf numFmtId="0" fontId="127" fillId="48" borderId="0" xfId="0" applyFont="1" applyFill="1"/>
    <xf numFmtId="0" fontId="127" fillId="48" borderId="0" xfId="0" applyFont="1" applyFill="1" applyAlignment="1">
      <alignment horizontal="left"/>
    </xf>
    <xf numFmtId="3" fontId="74" fillId="0" borderId="0" xfId="3" applyNumberFormat="1" applyFont="1"/>
    <xf numFmtId="0" fontId="127" fillId="48" borderId="0" xfId="0" applyFont="1" applyFill="1" applyAlignment="1">
      <alignment horizontal="left" wrapText="1"/>
    </xf>
    <xf numFmtId="167" fontId="74" fillId="0" borderId="0" xfId="1" applyNumberFormat="1" applyFont="1" applyFill="1" applyBorder="1"/>
    <xf numFmtId="0" fontId="94" fillId="0" borderId="0" xfId="218" applyFont="1" applyAlignment="1">
      <alignment horizontal="left" wrapText="1"/>
    </xf>
    <xf numFmtId="0" fontId="75" fillId="0" borderId="0" xfId="218" applyFont="1" applyAlignment="1">
      <alignment horizontal="left" wrapText="1"/>
    </xf>
    <xf numFmtId="167" fontId="0" fillId="0" borderId="71" xfId="0" applyNumberFormat="1" applyBorder="1"/>
    <xf numFmtId="168" fontId="0" fillId="0" borderId="71" xfId="2" applyNumberFormat="1" applyFont="1" applyBorder="1"/>
    <xf numFmtId="0" fontId="70" fillId="0" borderId="71" xfId="0" applyFont="1" applyBorder="1"/>
    <xf numFmtId="0" fontId="70" fillId="16" borderId="0" xfId="0" applyFont="1" applyFill="1"/>
    <xf numFmtId="0" fontId="0" fillId="16" borderId="0" xfId="0" applyFill="1"/>
    <xf numFmtId="167" fontId="0" fillId="16" borderId="0" xfId="0" applyNumberFormat="1" applyFill="1"/>
    <xf numFmtId="168" fontId="0" fillId="16" borderId="0" xfId="2" applyNumberFormat="1" applyFont="1" applyFill="1"/>
    <xf numFmtId="167" fontId="0" fillId="16" borderId="0" xfId="1" applyNumberFormat="1" applyFont="1" applyFill="1" applyBorder="1"/>
    <xf numFmtId="0" fontId="83" fillId="0" borderId="0" xfId="218" applyFont="1" applyAlignment="1">
      <alignment horizontal="left" wrapText="1"/>
    </xf>
    <xf numFmtId="3" fontId="78" fillId="0" borderId="0" xfId="0" applyNumberFormat="1" applyFont="1"/>
    <xf numFmtId="167" fontId="70" fillId="0" borderId="0" xfId="1" applyNumberFormat="1" applyFont="1"/>
    <xf numFmtId="167" fontId="62" fillId="0" borderId="0" xfId="1" applyNumberFormat="1" applyFont="1"/>
    <xf numFmtId="10" fontId="0" fillId="0" borderId="0" xfId="0" applyNumberFormat="1"/>
    <xf numFmtId="0" fontId="114" fillId="0" borderId="0" xfId="0" applyFont="1" applyAlignment="1">
      <alignment horizontal="right"/>
    </xf>
    <xf numFmtId="0" fontId="56" fillId="6" borderId="52" xfId="43" applyFont="1" applyFill="1" applyBorder="1" applyAlignment="1">
      <alignment horizontal="left" wrapText="1" indent="2"/>
    </xf>
    <xf numFmtId="49" fontId="56" fillId="0" borderId="52" xfId="43" applyNumberFormat="1" applyFont="1" applyBorder="1" applyAlignment="1">
      <alignment horizontal="left" wrapText="1" indent="4"/>
    </xf>
    <xf numFmtId="0" fontId="56" fillId="3" borderId="52" xfId="43" applyFont="1" applyFill="1" applyBorder="1" applyAlignment="1">
      <alignment horizontal="left" wrapText="1" indent="2"/>
    </xf>
    <xf numFmtId="49" fontId="56" fillId="0" borderId="52" xfId="43" applyNumberFormat="1" applyFont="1" applyBorder="1" applyAlignment="1">
      <alignment horizontal="left" wrapText="1" indent="2"/>
    </xf>
    <xf numFmtId="0" fontId="56" fillId="5" borderId="53" xfId="43" applyFont="1" applyFill="1" applyBorder="1" applyAlignment="1">
      <alignment horizontal="left" indent="3"/>
    </xf>
    <xf numFmtId="49" fontId="56" fillId="3" borderId="52" xfId="43" applyNumberFormat="1" applyFont="1" applyFill="1" applyBorder="1" applyAlignment="1">
      <alignment horizontal="left" wrapText="1" indent="2"/>
    </xf>
    <xf numFmtId="0" fontId="56" fillId="47" borderId="52" xfId="43" applyFont="1" applyFill="1" applyBorder="1" applyAlignment="1">
      <alignment horizontal="left" wrapText="1" indent="2"/>
    </xf>
    <xf numFmtId="49" fontId="56" fillId="3" borderId="61" xfId="43" applyNumberFormat="1" applyFont="1" applyFill="1" applyBorder="1" applyAlignment="1">
      <alignment horizontal="left" wrapText="1" indent="2"/>
    </xf>
    <xf numFmtId="0" fontId="56" fillId="0" borderId="67" xfId="43" applyFont="1" applyBorder="1" applyAlignment="1">
      <alignment horizontal="left" wrapText="1" indent="2"/>
    </xf>
    <xf numFmtId="49" fontId="56" fillId="3" borderId="70" xfId="43" applyNumberFormat="1" applyFont="1" applyFill="1" applyBorder="1" applyAlignment="1">
      <alignment horizontal="left" wrapText="1" indent="2"/>
    </xf>
    <xf numFmtId="49" fontId="56" fillId="3" borderId="67" xfId="43" applyNumberFormat="1" applyFont="1" applyFill="1" applyBorder="1" applyAlignment="1">
      <alignment horizontal="left" wrapText="1" indent="2"/>
    </xf>
    <xf numFmtId="3" fontId="68" fillId="0" borderId="48" xfId="43" applyNumberFormat="1" applyFont="1" applyBorder="1"/>
    <xf numFmtId="0" fontId="56" fillId="5" borderId="55" xfId="43" applyFont="1" applyFill="1" applyBorder="1" applyAlignment="1">
      <alignment horizontal="left" indent="3"/>
    </xf>
    <xf numFmtId="0" fontId="56" fillId="0" borderId="53" xfId="43" applyFont="1" applyBorder="1" applyAlignment="1">
      <alignment horizontal="left" indent="3"/>
    </xf>
    <xf numFmtId="49" fontId="61" fillId="4" borderId="52" xfId="43" applyNumberFormat="1" applyFont="1" applyFill="1" applyBorder="1" applyAlignment="1">
      <alignment wrapText="1"/>
    </xf>
    <xf numFmtId="0" fontId="56" fillId="5" borderId="52" xfId="43" applyFont="1" applyFill="1" applyBorder="1" applyAlignment="1">
      <alignment horizontal="left" wrapText="1" indent="3"/>
    </xf>
    <xf numFmtId="0" fontId="56" fillId="0" borderId="52" xfId="43" applyFont="1" applyBorder="1" applyAlignment="1">
      <alignment horizontal="left" wrapText="1" indent="3"/>
    </xf>
    <xf numFmtId="0" fontId="56" fillId="5" borderId="81" xfId="43" applyFont="1" applyFill="1" applyBorder="1" applyAlignment="1">
      <alignment horizontal="left" wrapText="1" indent="3"/>
    </xf>
    <xf numFmtId="0" fontId="56" fillId="0" borderId="81" xfId="43" applyFont="1" applyBorder="1" applyAlignment="1">
      <alignment horizontal="left" wrapText="1" indent="3"/>
    </xf>
    <xf numFmtId="49" fontId="61" fillId="3" borderId="52" xfId="43" applyNumberFormat="1" applyFont="1" applyFill="1" applyBorder="1" applyAlignment="1">
      <alignment horizontal="left" wrapText="1" indent="2"/>
    </xf>
    <xf numFmtId="49" fontId="56" fillId="0" borderId="69" xfId="43" applyNumberFormat="1" applyFont="1" applyBorder="1" applyAlignment="1">
      <alignment horizontal="left" wrapText="1" indent="4"/>
    </xf>
    <xf numFmtId="49" fontId="56" fillId="0" borderId="70" xfId="43" applyNumberFormat="1" applyFont="1" applyBorder="1" applyAlignment="1">
      <alignment horizontal="left" wrapText="1" indent="4"/>
    </xf>
    <xf numFmtId="0" fontId="56" fillId="5" borderId="70" xfId="43" applyFont="1" applyFill="1" applyBorder="1" applyAlignment="1">
      <alignment horizontal="left" wrapText="1" indent="3"/>
    </xf>
    <xf numFmtId="49" fontId="56" fillId="0" borderId="81" xfId="43" applyNumberFormat="1" applyFont="1" applyBorder="1" applyAlignment="1">
      <alignment horizontal="left" wrapText="1" indent="4"/>
    </xf>
    <xf numFmtId="0" fontId="56" fillId="0" borderId="61" xfId="43" applyFont="1" applyBorder="1" applyAlignment="1">
      <alignment horizontal="left" wrapText="1" indent="2"/>
    </xf>
    <xf numFmtId="49" fontId="56" fillId="0" borderId="67" xfId="43" applyNumberFormat="1" applyFont="1" applyBorder="1" applyAlignment="1">
      <alignment horizontal="left" wrapText="1" indent="4"/>
    </xf>
    <xf numFmtId="0" fontId="56" fillId="5" borderId="52" xfId="43" applyFont="1" applyFill="1" applyBorder="1" applyAlignment="1">
      <alignment horizontal="left" indent="2"/>
    </xf>
    <xf numFmtId="0" fontId="68" fillId="5" borderId="70" xfId="43" applyFont="1" applyFill="1" applyBorder="1" applyAlignment="1">
      <alignment horizontal="left" wrapText="1" indent="6"/>
    </xf>
    <xf numFmtId="0" fontId="68" fillId="0" borderId="0" xfId="43" applyFont="1"/>
    <xf numFmtId="49" fontId="61" fillId="4" borderId="45" xfId="43" applyNumberFormat="1" applyFont="1" applyFill="1" applyBorder="1" applyAlignment="1">
      <alignment wrapText="1"/>
    </xf>
    <xf numFmtId="49" fontId="56" fillId="0" borderId="67" xfId="43" applyNumberFormat="1" applyFont="1" applyBorder="1" applyAlignment="1">
      <alignment horizontal="left" wrapText="1" indent="2"/>
    </xf>
    <xf numFmtId="0" fontId="61" fillId="4" borderId="56" xfId="43" applyFont="1" applyFill="1" applyBorder="1" applyAlignment="1">
      <alignment wrapText="1"/>
    </xf>
    <xf numFmtId="49" fontId="56" fillId="6" borderId="52" xfId="43" applyNumberFormat="1" applyFont="1" applyFill="1" applyBorder="1" applyAlignment="1">
      <alignment horizontal="left" wrapText="1" indent="4"/>
    </xf>
    <xf numFmtId="49" fontId="61" fillId="0" borderId="52" xfId="43" applyNumberFormat="1" applyFont="1" applyBorder="1" applyAlignment="1">
      <alignment horizontal="left" wrapText="1" indent="4"/>
    </xf>
    <xf numFmtId="49" fontId="56" fillId="0" borderId="61" xfId="43" applyNumberFormat="1" applyFont="1" applyBorder="1" applyAlignment="1">
      <alignment horizontal="left" wrapText="1" indent="4"/>
    </xf>
    <xf numFmtId="49" fontId="61" fillId="0" borderId="11" xfId="43" applyNumberFormat="1" applyFont="1" applyBorder="1" applyAlignment="1">
      <alignment horizontal="right" wrapText="1"/>
    </xf>
    <xf numFmtId="49" fontId="61" fillId="4" borderId="18" xfId="43" applyNumberFormat="1" applyFont="1" applyFill="1" applyBorder="1" applyAlignment="1">
      <alignment wrapText="1"/>
    </xf>
    <xf numFmtId="0" fontId="61" fillId="0" borderId="24" xfId="43" applyFont="1" applyBorder="1" applyAlignment="1">
      <alignment horizontal="right" wrapText="1"/>
    </xf>
    <xf numFmtId="0" fontId="124" fillId="0" borderId="4" xfId="0" applyFont="1" applyBorder="1" applyAlignment="1">
      <alignment horizontal="center" vertical="center" wrapText="1"/>
    </xf>
    <xf numFmtId="0" fontId="128" fillId="49" borderId="21" xfId="0" applyFont="1" applyFill="1" applyBorder="1" applyAlignment="1">
      <alignment horizontal="center" vertical="center"/>
    </xf>
    <xf numFmtId="0" fontId="128" fillId="49" borderId="13" xfId="0" applyFont="1" applyFill="1" applyBorder="1" applyAlignment="1">
      <alignment horizontal="center" vertical="center" wrapText="1"/>
    </xf>
    <xf numFmtId="0" fontId="128" fillId="49" borderId="13" xfId="0" applyFont="1" applyFill="1" applyBorder="1" applyAlignment="1">
      <alignment horizontal="right" vertical="center"/>
    </xf>
    <xf numFmtId="0" fontId="128" fillId="49" borderId="21" xfId="0" applyFont="1" applyFill="1" applyBorder="1" applyAlignment="1">
      <alignment vertical="center"/>
    </xf>
    <xf numFmtId="0" fontId="128" fillId="49" borderId="13" xfId="0" applyFont="1" applyFill="1" applyBorder="1" applyAlignment="1">
      <alignment vertical="center" wrapText="1"/>
    </xf>
    <xf numFmtId="0" fontId="129" fillId="49" borderId="21" xfId="0" applyFont="1" applyFill="1" applyBorder="1" applyAlignment="1">
      <alignment vertical="center"/>
    </xf>
    <xf numFmtId="0" fontId="129" fillId="49" borderId="13" xfId="0" applyFont="1" applyFill="1" applyBorder="1" applyAlignment="1">
      <alignment horizontal="left" vertical="center" wrapText="1" indent="2"/>
    </xf>
    <xf numFmtId="0" fontId="129" fillId="49" borderId="13" xfId="0" applyFont="1" applyFill="1" applyBorder="1" applyAlignment="1">
      <alignment horizontal="right" vertical="center"/>
    </xf>
    <xf numFmtId="3" fontId="129" fillId="49" borderId="13" xfId="0" applyNumberFormat="1" applyFont="1" applyFill="1" applyBorder="1" applyAlignment="1">
      <alignment horizontal="right" vertical="center"/>
    </xf>
    <xf numFmtId="0" fontId="69" fillId="0" borderId="21" xfId="0" applyFont="1" applyBorder="1" applyAlignment="1">
      <alignment vertical="center"/>
    </xf>
    <xf numFmtId="0" fontId="69" fillId="0" borderId="13" xfId="0" applyFont="1" applyBorder="1" applyAlignment="1">
      <alignment horizontal="left" vertical="center" wrapText="1" indent="2"/>
    </xf>
    <xf numFmtId="0" fontId="69" fillId="0" borderId="13" xfId="0" applyFont="1" applyBorder="1" applyAlignment="1">
      <alignment horizontal="left" vertical="center" wrapText="1" indent="1"/>
    </xf>
    <xf numFmtId="0" fontId="124" fillId="0" borderId="13" xfId="0" applyFont="1" applyBorder="1" applyAlignment="1">
      <alignment horizontal="right" vertical="center"/>
    </xf>
    <xf numFmtId="0" fontId="128" fillId="49" borderId="27" xfId="0" applyFont="1" applyFill="1" applyBorder="1" applyAlignment="1">
      <alignment horizontal="left" vertical="center" wrapText="1" indent="2"/>
    </xf>
    <xf numFmtId="0" fontId="120" fillId="49" borderId="0" xfId="0" applyFont="1" applyFill="1" applyAlignment="1">
      <alignment vertical="center"/>
    </xf>
    <xf numFmtId="0" fontId="120" fillId="49" borderId="20" xfId="0" applyFont="1" applyFill="1" applyBorder="1" applyAlignment="1">
      <alignment horizontal="left" vertical="center" wrapText="1" indent="4"/>
    </xf>
    <xf numFmtId="0" fontId="120" fillId="49" borderId="23" xfId="0" applyFont="1" applyFill="1" applyBorder="1" applyAlignment="1">
      <alignment horizontal="right" vertical="center"/>
    </xf>
    <xf numFmtId="0" fontId="124" fillId="0" borderId="15" xfId="0" applyFont="1" applyBorder="1" applyAlignment="1">
      <alignment vertical="center" wrapText="1"/>
    </xf>
    <xf numFmtId="0" fontId="124" fillId="0" borderId="13" xfId="0" applyFont="1" applyBorder="1" applyAlignment="1">
      <alignment vertical="center" wrapText="1"/>
    </xf>
    <xf numFmtId="0" fontId="124" fillId="0" borderId="21" xfId="0" applyFont="1" applyBorder="1" applyAlignment="1">
      <alignment vertical="center" wrapText="1"/>
    </xf>
    <xf numFmtId="0" fontId="124" fillId="0" borderId="13" xfId="0" applyFont="1" applyBorder="1" applyAlignment="1">
      <alignment horizontal="left" vertical="center" wrapText="1" indent="1"/>
    </xf>
    <xf numFmtId="0" fontId="69" fillId="0" borderId="21" xfId="0" applyFont="1" applyBorder="1" applyAlignment="1">
      <alignment vertical="center" wrapText="1"/>
    </xf>
    <xf numFmtId="0" fontId="124" fillId="0" borderId="21" xfId="0" applyFont="1" applyBorder="1" applyAlignment="1">
      <alignment vertical="center"/>
    </xf>
    <xf numFmtId="0" fontId="124" fillId="0" borderId="13" xfId="0" applyFont="1" applyBorder="1" applyAlignment="1">
      <alignment horizontal="left" vertical="center" indent="1"/>
    </xf>
    <xf numFmtId="0" fontId="128" fillId="49" borderId="4" xfId="0" applyFont="1" applyFill="1" applyBorder="1" applyAlignment="1">
      <alignment horizontal="right" vertical="center"/>
    </xf>
    <xf numFmtId="0" fontId="69" fillId="0" borderId="13" xfId="0" applyFont="1" applyBorder="1" applyAlignment="1">
      <alignment horizontal="right" vertical="center"/>
    </xf>
    <xf numFmtId="3" fontId="69" fillId="0" borderId="13" xfId="0" applyNumberFormat="1" applyFont="1" applyBorder="1" applyAlignment="1">
      <alignment horizontal="right" vertical="center"/>
    </xf>
    <xf numFmtId="0" fontId="124" fillId="0" borderId="4" xfId="0" applyFont="1" applyBorder="1" applyAlignment="1">
      <alignment horizontal="left" vertical="center" wrapText="1" indent="1"/>
    </xf>
    <xf numFmtId="0" fontId="124" fillId="0" borderId="4" xfId="0" applyFont="1" applyBorder="1" applyAlignment="1">
      <alignment horizontal="right" vertical="center"/>
    </xf>
    <xf numFmtId="0" fontId="69" fillId="0" borderId="13" xfId="0" applyFont="1" applyBorder="1" applyAlignment="1">
      <alignment horizontal="left" vertical="center" wrapText="1" indent="3"/>
    </xf>
    <xf numFmtId="0" fontId="69" fillId="0" borderId="13" xfId="0" applyFont="1" applyBorder="1" applyAlignment="1">
      <alignment vertical="center" wrapText="1"/>
    </xf>
    <xf numFmtId="167" fontId="56" fillId="0" borderId="8" xfId="1" applyNumberFormat="1" applyFont="1" applyBorder="1"/>
    <xf numFmtId="0" fontId="61" fillId="0" borderId="57" xfId="43" applyFont="1" applyBorder="1" applyAlignment="1">
      <alignment wrapText="1"/>
    </xf>
    <xf numFmtId="0" fontId="68" fillId="0" borderId="0" xfId="43" quotePrefix="1" applyFont="1"/>
    <xf numFmtId="49" fontId="56" fillId="0" borderId="81" xfId="43" applyNumberFormat="1" applyFont="1" applyBorder="1" applyAlignment="1">
      <alignment horizontal="left" wrapText="1" indent="2"/>
    </xf>
    <xf numFmtId="0" fontId="131" fillId="0" borderId="0" xfId="43" applyFont="1"/>
    <xf numFmtId="0" fontId="131" fillId="0" borderId="0" xfId="43" quotePrefix="1" applyFont="1"/>
    <xf numFmtId="3" fontId="68" fillId="0" borderId="84" xfId="43" applyNumberFormat="1" applyFont="1" applyBorder="1"/>
    <xf numFmtId="0" fontId="56" fillId="5" borderId="83" xfId="43" applyFont="1" applyFill="1" applyBorder="1" applyAlignment="1">
      <alignment horizontal="left" wrapText="1" indent="3"/>
    </xf>
    <xf numFmtId="3" fontId="56" fillId="5" borderId="84" xfId="43" applyNumberFormat="1" applyFont="1" applyFill="1" applyBorder="1"/>
    <xf numFmtId="3" fontId="56" fillId="0" borderId="84" xfId="43" applyNumberFormat="1" applyFont="1" applyBorder="1"/>
    <xf numFmtId="0" fontId="82" fillId="14" borderId="0" xfId="0" applyFont="1" applyFill="1"/>
    <xf numFmtId="0" fontId="132" fillId="14" borderId="0" xfId="0" applyFont="1" applyFill="1"/>
    <xf numFmtId="0" fontId="126" fillId="48" borderId="0" xfId="0" applyFont="1" applyFill="1"/>
    <xf numFmtId="0" fontId="56" fillId="5" borderId="80" xfId="43" applyFont="1" applyFill="1" applyBorder="1" applyAlignment="1">
      <alignment horizontal="left" indent="3"/>
    </xf>
    <xf numFmtId="3" fontId="56" fillId="3" borderId="84" xfId="43" applyNumberFormat="1" applyFont="1" applyFill="1" applyBorder="1"/>
    <xf numFmtId="3" fontId="61" fillId="4" borderId="84" xfId="43" applyNumberFormat="1" applyFont="1" applyFill="1" applyBorder="1"/>
    <xf numFmtId="3" fontId="56" fillId="12" borderId="84" xfId="43" applyNumberFormat="1" applyFont="1" applyFill="1" applyBorder="1"/>
    <xf numFmtId="0" fontId="133" fillId="0" borderId="0" xfId="83" applyFont="1"/>
    <xf numFmtId="49" fontId="56" fillId="0" borderId="77" xfId="43" applyNumberFormat="1" applyFont="1" applyBorder="1" applyAlignment="1">
      <alignment horizontal="left" wrapText="1" indent="4"/>
    </xf>
    <xf numFmtId="3" fontId="56" fillId="10" borderId="84" xfId="43" applyNumberFormat="1" applyFont="1" applyFill="1" applyBorder="1"/>
    <xf numFmtId="164" fontId="58" fillId="0" borderId="0" xfId="43" applyNumberFormat="1" applyFont="1"/>
    <xf numFmtId="0" fontId="6" fillId="0" borderId="0" xfId="43" quotePrefix="1" applyFont="1"/>
    <xf numFmtId="49" fontId="61" fillId="3" borderId="88" xfId="43" applyNumberFormat="1" applyFont="1" applyFill="1" applyBorder="1" applyAlignment="1">
      <alignment horizontal="left" wrapText="1" indent="2"/>
    </xf>
    <xf numFmtId="0" fontId="58" fillId="0" borderId="0" xfId="43" quotePrefix="1" applyFont="1"/>
    <xf numFmtId="49" fontId="58" fillId="3" borderId="52" xfId="43" applyNumberFormat="1" applyFont="1" applyFill="1" applyBorder="1" applyAlignment="1">
      <alignment horizontal="left" wrapText="1" indent="2"/>
    </xf>
    <xf numFmtId="49" fontId="58" fillId="3" borderId="67" xfId="43" applyNumberFormat="1" applyFont="1" applyFill="1" applyBorder="1" applyAlignment="1">
      <alignment horizontal="left" wrapText="1" indent="2"/>
    </xf>
    <xf numFmtId="49" fontId="64" fillId="3" borderId="52" xfId="43" applyNumberFormat="1" applyFont="1" applyFill="1" applyBorder="1" applyAlignment="1">
      <alignment horizontal="left" wrapText="1" indent="2"/>
    </xf>
    <xf numFmtId="49" fontId="64" fillId="3" borderId="61" xfId="43" applyNumberFormat="1" applyFont="1" applyFill="1" applyBorder="1" applyAlignment="1">
      <alignment horizontal="left" wrapText="1" indent="2"/>
    </xf>
    <xf numFmtId="49" fontId="56" fillId="0" borderId="56" xfId="43" applyNumberFormat="1" applyFont="1" applyBorder="1" applyAlignment="1">
      <alignment horizontal="left" wrapText="1" indent="4"/>
    </xf>
    <xf numFmtId="167" fontId="56" fillId="0" borderId="78" xfId="1" applyNumberFormat="1" applyFont="1" applyBorder="1"/>
    <xf numFmtId="0" fontId="5" fillId="0" borderId="0" xfId="43" applyFont="1"/>
    <xf numFmtId="0" fontId="61" fillId="0" borderId="0" xfId="43" quotePrefix="1" applyFont="1"/>
    <xf numFmtId="167" fontId="61" fillId="0" borderId="3" xfId="1" applyNumberFormat="1" applyFont="1" applyBorder="1" applyAlignment="1">
      <alignment horizontal="center" vertical="center" wrapText="1"/>
    </xf>
    <xf numFmtId="167" fontId="61" fillId="4" borderId="5" xfId="1" applyNumberFormat="1" applyFont="1" applyFill="1" applyBorder="1"/>
    <xf numFmtId="167" fontId="61" fillId="4" borderId="8" xfId="1" applyNumberFormat="1" applyFont="1" applyFill="1" applyBorder="1"/>
    <xf numFmtId="167" fontId="56" fillId="0" borderId="62" xfId="1" applyNumberFormat="1" applyFont="1" applyBorder="1"/>
    <xf numFmtId="167" fontId="56" fillId="7" borderId="8" xfId="1" applyNumberFormat="1" applyFont="1" applyFill="1" applyBorder="1"/>
    <xf numFmtId="167" fontId="67" fillId="8" borderId="8" xfId="1" applyNumberFormat="1" applyFont="1" applyFill="1" applyBorder="1"/>
    <xf numFmtId="167" fontId="56" fillId="0" borderId="32" xfId="1" applyNumberFormat="1" applyFont="1" applyBorder="1"/>
    <xf numFmtId="167" fontId="56" fillId="0" borderId="48" xfId="1" applyNumberFormat="1" applyFont="1" applyBorder="1"/>
    <xf numFmtId="167" fontId="61" fillId="0" borderId="3" xfId="1" applyNumberFormat="1" applyFont="1" applyBorder="1"/>
    <xf numFmtId="167" fontId="61" fillId="0" borderId="12" xfId="1" applyNumberFormat="1" applyFont="1" applyBorder="1"/>
    <xf numFmtId="167" fontId="61" fillId="4" borderId="47" xfId="1" applyNumberFormat="1" applyFont="1" applyFill="1" applyBorder="1"/>
    <xf numFmtId="167" fontId="61" fillId="4" borderId="14" xfId="1" applyNumberFormat="1" applyFont="1" applyFill="1" applyBorder="1"/>
    <xf numFmtId="167" fontId="61" fillId="3" borderId="8" xfId="1" applyNumberFormat="1" applyFont="1" applyFill="1" applyBorder="1"/>
    <xf numFmtId="167" fontId="56" fillId="3" borderId="32" xfId="1" applyNumberFormat="1" applyFont="1" applyFill="1" applyBorder="1"/>
    <xf numFmtId="167" fontId="56" fillId="0" borderId="75" xfId="1" applyNumberFormat="1" applyFont="1" applyBorder="1"/>
    <xf numFmtId="167" fontId="56" fillId="10" borderId="8" xfId="1" applyNumberFormat="1" applyFont="1" applyFill="1" applyBorder="1"/>
    <xf numFmtId="167" fontId="56" fillId="3" borderId="62" xfId="1" applyNumberFormat="1" applyFont="1" applyFill="1" applyBorder="1"/>
    <xf numFmtId="167" fontId="56" fillId="6" borderId="8" xfId="1" applyNumberFormat="1" applyFont="1" applyFill="1" applyBorder="1"/>
    <xf numFmtId="167" fontId="68" fillId="0" borderId="84" xfId="1" applyNumberFormat="1" applyFont="1" applyBorder="1"/>
    <xf numFmtId="167" fontId="61" fillId="0" borderId="8" xfId="1" applyNumberFormat="1" applyFont="1" applyBorder="1"/>
    <xf numFmtId="167" fontId="61" fillId="0" borderId="15" xfId="1" applyNumberFormat="1" applyFont="1" applyBorder="1"/>
    <xf numFmtId="167" fontId="61" fillId="0" borderId="16" xfId="1" applyNumberFormat="1" applyFont="1" applyBorder="1"/>
    <xf numFmtId="167" fontId="61" fillId="4" borderId="19" xfId="1" applyNumberFormat="1" applyFont="1" applyFill="1" applyBorder="1"/>
    <xf numFmtId="167" fontId="56" fillId="0" borderId="84" xfId="1" applyNumberFormat="1" applyFont="1" applyBorder="1"/>
    <xf numFmtId="167" fontId="61" fillId="3" borderId="84" xfId="1" applyNumberFormat="1" applyFont="1" applyFill="1" applyBorder="1"/>
    <xf numFmtId="167" fontId="56" fillId="0" borderId="89" xfId="1" applyNumberFormat="1" applyFont="1" applyBorder="1"/>
    <xf numFmtId="167" fontId="56" fillId="3" borderId="84" xfId="1" applyNumberFormat="1" applyFont="1" applyFill="1" applyBorder="1"/>
    <xf numFmtId="167" fontId="56" fillId="5" borderId="84" xfId="1" applyNumberFormat="1" applyFont="1" applyFill="1" applyBorder="1"/>
    <xf numFmtId="0" fontId="66" fillId="5" borderId="0" xfId="43" applyFont="1" applyFill="1" applyAlignment="1">
      <alignment wrapText="1"/>
    </xf>
    <xf numFmtId="167" fontId="56" fillId="0" borderId="86" xfId="1" applyNumberFormat="1" applyFont="1" applyBorder="1"/>
    <xf numFmtId="3" fontId="56" fillId="0" borderId="85" xfId="43" applyNumberFormat="1" applyFont="1" applyBorder="1"/>
    <xf numFmtId="167" fontId="58" fillId="0" borderId="0" xfId="1" applyNumberFormat="1" applyFont="1" applyAlignment="1">
      <alignment wrapText="1"/>
    </xf>
    <xf numFmtId="167" fontId="56" fillId="15" borderId="48" xfId="1" applyNumberFormat="1" applyFont="1" applyFill="1" applyBorder="1"/>
    <xf numFmtId="167" fontId="68" fillId="15" borderId="62" xfId="1" applyNumberFormat="1" applyFont="1" applyFill="1" applyBorder="1"/>
    <xf numFmtId="167" fontId="56" fillId="0" borderId="8" xfId="1" applyNumberFormat="1" applyFont="1" applyFill="1" applyBorder="1"/>
    <xf numFmtId="167" fontId="56" fillId="0" borderId="75" xfId="1" applyNumberFormat="1" applyFont="1" applyFill="1" applyBorder="1"/>
    <xf numFmtId="167" fontId="56" fillId="6" borderId="75" xfId="1" applyNumberFormat="1" applyFont="1" applyFill="1" applyBorder="1"/>
    <xf numFmtId="167" fontId="56" fillId="3" borderId="75" xfId="1" applyNumberFormat="1" applyFont="1" applyFill="1" applyBorder="1"/>
    <xf numFmtId="9" fontId="56" fillId="0" borderId="8" xfId="4" applyFont="1" applyBorder="1" applyAlignment="1">
      <alignment wrapText="1"/>
    </xf>
    <xf numFmtId="9" fontId="56" fillId="0" borderId="75" xfId="4" applyFont="1" applyFill="1" applyBorder="1" applyAlignment="1">
      <alignment wrapText="1"/>
    </xf>
    <xf numFmtId="9" fontId="56" fillId="3" borderId="8" xfId="4" applyFont="1" applyFill="1" applyBorder="1"/>
    <xf numFmtId="9" fontId="56" fillId="0" borderId="8" xfId="4" applyFont="1" applyFill="1" applyBorder="1" applyAlignment="1">
      <alignment wrapText="1"/>
    </xf>
    <xf numFmtId="9" fontId="56" fillId="0" borderId="28" xfId="4" applyFont="1" applyFill="1" applyBorder="1"/>
    <xf numFmtId="9" fontId="56" fillId="0" borderId="8" xfId="4" applyFont="1" applyFill="1" applyBorder="1"/>
    <xf numFmtId="9" fontId="61" fillId="3" borderId="8" xfId="4" applyFont="1" applyFill="1" applyBorder="1"/>
    <xf numFmtId="9" fontId="68" fillId="0" borderId="84" xfId="4" applyFont="1" applyFill="1" applyBorder="1" applyAlignment="1">
      <alignment wrapText="1"/>
    </xf>
    <xf numFmtId="9" fontId="56" fillId="0" borderId="62" xfId="4" applyFont="1" applyFill="1" applyBorder="1" applyAlignment="1">
      <alignment wrapText="1"/>
    </xf>
    <xf numFmtId="9" fontId="56" fillId="0" borderId="59" xfId="4" applyFont="1" applyFill="1" applyBorder="1"/>
    <xf numFmtId="9" fontId="56" fillId="0" borderId="62" xfId="4" applyFont="1" applyFill="1" applyBorder="1"/>
    <xf numFmtId="9" fontId="56" fillId="0" borderId="0" xfId="4" applyFont="1" applyAlignment="1">
      <alignment wrapText="1"/>
    </xf>
    <xf numFmtId="1" fontId="56" fillId="0" borderId="0" xfId="4" applyNumberFormat="1" applyFont="1" applyFill="1"/>
    <xf numFmtId="9" fontId="61" fillId="0" borderId="3" xfId="4" applyFont="1" applyBorder="1" applyAlignment="1">
      <alignment horizontal="center" vertical="center" wrapText="1"/>
    </xf>
    <xf numFmtId="9" fontId="56" fillId="3" borderId="5" xfId="4" applyFont="1" applyFill="1" applyBorder="1" applyAlignment="1">
      <alignment wrapText="1"/>
    </xf>
    <xf numFmtId="9" fontId="61" fillId="4" borderId="5" xfId="4" applyFont="1" applyFill="1" applyBorder="1"/>
    <xf numFmtId="9" fontId="61" fillId="4" borderId="8" xfId="4" applyFont="1" applyFill="1" applyBorder="1"/>
    <xf numFmtId="9" fontId="56" fillId="0" borderId="8" xfId="4" applyFont="1" applyBorder="1"/>
    <xf numFmtId="9" fontId="56" fillId="0" borderId="9" xfId="4" applyFont="1" applyFill="1" applyBorder="1"/>
    <xf numFmtId="9" fontId="56" fillId="0" borderId="9" xfId="4" applyFont="1" applyFill="1" applyBorder="1" applyAlignment="1">
      <alignment wrapText="1"/>
    </xf>
    <xf numFmtId="9" fontId="56" fillId="0" borderId="48" xfId="4" applyFont="1" applyBorder="1"/>
    <xf numFmtId="9" fontId="56" fillId="4" borderId="8" xfId="4" applyFont="1" applyFill="1" applyBorder="1" applyAlignment="1">
      <alignment wrapText="1"/>
    </xf>
    <xf numFmtId="9" fontId="56" fillId="0" borderId="48" xfId="4" applyFont="1" applyFill="1" applyBorder="1"/>
    <xf numFmtId="3" fontId="56" fillId="7" borderId="8" xfId="43" applyNumberFormat="1" applyFont="1" applyFill="1" applyBorder="1" applyAlignment="1">
      <alignment wrapText="1"/>
    </xf>
    <xf numFmtId="9" fontId="67" fillId="8" borderId="8" xfId="4" applyFont="1" applyFill="1" applyBorder="1" applyAlignment="1">
      <alignment wrapText="1"/>
    </xf>
    <xf numFmtId="9" fontId="56" fillId="0" borderId="32" xfId="4" applyFont="1" applyFill="1" applyBorder="1"/>
    <xf numFmtId="9" fontId="56" fillId="0" borderId="75" xfId="4" applyFont="1" applyFill="1" applyBorder="1"/>
    <xf numFmtId="9" fontId="56" fillId="0" borderId="32" xfId="4" applyFont="1" applyFill="1" applyBorder="1" applyAlignment="1">
      <alignment wrapText="1"/>
    </xf>
    <xf numFmtId="9" fontId="56" fillId="5" borderId="8" xfId="4" applyFont="1" applyFill="1" applyBorder="1" applyAlignment="1">
      <alignment wrapText="1"/>
    </xf>
    <xf numFmtId="9" fontId="56" fillId="3" borderId="8" xfId="4" applyFont="1" applyFill="1" applyBorder="1" applyAlignment="1">
      <alignment wrapText="1"/>
    </xf>
    <xf numFmtId="9" fontId="56" fillId="0" borderId="34" xfId="4" applyFont="1" applyFill="1" applyBorder="1"/>
    <xf numFmtId="9" fontId="56" fillId="0" borderId="78" xfId="4" applyFont="1" applyFill="1" applyBorder="1"/>
    <xf numFmtId="9" fontId="56" fillId="0" borderId="29" xfId="4" applyFont="1" applyFill="1" applyBorder="1" applyAlignment="1">
      <alignment wrapText="1"/>
    </xf>
    <xf numFmtId="9" fontId="56" fillId="0" borderId="31" xfId="4" applyFont="1" applyFill="1" applyBorder="1"/>
    <xf numFmtId="9" fontId="56" fillId="0" borderId="33" xfId="4" applyFont="1" applyFill="1" applyBorder="1"/>
    <xf numFmtId="9" fontId="56" fillId="0" borderId="47" xfId="4" applyFont="1" applyFill="1" applyBorder="1"/>
    <xf numFmtId="9" fontId="56" fillId="0" borderId="64" xfId="4" applyFont="1" applyFill="1" applyBorder="1"/>
    <xf numFmtId="9" fontId="56" fillId="0" borderId="72" xfId="4" applyFont="1" applyFill="1" applyBorder="1"/>
    <xf numFmtId="1" fontId="56" fillId="0" borderId="8" xfId="4" applyNumberFormat="1" applyFont="1" applyFill="1" applyBorder="1"/>
    <xf numFmtId="9" fontId="56" fillId="0" borderId="48" xfId="4" applyFont="1" applyFill="1" applyBorder="1" applyAlignment="1">
      <alignment wrapText="1"/>
    </xf>
    <xf numFmtId="9" fontId="61" fillId="0" borderId="3" xfId="4" applyFont="1" applyBorder="1"/>
    <xf numFmtId="9" fontId="61" fillId="0" borderId="12" xfId="4" applyFont="1" applyFill="1" applyBorder="1"/>
    <xf numFmtId="3" fontId="56" fillId="0" borderId="69" xfId="43" applyNumberFormat="1" applyFont="1" applyBorder="1"/>
    <xf numFmtId="9" fontId="56" fillId="0" borderId="65" xfId="4" applyFont="1" applyFill="1" applyBorder="1" applyAlignment="1">
      <alignment wrapText="1"/>
    </xf>
    <xf numFmtId="3" fontId="56" fillId="0" borderId="46" xfId="43" applyNumberFormat="1" applyFont="1" applyBorder="1"/>
    <xf numFmtId="9" fontId="56" fillId="0" borderId="51" xfId="4" applyFont="1" applyFill="1" applyBorder="1" applyAlignment="1">
      <alignment wrapText="1"/>
    </xf>
    <xf numFmtId="9" fontId="56" fillId="0" borderId="65" xfId="4" applyFont="1" applyFill="1" applyBorder="1"/>
    <xf numFmtId="3" fontId="56" fillId="0" borderId="79" xfId="43" applyNumberFormat="1" applyFont="1" applyBorder="1"/>
    <xf numFmtId="3" fontId="56" fillId="0" borderId="60" xfId="43" applyNumberFormat="1" applyFont="1" applyBorder="1"/>
    <xf numFmtId="9" fontId="56" fillId="0" borderId="68" xfId="4" applyFont="1" applyFill="1" applyBorder="1"/>
    <xf numFmtId="3" fontId="56" fillId="0" borderId="25" xfId="43" applyNumberFormat="1" applyFont="1" applyBorder="1"/>
    <xf numFmtId="9" fontId="61" fillId="0" borderId="12" xfId="4" applyFont="1" applyBorder="1"/>
    <xf numFmtId="9" fontId="61" fillId="4" borderId="14" xfId="4" applyFont="1" applyFill="1" applyBorder="1"/>
    <xf numFmtId="9" fontId="56" fillId="3" borderId="32" xfId="4" applyFont="1" applyFill="1" applyBorder="1" applyAlignment="1">
      <alignment wrapText="1"/>
    </xf>
    <xf numFmtId="3" fontId="56" fillId="3" borderId="48" xfId="43" applyNumberFormat="1" applyFont="1" applyFill="1" applyBorder="1"/>
    <xf numFmtId="9" fontId="56" fillId="3" borderId="48" xfId="4" applyFont="1" applyFill="1" applyBorder="1" applyAlignment="1">
      <alignment wrapText="1"/>
    </xf>
    <xf numFmtId="9" fontId="56" fillId="3" borderId="62" xfId="4" applyFont="1" applyFill="1" applyBorder="1" applyAlignment="1">
      <alignment wrapText="1"/>
    </xf>
    <xf numFmtId="9" fontId="56" fillId="3" borderId="84" xfId="4" applyFont="1" applyFill="1" applyBorder="1"/>
    <xf numFmtId="9" fontId="56" fillId="3" borderId="59" xfId="4" applyFont="1" applyFill="1" applyBorder="1" applyAlignment="1">
      <alignment wrapText="1"/>
    </xf>
    <xf numFmtId="9" fontId="56" fillId="0" borderId="48" xfId="4" applyFont="1" applyBorder="1" applyAlignment="1">
      <alignment wrapText="1"/>
    </xf>
    <xf numFmtId="9" fontId="56" fillId="0" borderId="62" xfId="4" applyFont="1" applyBorder="1" applyAlignment="1">
      <alignment wrapText="1"/>
    </xf>
    <xf numFmtId="9" fontId="56" fillId="0" borderId="26" xfId="4" applyFont="1" applyBorder="1" applyAlignment="1">
      <alignment wrapText="1"/>
    </xf>
    <xf numFmtId="9" fontId="56" fillId="0" borderId="30" xfId="4" applyFont="1" applyBorder="1" applyAlignment="1">
      <alignment wrapText="1"/>
    </xf>
    <xf numFmtId="9" fontId="56" fillId="0" borderId="84" xfId="4" applyFont="1" applyBorder="1" applyAlignment="1">
      <alignment wrapText="1"/>
    </xf>
    <xf numFmtId="9" fontId="68" fillId="0" borderId="62" xfId="4" applyFont="1" applyBorder="1" applyAlignment="1">
      <alignment wrapText="1"/>
    </xf>
    <xf numFmtId="9" fontId="68" fillId="0" borderId="8" xfId="4" applyFont="1" applyFill="1" applyBorder="1" applyAlignment="1">
      <alignment wrapText="1"/>
    </xf>
    <xf numFmtId="9" fontId="68" fillId="9" borderId="8" xfId="4" applyFont="1" applyFill="1" applyBorder="1" applyAlignment="1">
      <alignment wrapText="1"/>
    </xf>
    <xf numFmtId="9" fontId="68" fillId="3" borderId="8" xfId="4" applyFont="1" applyFill="1" applyBorder="1" applyAlignment="1">
      <alignment wrapText="1"/>
    </xf>
    <xf numFmtId="9" fontId="68" fillId="3" borderId="32" xfId="4" applyFont="1" applyFill="1" applyBorder="1" applyAlignment="1">
      <alignment wrapText="1"/>
    </xf>
    <xf numFmtId="9" fontId="56" fillId="5" borderId="8" xfId="4" applyFont="1" applyFill="1" applyBorder="1"/>
    <xf numFmtId="9" fontId="56" fillId="5" borderId="62" xfId="4" applyFont="1" applyFill="1" applyBorder="1" applyAlignment="1">
      <alignment wrapText="1"/>
    </xf>
    <xf numFmtId="9" fontId="56" fillId="5" borderId="84" xfId="4" applyFont="1" applyFill="1" applyBorder="1"/>
    <xf numFmtId="9" fontId="56" fillId="0" borderId="84" xfId="4" applyFont="1" applyFill="1" applyBorder="1"/>
    <xf numFmtId="9" fontId="56" fillId="3" borderId="62" xfId="4" applyFont="1" applyFill="1" applyBorder="1"/>
    <xf numFmtId="9" fontId="56" fillId="0" borderId="76" xfId="4" applyFont="1" applyFill="1" applyBorder="1" applyAlignment="1">
      <alignment wrapText="1"/>
    </xf>
    <xf numFmtId="9" fontId="56" fillId="0" borderId="26" xfId="4" applyFont="1" applyFill="1" applyBorder="1" applyAlignment="1">
      <alignment wrapText="1"/>
    </xf>
    <xf numFmtId="3" fontId="56" fillId="6" borderId="48" xfId="43" applyNumberFormat="1" applyFont="1" applyFill="1" applyBorder="1"/>
    <xf numFmtId="9" fontId="67" fillId="0" borderId="8" xfId="4" applyFont="1" applyFill="1" applyBorder="1" applyAlignment="1">
      <alignment wrapText="1"/>
    </xf>
    <xf numFmtId="9" fontId="56" fillId="3" borderId="75" xfId="4" applyFont="1" applyFill="1" applyBorder="1" applyAlignment="1">
      <alignment wrapText="1"/>
    </xf>
    <xf numFmtId="9" fontId="56" fillId="3" borderId="84" xfId="4" applyFont="1" applyFill="1" applyBorder="1" applyAlignment="1">
      <alignment wrapText="1"/>
    </xf>
    <xf numFmtId="9" fontId="56" fillId="3" borderId="28" xfId="4" applyFont="1" applyFill="1" applyBorder="1" applyAlignment="1">
      <alignment wrapText="1"/>
    </xf>
    <xf numFmtId="9" fontId="56" fillId="0" borderId="16" xfId="4" applyFont="1" applyBorder="1"/>
    <xf numFmtId="9" fontId="61" fillId="4" borderId="19" xfId="4" applyFont="1" applyFill="1" applyBorder="1"/>
    <xf numFmtId="9" fontId="56" fillId="0" borderId="47" xfId="4" applyFont="1" applyFill="1" applyBorder="1" applyAlignment="1">
      <alignment wrapText="1"/>
    </xf>
    <xf numFmtId="0" fontId="4" fillId="0" borderId="0" xfId="43" quotePrefix="1" applyFont="1"/>
    <xf numFmtId="3" fontId="56" fillId="9" borderId="48" xfId="43" applyNumberFormat="1" applyFont="1" applyFill="1" applyBorder="1"/>
    <xf numFmtId="3" fontId="68" fillId="9" borderId="48" xfId="43" applyNumberFormat="1" applyFont="1" applyFill="1" applyBorder="1"/>
    <xf numFmtId="9" fontId="61" fillId="0" borderId="3" xfId="2" applyFont="1" applyBorder="1" applyAlignment="1">
      <alignment horizontal="center" vertical="center" wrapText="1"/>
    </xf>
    <xf numFmtId="167" fontId="61" fillId="3" borderId="68" xfId="1" applyNumberFormat="1" applyFont="1" applyFill="1" applyBorder="1"/>
    <xf numFmtId="3" fontId="67" fillId="8" borderId="84" xfId="43" applyNumberFormat="1" applyFont="1" applyFill="1" applyBorder="1"/>
    <xf numFmtId="3" fontId="56" fillId="0" borderId="84" xfId="43" applyNumberFormat="1" applyFont="1" applyBorder="1" applyAlignment="1">
      <alignment wrapText="1"/>
    </xf>
    <xf numFmtId="3" fontId="56" fillId="7" borderId="84" xfId="43" applyNumberFormat="1" applyFont="1" applyFill="1" applyBorder="1"/>
    <xf numFmtId="9" fontId="56" fillId="0" borderId="8" xfId="2" applyFont="1" applyFill="1" applyBorder="1"/>
    <xf numFmtId="167" fontId="61" fillId="4" borderId="8" xfId="4" applyNumberFormat="1" applyFont="1" applyFill="1" applyBorder="1"/>
    <xf numFmtId="9" fontId="56" fillId="0" borderId="48" xfId="2" applyFont="1" applyFill="1" applyBorder="1"/>
    <xf numFmtId="3" fontId="61" fillId="4" borderId="68" xfId="43" applyNumberFormat="1" applyFont="1" applyFill="1" applyBorder="1"/>
    <xf numFmtId="9" fontId="61" fillId="0" borderId="12" xfId="2" applyFont="1" applyFill="1" applyBorder="1"/>
    <xf numFmtId="3" fontId="61" fillId="4" borderId="72" xfId="43" applyNumberFormat="1" applyFont="1" applyFill="1" applyBorder="1"/>
    <xf numFmtId="9" fontId="61" fillId="4" borderId="47" xfId="2" applyFont="1" applyFill="1" applyBorder="1"/>
    <xf numFmtId="9" fontId="56" fillId="0" borderId="64" xfId="2" applyFont="1" applyFill="1" applyBorder="1"/>
    <xf numFmtId="9" fontId="56" fillId="0" borderId="47" xfId="2" applyFont="1" applyFill="1" applyBorder="1"/>
    <xf numFmtId="9" fontId="61" fillId="0" borderId="12" xfId="2" applyFont="1" applyBorder="1"/>
    <xf numFmtId="3" fontId="61" fillId="3" borderId="84" xfId="43" applyNumberFormat="1" applyFont="1" applyFill="1" applyBorder="1"/>
    <xf numFmtId="9" fontId="56" fillId="15" borderId="48" xfId="2" applyFont="1" applyFill="1" applyBorder="1"/>
    <xf numFmtId="3" fontId="68" fillId="15" borderId="62" xfId="43" applyNumberFormat="1" applyFont="1" applyFill="1" applyBorder="1"/>
    <xf numFmtId="9" fontId="56" fillId="3" borderId="8" xfId="2" applyFont="1" applyFill="1" applyBorder="1"/>
    <xf numFmtId="9" fontId="68" fillId="15" borderId="62" xfId="2" applyFont="1" applyFill="1" applyBorder="1"/>
    <xf numFmtId="9" fontId="56" fillId="0" borderId="62" xfId="2" applyFont="1" applyFill="1" applyBorder="1"/>
    <xf numFmtId="9" fontId="56" fillId="0" borderId="84" xfId="2" applyFont="1" applyFill="1" applyBorder="1"/>
    <xf numFmtId="3" fontId="56" fillId="6" borderId="84" xfId="43" applyNumberFormat="1" applyFont="1" applyFill="1" applyBorder="1"/>
    <xf numFmtId="9" fontId="58" fillId="9" borderId="48" xfId="4" applyFont="1" applyFill="1" applyBorder="1" applyAlignment="1">
      <alignment wrapText="1"/>
    </xf>
    <xf numFmtId="3" fontId="61" fillId="0" borderId="84" xfId="43" applyNumberFormat="1" applyFont="1" applyBorder="1"/>
    <xf numFmtId="167" fontId="56" fillId="0" borderId="0" xfId="43" applyNumberFormat="1" applyFont="1"/>
    <xf numFmtId="9" fontId="56" fillId="0" borderId="0" xfId="4" applyFont="1" applyAlignment="1">
      <alignment horizontal="right"/>
    </xf>
    <xf numFmtId="0" fontId="84" fillId="14" borderId="0" xfId="0" applyFont="1" applyFill="1" applyAlignment="1">
      <alignment horizontal="left" wrapText="1" indent="2"/>
    </xf>
    <xf numFmtId="0" fontId="63" fillId="14" borderId="0" xfId="0" applyFont="1" applyFill="1"/>
    <xf numFmtId="9" fontId="61" fillId="3" borderId="5" xfId="2" applyFont="1" applyFill="1" applyBorder="1"/>
    <xf numFmtId="167" fontId="56" fillId="3" borderId="68" xfId="1" applyNumberFormat="1" applyFont="1" applyFill="1" applyBorder="1" applyAlignment="1">
      <alignment wrapText="1"/>
    </xf>
    <xf numFmtId="9" fontId="61" fillId="4" borderId="5" xfId="2" applyFont="1" applyFill="1" applyBorder="1"/>
    <xf numFmtId="9" fontId="61" fillId="4" borderId="8" xfId="2" applyFont="1" applyFill="1" applyBorder="1"/>
    <xf numFmtId="3" fontId="56" fillId="4" borderId="84" xfId="43" applyNumberFormat="1" applyFont="1" applyFill="1" applyBorder="1"/>
    <xf numFmtId="9" fontId="56" fillId="0" borderId="8" xfId="2" applyFont="1" applyBorder="1"/>
    <xf numFmtId="9" fontId="56" fillId="0" borderId="32" xfId="2" applyFont="1" applyFill="1" applyBorder="1"/>
    <xf numFmtId="9" fontId="56" fillId="12" borderId="62" xfId="2" applyFont="1" applyFill="1" applyBorder="1"/>
    <xf numFmtId="3" fontId="63" fillId="14" borderId="0" xfId="0" applyNumberFormat="1" applyFont="1" applyFill="1"/>
    <xf numFmtId="9" fontId="63" fillId="14" borderId="0" xfId="2" applyFont="1" applyFill="1"/>
    <xf numFmtId="9" fontId="56" fillId="10" borderId="8" xfId="2" applyFont="1" applyFill="1" applyBorder="1"/>
    <xf numFmtId="9" fontId="56" fillId="7" borderId="8" xfId="2" applyFont="1" applyFill="1" applyBorder="1"/>
    <xf numFmtId="9" fontId="67" fillId="8" borderId="8" xfId="2" applyFont="1" applyFill="1" applyBorder="1"/>
    <xf numFmtId="9" fontId="56" fillId="0" borderId="75" xfId="2" applyFont="1" applyFill="1" applyBorder="1"/>
    <xf numFmtId="9" fontId="61" fillId="0" borderId="3" xfId="2" applyFont="1" applyBorder="1"/>
    <xf numFmtId="9" fontId="61" fillId="4" borderId="14" xfId="2" applyFont="1" applyFill="1" applyBorder="1"/>
    <xf numFmtId="3" fontId="56" fillId="4" borderId="8" xfId="43" applyNumberFormat="1" applyFont="1" applyFill="1" applyBorder="1"/>
    <xf numFmtId="3" fontId="56" fillId="3" borderId="8" xfId="43" applyNumberFormat="1" applyFont="1" applyFill="1" applyBorder="1" applyAlignment="1">
      <alignment wrapText="1"/>
    </xf>
    <xf numFmtId="9" fontId="56" fillId="3" borderId="84" xfId="2" applyFont="1" applyFill="1" applyBorder="1"/>
    <xf numFmtId="3" fontId="56" fillId="3" borderId="84" xfId="43" applyNumberFormat="1" applyFont="1" applyFill="1" applyBorder="1" applyAlignment="1">
      <alignment wrapText="1"/>
    </xf>
    <xf numFmtId="9" fontId="61" fillId="3" borderId="8" xfId="2" applyFont="1" applyFill="1" applyBorder="1"/>
    <xf numFmtId="3" fontId="56" fillId="0" borderId="8" xfId="43" applyNumberFormat="1" applyFont="1" applyBorder="1" applyAlignment="1">
      <alignment wrapText="1"/>
    </xf>
    <xf numFmtId="3" fontId="56" fillId="0" borderId="48" xfId="43" applyNumberFormat="1" applyFont="1" applyBorder="1" applyAlignment="1">
      <alignment wrapText="1"/>
    </xf>
    <xf numFmtId="3" fontId="56" fillId="15" borderId="48" xfId="43" applyNumberFormat="1" applyFont="1" applyFill="1" applyBorder="1"/>
    <xf numFmtId="3" fontId="56" fillId="0" borderId="62" xfId="43" applyNumberFormat="1" applyFont="1" applyBorder="1" applyAlignment="1">
      <alignment wrapText="1"/>
    </xf>
    <xf numFmtId="9" fontId="56" fillId="3" borderId="32" xfId="2" applyFont="1" applyFill="1" applyBorder="1"/>
    <xf numFmtId="9" fontId="56" fillId="5" borderId="8" xfId="2" applyFont="1" applyFill="1" applyBorder="1"/>
    <xf numFmtId="9" fontId="56" fillId="3" borderId="62" xfId="2" applyFont="1" applyFill="1" applyBorder="1"/>
    <xf numFmtId="9" fontId="56" fillId="6" borderId="8" xfId="2" applyFont="1" applyFill="1" applyBorder="1"/>
    <xf numFmtId="9" fontId="56" fillId="0" borderId="26" xfId="2" applyFont="1" applyFill="1" applyBorder="1" applyAlignment="1"/>
    <xf numFmtId="9" fontId="68" fillId="0" borderId="84" xfId="2" applyFont="1" applyFill="1" applyBorder="1"/>
    <xf numFmtId="9" fontId="56" fillId="0" borderId="0" xfId="2" applyFont="1" applyAlignment="1">
      <alignment wrapText="1"/>
    </xf>
    <xf numFmtId="167" fontId="56" fillId="0" borderId="0" xfId="2" applyNumberFormat="1" applyFont="1" applyFill="1"/>
    <xf numFmtId="9" fontId="61" fillId="0" borderId="0" xfId="2" applyFont="1"/>
    <xf numFmtId="3" fontId="56" fillId="4" borderId="84" xfId="43" applyNumberFormat="1" applyFont="1" applyFill="1" applyBorder="1" applyAlignment="1">
      <alignment wrapText="1"/>
    </xf>
    <xf numFmtId="3" fontId="56" fillId="0" borderId="3" xfId="43" applyNumberFormat="1" applyFont="1" applyBorder="1" applyAlignment="1">
      <alignment wrapText="1"/>
    </xf>
    <xf numFmtId="3" fontId="56" fillId="0" borderId="64" xfId="43" applyNumberFormat="1" applyFont="1" applyBorder="1" applyAlignment="1">
      <alignment wrapText="1"/>
    </xf>
    <xf numFmtId="3" fontId="56" fillId="0" borderId="47" xfId="43" applyNumberFormat="1" applyFont="1" applyBorder="1"/>
    <xf numFmtId="9" fontId="56" fillId="0" borderId="0" xfId="2" applyFont="1"/>
    <xf numFmtId="9" fontId="61" fillId="0" borderId="8" xfId="2" applyFont="1" applyFill="1" applyBorder="1"/>
    <xf numFmtId="9" fontId="56" fillId="3" borderId="75" xfId="2" applyFont="1" applyFill="1" applyBorder="1"/>
    <xf numFmtId="9" fontId="61" fillId="0" borderId="15" xfId="2" applyFont="1" applyBorder="1"/>
    <xf numFmtId="9" fontId="61" fillId="0" borderId="16" xfId="2" applyFont="1" applyBorder="1"/>
    <xf numFmtId="9" fontId="61" fillId="4" borderId="19" xfId="2" applyFont="1" applyFill="1" applyBorder="1"/>
    <xf numFmtId="167" fontId="56" fillId="52" borderId="62" xfId="1" applyNumberFormat="1" applyFont="1" applyFill="1" applyBorder="1"/>
    <xf numFmtId="167" fontId="56" fillId="52" borderId="78" xfId="1" applyNumberFormat="1" applyFont="1" applyFill="1" applyBorder="1"/>
    <xf numFmtId="167" fontId="56" fillId="52" borderId="64" xfId="1" applyNumberFormat="1" applyFont="1" applyFill="1" applyBorder="1"/>
    <xf numFmtId="167" fontId="56" fillId="52" borderId="51" xfId="1" applyNumberFormat="1" applyFont="1" applyFill="1" applyBorder="1"/>
    <xf numFmtId="167" fontId="56" fillId="52" borderId="8" xfId="1" applyNumberFormat="1" applyFont="1" applyFill="1" applyBorder="1"/>
    <xf numFmtId="167" fontId="56" fillId="6" borderId="0" xfId="43" applyNumberFormat="1" applyFont="1" applyFill="1"/>
    <xf numFmtId="167" fontId="61" fillId="0" borderId="0" xfId="43" applyNumberFormat="1" applyFont="1"/>
    <xf numFmtId="167" fontId="59" fillId="0" borderId="0" xfId="43" applyNumberFormat="1" applyFont="1"/>
    <xf numFmtId="167" fontId="66" fillId="0" borderId="0" xfId="43" applyNumberFormat="1" applyFont="1"/>
    <xf numFmtId="9" fontId="56" fillId="0" borderId="30" xfId="4" applyFont="1" applyFill="1" applyBorder="1" applyAlignment="1">
      <alignment wrapText="1"/>
    </xf>
    <xf numFmtId="49" fontId="56" fillId="4" borderId="52" xfId="43" applyNumberFormat="1" applyFont="1" applyFill="1" applyBorder="1" applyAlignment="1">
      <alignment wrapText="1"/>
    </xf>
    <xf numFmtId="9" fontId="56" fillId="0" borderId="78" xfId="4" applyFont="1" applyFill="1" applyBorder="1" applyAlignment="1">
      <alignment wrapText="1"/>
    </xf>
    <xf numFmtId="0" fontId="56" fillId="11" borderId="52" xfId="43" applyFont="1" applyFill="1" applyBorder="1" applyAlignment="1">
      <alignment horizontal="left" wrapText="1" indent="3"/>
    </xf>
    <xf numFmtId="167" fontId="56" fillId="11" borderId="8" xfId="1" applyNumberFormat="1" applyFont="1" applyFill="1" applyBorder="1"/>
    <xf numFmtId="0" fontId="56" fillId="11" borderId="61" xfId="43" applyFont="1" applyFill="1" applyBorder="1" applyAlignment="1">
      <alignment horizontal="left" wrapText="1" indent="3"/>
    </xf>
    <xf numFmtId="167" fontId="56" fillId="0" borderId="62" xfId="4" applyNumberFormat="1" applyFont="1" applyBorder="1" applyAlignment="1">
      <alignment wrapText="1"/>
    </xf>
    <xf numFmtId="167" fontId="56" fillId="0" borderId="78" xfId="4" applyNumberFormat="1" applyFont="1" applyFill="1" applyBorder="1"/>
    <xf numFmtId="167" fontId="56" fillId="0" borderId="64" xfId="4" applyNumberFormat="1" applyFont="1" applyFill="1" applyBorder="1"/>
    <xf numFmtId="0" fontId="56" fillId="11" borderId="81" xfId="43" applyFont="1" applyFill="1" applyBorder="1" applyAlignment="1">
      <alignment horizontal="left" wrapText="1" indent="3"/>
    </xf>
    <xf numFmtId="49" fontId="56" fillId="11" borderId="52" xfId="43" applyNumberFormat="1" applyFont="1" applyFill="1" applyBorder="1" applyAlignment="1">
      <alignment horizontal="left" wrapText="1" indent="2"/>
    </xf>
    <xf numFmtId="49" fontId="61" fillId="11" borderId="52" xfId="43" applyNumberFormat="1" applyFont="1" applyFill="1" applyBorder="1" applyAlignment="1">
      <alignment horizontal="left" wrapText="1" indent="2"/>
    </xf>
    <xf numFmtId="9" fontId="56" fillId="0" borderId="87" xfId="4" applyFont="1" applyBorder="1" applyAlignment="1">
      <alignment wrapText="1"/>
    </xf>
    <xf numFmtId="9" fontId="56" fillId="0" borderId="88" xfId="4" applyFont="1" applyBorder="1" applyAlignment="1">
      <alignment wrapText="1"/>
    </xf>
    <xf numFmtId="167" fontId="56" fillId="0" borderId="84" xfId="1" applyNumberFormat="1" applyFont="1" applyFill="1" applyBorder="1"/>
    <xf numFmtId="164" fontId="56" fillId="0" borderId="0" xfId="43" applyNumberFormat="1" applyFont="1"/>
    <xf numFmtId="3" fontId="135" fillId="0" borderId="84" xfId="43" applyNumberFormat="1" applyFont="1" applyBorder="1"/>
    <xf numFmtId="3" fontId="134" fillId="4" borderId="84" xfId="43" applyNumberFormat="1" applyFont="1" applyFill="1" applyBorder="1"/>
    <xf numFmtId="3" fontId="135" fillId="10" borderId="84" xfId="43" applyNumberFormat="1" applyFont="1" applyFill="1" applyBorder="1"/>
    <xf numFmtId="3" fontId="135" fillId="3" borderId="84" xfId="43" applyNumberFormat="1" applyFont="1" applyFill="1" applyBorder="1"/>
    <xf numFmtId="0" fontId="135" fillId="0" borderId="0" xfId="43" applyFont="1"/>
    <xf numFmtId="3" fontId="135" fillId="0" borderId="0" xfId="43" applyNumberFormat="1" applyFont="1"/>
    <xf numFmtId="10" fontId="135" fillId="0" borderId="0" xfId="9" applyNumberFormat="1" applyFont="1"/>
    <xf numFmtId="3" fontId="135" fillId="11" borderId="84" xfId="43" applyNumberFormat="1" applyFont="1" applyFill="1" applyBorder="1"/>
    <xf numFmtId="3" fontId="135" fillId="0" borderId="84" xfId="43" applyNumberFormat="1" applyFont="1" applyBorder="1" applyAlignment="1">
      <alignment wrapText="1"/>
    </xf>
    <xf numFmtId="167" fontId="61" fillId="4" borderId="84" xfId="1" applyNumberFormat="1" applyFont="1" applyFill="1" applyBorder="1"/>
    <xf numFmtId="167" fontId="56" fillId="0" borderId="0" xfId="4" applyNumberFormat="1" applyFont="1"/>
    <xf numFmtId="9" fontId="56" fillId="0" borderId="48" xfId="2" applyFont="1" applyBorder="1"/>
    <xf numFmtId="3" fontId="68" fillId="15" borderId="84" xfId="43" applyNumberFormat="1" applyFont="1" applyFill="1" applyBorder="1"/>
    <xf numFmtId="3" fontId="56" fillId="15" borderId="84" xfId="43" applyNumberFormat="1" applyFont="1" applyFill="1" applyBorder="1"/>
    <xf numFmtId="3" fontId="56" fillId="11" borderId="84" xfId="43" applyNumberFormat="1" applyFont="1" applyFill="1" applyBorder="1"/>
    <xf numFmtId="167" fontId="56" fillId="0" borderId="48" xfId="4" applyNumberFormat="1" applyFont="1" applyFill="1" applyBorder="1" applyAlignment="1">
      <alignment wrapText="1"/>
    </xf>
    <xf numFmtId="167" fontId="135" fillId="0" borderId="0" xfId="43" applyNumberFormat="1" applyFont="1"/>
    <xf numFmtId="3" fontId="58" fillId="0" borderId="0" xfId="43" applyNumberFormat="1" applyFont="1"/>
    <xf numFmtId="0" fontId="136" fillId="14" borderId="0" xfId="0" applyFont="1" applyFill="1" applyAlignment="1">
      <alignment horizontal="left" vertical="top" wrapText="1"/>
    </xf>
    <xf numFmtId="0" fontId="136" fillId="14" borderId="0" xfId="0" applyFont="1" applyFill="1"/>
    <xf numFmtId="0" fontId="136" fillId="14" borderId="0" xfId="0" applyFont="1" applyFill="1" applyAlignment="1">
      <alignment horizontal="left" indent="2"/>
    </xf>
    <xf numFmtId="3" fontId="136" fillId="14" borderId="0" xfId="0" applyNumberFormat="1" applyFont="1" applyFill="1" applyAlignment="1">
      <alignment horizontal="left" indent="2"/>
    </xf>
    <xf numFmtId="3" fontId="136" fillId="14" borderId="0" xfId="0" applyNumberFormat="1" applyFont="1" applyFill="1"/>
    <xf numFmtId="0" fontId="136" fillId="14" borderId="0" xfId="0" applyFont="1" applyFill="1" applyAlignment="1">
      <alignment horizontal="left" vertical="top" wrapText="1" indent="2"/>
    </xf>
    <xf numFmtId="0" fontId="136" fillId="14" borderId="0" xfId="0" applyFont="1" applyFill="1" applyAlignment="1">
      <alignment horizontal="left" wrapText="1"/>
    </xf>
    <xf numFmtId="0" fontId="136" fillId="14" borderId="0" xfId="0" applyFont="1" applyFill="1" applyAlignment="1">
      <alignment horizontal="left"/>
    </xf>
    <xf numFmtId="3" fontId="56" fillId="0" borderId="89" xfId="43" applyNumberFormat="1" applyFont="1" applyBorder="1"/>
    <xf numFmtId="167" fontId="137" fillId="14" borderId="0" xfId="1" applyNumberFormat="1" applyFont="1" applyFill="1"/>
    <xf numFmtId="0" fontId="63" fillId="14" borderId="0" xfId="0" applyFont="1" applyFill="1" applyAlignment="1">
      <alignment horizontal="left" vertical="top"/>
    </xf>
    <xf numFmtId="0" fontId="63" fillId="14" borderId="0" xfId="0" applyFont="1" applyFill="1" applyAlignment="1">
      <alignment horizontal="left"/>
    </xf>
    <xf numFmtId="0" fontId="124" fillId="0" borderId="10" xfId="0" applyFont="1" applyBorder="1" applyAlignment="1">
      <alignment horizontal="center" vertical="center" wrapText="1"/>
    </xf>
    <xf numFmtId="0" fontId="124" fillId="0" borderId="82" xfId="0" applyFont="1" applyBorder="1" applyAlignment="1">
      <alignment horizontal="center" vertical="center" wrapText="1"/>
    </xf>
    <xf numFmtId="0" fontId="0" fillId="0" borderId="0" xfId="0" applyAlignment="1">
      <alignment horizontal="center"/>
    </xf>
    <xf numFmtId="9" fontId="56" fillId="0" borderId="87" xfId="4" applyFont="1" applyBorder="1" applyAlignment="1">
      <alignment horizontal="left" wrapText="1"/>
    </xf>
    <xf numFmtId="9" fontId="56" fillId="0" borderId="26" xfId="4" applyFont="1" applyBorder="1" applyAlignment="1">
      <alignment horizontal="left" wrapText="1"/>
    </xf>
    <xf numFmtId="9" fontId="56" fillId="0" borderId="87" xfId="4" applyFont="1" applyFill="1" applyBorder="1" applyAlignment="1">
      <alignment horizontal="left" wrapText="1"/>
    </xf>
    <xf numFmtId="9" fontId="56" fillId="0" borderId="26" xfId="4" applyFont="1" applyFill="1" applyBorder="1" applyAlignment="1">
      <alignment horizontal="left" wrapText="1"/>
    </xf>
    <xf numFmtId="9" fontId="56" fillId="0" borderId="76" xfId="4" applyFont="1" applyFill="1" applyBorder="1" applyAlignment="1">
      <alignment horizontal="left" vertical="center" wrapText="1"/>
    </xf>
    <xf numFmtId="9" fontId="56" fillId="0" borderId="26" xfId="4" applyFont="1" applyFill="1" applyBorder="1" applyAlignment="1">
      <alignment horizontal="left" vertical="center" wrapText="1"/>
    </xf>
    <xf numFmtId="0" fontId="92" fillId="0" borderId="0" xfId="83" applyFont="1"/>
    <xf numFmtId="0" fontId="50" fillId="0" borderId="0" xfId="43"/>
    <xf numFmtId="0" fontId="91" fillId="0" borderId="0" xfId="83" applyFont="1"/>
    <xf numFmtId="9" fontId="56" fillId="12" borderId="66" xfId="2" applyFont="1" applyFill="1" applyBorder="1" applyAlignment="1">
      <alignment horizontal="right" vertical="center"/>
    </xf>
    <xf numFmtId="9" fontId="56" fillId="12" borderId="26" xfId="2" applyFont="1" applyFill="1" applyBorder="1" applyAlignment="1">
      <alignment horizontal="right" vertical="center"/>
    </xf>
    <xf numFmtId="9" fontId="56" fillId="0" borderId="66" xfId="2" applyFont="1" applyBorder="1" applyAlignment="1">
      <alignment horizontal="right" wrapText="1"/>
    </xf>
    <xf numFmtId="9" fontId="56" fillId="0" borderId="26" xfId="2" applyFont="1" applyBorder="1" applyAlignment="1">
      <alignment horizontal="right" wrapText="1"/>
    </xf>
    <xf numFmtId="3" fontId="67" fillId="8" borderId="76" xfId="43" applyNumberFormat="1" applyFont="1" applyFill="1" applyBorder="1" applyAlignment="1">
      <alignment horizontal="right" vertical="center"/>
    </xf>
    <xf numFmtId="3" fontId="67" fillId="8" borderId="26" xfId="43" applyNumberFormat="1" applyFont="1" applyFill="1" applyBorder="1" applyAlignment="1">
      <alignment horizontal="right" vertical="center"/>
    </xf>
    <xf numFmtId="9" fontId="67" fillId="8" borderId="76" xfId="2" applyFont="1" applyFill="1" applyBorder="1" applyAlignment="1">
      <alignment horizontal="right" vertical="center"/>
    </xf>
    <xf numFmtId="9" fontId="67" fillId="8" borderId="26" xfId="2" applyFont="1" applyFill="1" applyBorder="1" applyAlignment="1">
      <alignment horizontal="right" vertical="center"/>
    </xf>
    <xf numFmtId="3" fontId="56" fillId="0" borderId="76" xfId="43" applyNumberFormat="1" applyFont="1" applyBorder="1" applyAlignment="1">
      <alignment horizontal="right" vertical="center"/>
    </xf>
    <xf numFmtId="3" fontId="56" fillId="0" borderId="26" xfId="43" applyNumberFormat="1" applyFont="1" applyBorder="1" applyAlignment="1">
      <alignment horizontal="right" vertical="center"/>
    </xf>
    <xf numFmtId="3" fontId="56" fillId="0" borderId="76" xfId="43" applyNumberFormat="1" applyFont="1" applyBorder="1" applyAlignment="1">
      <alignment horizontal="right"/>
    </xf>
    <xf numFmtId="3" fontId="56" fillId="0" borderId="26" xfId="43" applyNumberFormat="1" applyFont="1" applyBorder="1" applyAlignment="1">
      <alignment horizontal="right"/>
    </xf>
    <xf numFmtId="0" fontId="63" fillId="14" borderId="0" xfId="0" applyFont="1" applyFill="1" applyAlignment="1">
      <alignment horizontal="left" vertical="top" wrapText="1"/>
    </xf>
    <xf numFmtId="0" fontId="63" fillId="14" borderId="0" xfId="0" applyFont="1" applyFill="1" applyAlignment="1">
      <alignment horizontal="left" wrapText="1"/>
    </xf>
  </cellXfs>
  <cellStyles count="329">
    <cellStyle name="20% - Accent1" xfId="118" builtinId="30" customBuiltin="1"/>
    <cellStyle name="20% - Accent1 2" xfId="178" xr:uid="{363495CB-4EFD-4075-8AF2-8C15E33F265E}"/>
    <cellStyle name="20% - Accent1 3" xfId="254" xr:uid="{E5B18DE7-613F-46E6-83F3-B8D166189AAE}"/>
    <cellStyle name="20% - Accent2" xfId="122" builtinId="34" customBuiltin="1"/>
    <cellStyle name="20% - Accent2 2" xfId="181" xr:uid="{A18B77CC-0EE2-4068-8D7D-EF36B82D4569}"/>
    <cellStyle name="20% - Accent2 3" xfId="257" xr:uid="{0B5741FD-8B26-42B3-AD92-C666C48C2E56}"/>
    <cellStyle name="20% - Accent3" xfId="126" builtinId="38" customBuiltin="1"/>
    <cellStyle name="20% - Accent3 2" xfId="184" xr:uid="{828B7FC4-D874-45AB-90C4-80E102CDA5BC}"/>
    <cellStyle name="20% - Accent3 3" xfId="260" xr:uid="{1E6C9157-3BCC-462D-A9DA-092044DD508A}"/>
    <cellStyle name="20% - Accent4" xfId="130" builtinId="42" customBuiltin="1"/>
    <cellStyle name="20% - Accent4 2" xfId="187" xr:uid="{D6C29F7D-F1D1-4B50-B51D-8C757C4F426E}"/>
    <cellStyle name="20% - Accent4 3" xfId="263" xr:uid="{C8AB55DE-1FCC-4428-9A86-267BA79876C2}"/>
    <cellStyle name="20% - Accent5" xfId="134" builtinId="46" customBuiltin="1"/>
    <cellStyle name="20% - Accent5 2" xfId="190" xr:uid="{FCD4D055-3930-49A6-8889-90B080C6E772}"/>
    <cellStyle name="20% - Accent5 3" xfId="266" xr:uid="{F587695F-375B-4967-B352-43DE04DA1E20}"/>
    <cellStyle name="20% - Accent6" xfId="138" builtinId="50" customBuiltin="1"/>
    <cellStyle name="20% - Accent6 2" xfId="193" xr:uid="{27DC87F4-78AB-4578-80CF-0B1BFA91BF76}"/>
    <cellStyle name="20% - Accent6 3" xfId="269" xr:uid="{6401CBB4-6642-461B-ACAA-8610AEB4F886}"/>
    <cellStyle name="20% no 1. izcēluma 2" xfId="148" xr:uid="{00000000-0005-0000-0000-000001000000}"/>
    <cellStyle name="20% no 1. izcēluma 3" xfId="221" xr:uid="{784540F9-359C-423E-BC1B-C1AEB3C33C54}"/>
    <cellStyle name="20% no 1. izcēluma 4" xfId="291" xr:uid="{9A5F063E-E35A-492C-BB8F-D1193F715CA3}"/>
    <cellStyle name="20% no 1. izcēluma 5" xfId="311" xr:uid="{597C57DC-09AE-4B25-85F8-E5A2FE1610F3}"/>
    <cellStyle name="20% no 2. izcēluma 2" xfId="150" xr:uid="{00000000-0005-0000-0000-000003000000}"/>
    <cellStyle name="20% no 2. izcēluma 3" xfId="224" xr:uid="{825A49D2-CB0F-4EA0-883E-62C47A8A74EE}"/>
    <cellStyle name="20% no 2. izcēluma 4" xfId="294" xr:uid="{570A7799-FCA2-470F-8DEB-14D159827883}"/>
    <cellStyle name="20% no 2. izcēluma 5" xfId="314" xr:uid="{2291D85C-FC7D-46A5-8603-D5B8B5572186}"/>
    <cellStyle name="20% no 3. izcēluma 2" xfId="152" xr:uid="{00000000-0005-0000-0000-000005000000}"/>
    <cellStyle name="20% no 3. izcēluma 3" xfId="227" xr:uid="{BDB0685F-E89F-4E5B-8878-13EC8CEB3F6B}"/>
    <cellStyle name="20% no 3. izcēluma 4" xfId="297" xr:uid="{FADBEC5B-90F9-4043-9A0B-9C4C32C01783}"/>
    <cellStyle name="20% no 3. izcēluma 5" xfId="317" xr:uid="{0DF69524-4A0F-42D0-B664-2E5954611DF2}"/>
    <cellStyle name="20% no 4. izcēluma 2" xfId="154" xr:uid="{00000000-0005-0000-0000-000007000000}"/>
    <cellStyle name="20% no 4. izcēluma 3" xfId="230" xr:uid="{A8DB4D5F-6BB0-4C95-BF37-19DF26094270}"/>
    <cellStyle name="20% no 4. izcēluma 4" xfId="300" xr:uid="{CB2C0813-EF94-4DE4-A397-B37898DC7994}"/>
    <cellStyle name="20% no 4. izcēluma 5" xfId="320" xr:uid="{50411459-29A0-41BE-9B03-9A8E7E6F336B}"/>
    <cellStyle name="20% no 5. izcēluma 2" xfId="156" xr:uid="{00000000-0005-0000-0000-000009000000}"/>
    <cellStyle name="20% no 5. izcēluma 3" xfId="233" xr:uid="{A32F06B0-3F09-44A7-8CC2-04FCC134D7A2}"/>
    <cellStyle name="20% no 5. izcēluma 4" xfId="303" xr:uid="{5125DE62-4F25-4E20-AE79-BCD92B6132EF}"/>
    <cellStyle name="20% no 5. izcēluma 5" xfId="323" xr:uid="{96D944B2-3D88-49BA-8244-3F36ECEC7F22}"/>
    <cellStyle name="20% no 6. izcēluma 2" xfId="158" xr:uid="{00000000-0005-0000-0000-00000B000000}"/>
    <cellStyle name="20% no 6. izcēluma 3" xfId="236" xr:uid="{D91FA401-D48B-4953-A089-E6168A38A39B}"/>
    <cellStyle name="20% no 6. izcēluma 4" xfId="306" xr:uid="{E42FA86C-3F1C-4E26-AE77-9FEF4111EA57}"/>
    <cellStyle name="20% no 6. izcēluma 5" xfId="326" xr:uid="{EA428D3A-00FC-4B88-A38B-A09D6986F58D}"/>
    <cellStyle name="40% - Accent1" xfId="119" builtinId="31" customBuiltin="1"/>
    <cellStyle name="40% - Accent1 2" xfId="179" xr:uid="{52F15773-EEB9-4FAB-B1D0-72EF0155F97D}"/>
    <cellStyle name="40% - Accent1 3" xfId="255" xr:uid="{3E5A396A-0448-4C32-9011-01F9C66BC61D}"/>
    <cellStyle name="40% - Accent2" xfId="123" builtinId="35" customBuiltin="1"/>
    <cellStyle name="40% - Accent2 2" xfId="182" xr:uid="{3B8FAB79-3B2B-45F3-A5EB-B230A3278B50}"/>
    <cellStyle name="40% - Accent2 3" xfId="258" xr:uid="{1181E458-A323-45CD-9455-A05C791EED05}"/>
    <cellStyle name="40% - Accent3" xfId="127" builtinId="39" customBuiltin="1"/>
    <cellStyle name="40% - Accent3 2" xfId="185" xr:uid="{2B662775-B899-4B35-8D7E-FCE4CD58456D}"/>
    <cellStyle name="40% - Accent3 3" xfId="261" xr:uid="{9AF3EAC6-520A-4CDF-9CAA-4E7F85768EEB}"/>
    <cellStyle name="40% - Accent4" xfId="131" builtinId="43" customBuiltin="1"/>
    <cellStyle name="40% - Accent4 2" xfId="188" xr:uid="{64C688F0-7CEF-4FE8-9E4F-59C5F7B42BEF}"/>
    <cellStyle name="40% - Accent4 3" xfId="264" xr:uid="{4CD6D80D-3FF9-4D61-B545-31BC888C668F}"/>
    <cellStyle name="40% - Accent5" xfId="135" builtinId="47" customBuiltin="1"/>
    <cellStyle name="40% - Accent5 2" xfId="191" xr:uid="{AF63A63F-2393-4DDD-B11E-1E8547F0F85D}"/>
    <cellStyle name="40% - Accent5 3" xfId="267" xr:uid="{549B5969-3EB4-4DD1-BDD8-95D7A6E0C93E}"/>
    <cellStyle name="40% - Accent6" xfId="139" builtinId="51" customBuiltin="1"/>
    <cellStyle name="40% - Accent6 2" xfId="194" xr:uid="{3A5C1458-F927-4ED5-9DF6-2B52D0C9B7BA}"/>
    <cellStyle name="40% - Accent6 3" xfId="270" xr:uid="{0D42A310-8352-4F0C-A4E1-061959AAB9CB}"/>
    <cellStyle name="40% no 1. izcēluma 2" xfId="149" xr:uid="{00000000-0005-0000-0000-00000D000000}"/>
    <cellStyle name="40% no 1. izcēluma 3" xfId="222" xr:uid="{79A19D2E-A8A2-4715-83EE-F09F8D21670E}"/>
    <cellStyle name="40% no 1. izcēluma 4" xfId="292" xr:uid="{AA301BD9-2E8A-4E8F-96CA-536C68EC720E}"/>
    <cellStyle name="40% no 1. izcēluma 5" xfId="312" xr:uid="{1626B5D4-66DE-44A1-ACD3-D5E8FCB7087C}"/>
    <cellStyle name="40% no 2. izcēluma 2" xfId="151" xr:uid="{00000000-0005-0000-0000-00000F000000}"/>
    <cellStyle name="40% no 2. izcēluma 3" xfId="225" xr:uid="{6D9775AC-6734-46A7-8000-8D06F849011F}"/>
    <cellStyle name="40% no 2. izcēluma 4" xfId="295" xr:uid="{5C52B775-BC1C-4B3E-B437-C84A210FF11C}"/>
    <cellStyle name="40% no 2. izcēluma 5" xfId="315" xr:uid="{45D44B65-7989-43A5-93A3-DF617C616786}"/>
    <cellStyle name="40% no 3. izcēluma 2" xfId="153" xr:uid="{00000000-0005-0000-0000-000011000000}"/>
    <cellStyle name="40% no 3. izcēluma 3" xfId="228" xr:uid="{1DBDB1B2-71C4-4862-AD1C-CDF14924E251}"/>
    <cellStyle name="40% no 3. izcēluma 4" xfId="298" xr:uid="{71DB1057-1042-4D89-BA7B-EC2DEF3B4B3D}"/>
    <cellStyle name="40% no 3. izcēluma 5" xfId="318" xr:uid="{7511ED00-E917-4F59-AE42-43D154D728E7}"/>
    <cellStyle name="40% no 4. izcēluma 2" xfId="155" xr:uid="{00000000-0005-0000-0000-000013000000}"/>
    <cellStyle name="40% no 4. izcēluma 3" xfId="231" xr:uid="{4A868E76-6305-44D7-A20B-7EEE03FAFAB6}"/>
    <cellStyle name="40% no 4. izcēluma 4" xfId="301" xr:uid="{9CC6FB48-9F66-4708-85B8-85397A9B79BC}"/>
    <cellStyle name="40% no 4. izcēluma 5" xfId="321" xr:uid="{F63DC069-D7F1-4251-9284-2D3EB7C8775D}"/>
    <cellStyle name="40% no 5. izcēluma 2" xfId="157" xr:uid="{00000000-0005-0000-0000-000015000000}"/>
    <cellStyle name="40% no 5. izcēluma 3" xfId="234" xr:uid="{4F8CC661-C589-4E31-9949-FDD729F9FFE2}"/>
    <cellStyle name="40% no 5. izcēluma 4" xfId="304" xr:uid="{EF6D5159-2B4E-47F1-83AE-6E140D63093C}"/>
    <cellStyle name="40% no 5. izcēluma 5" xfId="324" xr:uid="{FB2F11D1-AF3F-4808-83FD-2205B0C0CCA7}"/>
    <cellStyle name="40% no 6. izcēluma 2" xfId="159" xr:uid="{00000000-0005-0000-0000-000017000000}"/>
    <cellStyle name="40% no 6. izcēluma 3" xfId="237" xr:uid="{21B6D52D-3270-4A1B-841E-69E38C4EE0ED}"/>
    <cellStyle name="40% no 6. izcēluma 4" xfId="307" xr:uid="{0DB94084-4E67-4794-937F-E3E1599C29CB}"/>
    <cellStyle name="40% no 6. izcēluma 5" xfId="327" xr:uid="{C17B50F9-B7EE-4B14-BF28-3E6F9F3048D3}"/>
    <cellStyle name="60% - Accent1" xfId="120" builtinId="32" customBuiltin="1"/>
    <cellStyle name="60% - Accent1 2" xfId="180" xr:uid="{2FF805B4-7736-476D-9441-E38DA002F17C}"/>
    <cellStyle name="60% - Accent1 3" xfId="256" xr:uid="{1D71ECB8-1786-4327-A481-1DBC41CD12F6}"/>
    <cellStyle name="60% - Accent2" xfId="124" builtinId="36" customBuiltin="1"/>
    <cellStyle name="60% - Accent2 2" xfId="183" xr:uid="{C36BDC48-DDDB-44C7-9E4B-3FEFC6C7EE83}"/>
    <cellStyle name="60% - Accent2 3" xfId="259" xr:uid="{1FE7452F-6B7B-4BB2-8685-1812FF4DC364}"/>
    <cellStyle name="60% - Accent3" xfId="128" builtinId="40" customBuiltin="1"/>
    <cellStyle name="60% - Accent3 2" xfId="186" xr:uid="{129DABD0-E58B-4402-90C0-1CDA297E49E8}"/>
    <cellStyle name="60% - Accent3 3" xfId="262" xr:uid="{08802A62-7D09-45F3-ADFC-7526242635C2}"/>
    <cellStyle name="60% - Accent4" xfId="132" builtinId="44" customBuiltin="1"/>
    <cellStyle name="60% - Accent4 2" xfId="189" xr:uid="{4DF1C865-0303-4E8E-8163-9614765FC054}"/>
    <cellStyle name="60% - Accent4 3" xfId="265" xr:uid="{68A38B11-F7FC-4586-93CC-9F039F4577DA}"/>
    <cellStyle name="60% - Accent5" xfId="136" builtinId="48" customBuiltin="1"/>
    <cellStyle name="60% - Accent5 2" xfId="192" xr:uid="{49CE04F7-7C67-4035-B478-D5A0BC67A4F9}"/>
    <cellStyle name="60% - Accent5 3" xfId="268" xr:uid="{B7B32AEA-8954-41E2-ACA2-AF1C9415F3A5}"/>
    <cellStyle name="60% - Accent6" xfId="140" builtinId="52" customBuiltin="1"/>
    <cellStyle name="60% - Accent6 2" xfId="195" xr:uid="{E49FFC8E-C988-475A-9C83-E9CFCB701DBF}"/>
    <cellStyle name="60% - Accent6 3" xfId="271" xr:uid="{CE0272C9-98EC-4F79-8EFD-9FFA00968D36}"/>
    <cellStyle name="60% no 1. izcēluma 2" xfId="223" xr:uid="{BACF85F9-4A7D-4C85-89B8-81505C9E67CC}"/>
    <cellStyle name="60% no 1. izcēluma 3" xfId="293" xr:uid="{6E6DDF74-1124-452E-8DEA-BE136C66FD35}"/>
    <cellStyle name="60% no 1. izcēluma 4" xfId="313" xr:uid="{FD9E8D96-C712-462C-8C77-1F9F40495FB6}"/>
    <cellStyle name="60% no 2. izcēluma 2" xfId="226" xr:uid="{E8127104-1405-4FB8-A7A8-A9AC3EFE9E68}"/>
    <cellStyle name="60% no 2. izcēluma 3" xfId="296" xr:uid="{8E8CF635-DE1E-48BD-9894-6B0ED7F30586}"/>
    <cellStyle name="60% no 2. izcēluma 4" xfId="316" xr:uid="{8C110840-DBE8-42A4-B129-6FA4AE31D5A2}"/>
    <cellStyle name="60% no 3. izcēluma 2" xfId="229" xr:uid="{DF56DC40-6B6E-4ECB-9EB0-25F22FE902E7}"/>
    <cellStyle name="60% no 3. izcēluma 3" xfId="299" xr:uid="{AB6F73AB-E870-4C67-BCB8-91DE26B16151}"/>
    <cellStyle name="60% no 3. izcēluma 4" xfId="319" xr:uid="{05C04937-C729-444E-A89F-DD3EBC717066}"/>
    <cellStyle name="60% no 4. izcēluma 2" xfId="232" xr:uid="{B21BC850-C4D2-4CC5-A843-4B748E0B26A3}"/>
    <cellStyle name="60% no 4. izcēluma 3" xfId="302" xr:uid="{BB661609-EFCF-49F1-9834-CB5B796206BC}"/>
    <cellStyle name="60% no 4. izcēluma 4" xfId="322" xr:uid="{317F5FFD-B391-49E0-B954-B8BF4F0E3CEF}"/>
    <cellStyle name="60% no 5. izcēluma 2" xfId="235" xr:uid="{93DD5956-1773-4ED8-803E-11AD19B3C5C4}"/>
    <cellStyle name="60% no 5. izcēluma 3" xfId="305" xr:uid="{8E15DA69-81B4-4F76-BEB8-D54236B4D5FB}"/>
    <cellStyle name="60% no 5. izcēluma 4" xfId="325" xr:uid="{0895A06E-5B5E-4177-BD65-3E77CEDF170B}"/>
    <cellStyle name="60% no 6. izcēluma 2" xfId="238" xr:uid="{521FF28F-DC94-43B6-BBAC-663C1ED4DF4C}"/>
    <cellStyle name="60% no 6. izcēluma 3" xfId="308" xr:uid="{74A471CA-D70E-4D05-8BB8-D0BDEEE83208}"/>
    <cellStyle name="60% no 6. izcēluma 4" xfId="328" xr:uid="{8B75D909-116E-4F22-A6F2-2861B219AE89}"/>
    <cellStyle name="Accent1" xfId="117" builtinId="29" customBuiltin="1"/>
    <cellStyle name="Accent2" xfId="121" builtinId="33" customBuiltin="1"/>
    <cellStyle name="Accent3" xfId="125" builtinId="37" customBuiltin="1"/>
    <cellStyle name="Accent4" xfId="129" builtinId="41" customBuiltin="1"/>
    <cellStyle name="Accent5" xfId="133" builtinId="45" customBuiltin="1"/>
    <cellStyle name="Accent6" xfId="137" builtinId="49" customBuiltin="1"/>
    <cellStyle name="Bad" xfId="107" builtinId="27" customBuiltin="1"/>
    <cellStyle name="Calculation" xfId="111" builtinId="22" customBuiltin="1"/>
    <cellStyle name="Check Cell" xfId="113" builtinId="23" customBuiltin="1"/>
    <cellStyle name="Comma" xfId="1" builtinId="3"/>
    <cellStyle name="Comma 2" xfId="217" xr:uid="{A6C95BC1-19F2-4D14-8F05-F1BCAFFD66B6}"/>
    <cellStyle name="Comma 2 2" xfId="25" xr:uid="{00000000-0005-0000-0000-000020000000}"/>
    <cellStyle name="Comma 2 3" xfId="275" xr:uid="{F9D5D71F-661B-4307-A0AF-6B2ED6BF2B9D}"/>
    <cellStyle name="Comma 3" xfId="30" xr:uid="{00000000-0005-0000-0000-000021000000}"/>
    <cellStyle name="Comma 3 2" xfId="98" xr:uid="{00000000-0005-0000-0000-000022000000}"/>
    <cellStyle name="Comma 3 3" xfId="12" xr:uid="{00000000-0005-0000-0000-000023000000}"/>
    <cellStyle name="Comma 4" xfId="249" xr:uid="{AC4A0D79-086A-4C7A-AFC2-E1C60832C341}"/>
    <cellStyle name="Comma 4 2" xfId="11" xr:uid="{00000000-0005-0000-0000-000024000000}"/>
    <cellStyle name="Comma 5" xfId="8" xr:uid="{00000000-0005-0000-0000-000025000000}"/>
    <cellStyle name="Comma 6" xfId="251" xr:uid="{20C29D04-42EB-4FAE-971A-CDD78EB55D47}"/>
    <cellStyle name="Comma 6 2" xfId="15" xr:uid="{00000000-0005-0000-0000-000026000000}"/>
    <cellStyle name="Comma 7" xfId="273" xr:uid="{5DB96E3C-C4BF-462A-82BC-319C1315BCE8}"/>
    <cellStyle name="Comma 8" xfId="287" xr:uid="{9E2421F4-A937-454D-A66C-D9ADB2C1194B}"/>
    <cellStyle name="Currency 2" xfId="214" xr:uid="{A0439C78-5394-45FD-B783-E1E5BD692DBF}"/>
    <cellStyle name="Datums" xfId="209" xr:uid="{177CD88D-07C8-4806-B238-51403151868B}"/>
    <cellStyle name="Excel Built-in Comma" xfId="69" xr:uid="{00000000-0005-0000-0000-000028000000}"/>
    <cellStyle name="Excel Built-in Normal" xfId="54" xr:uid="{00000000-0005-0000-0000-000029000000}"/>
    <cellStyle name="Excel Built-in Percent" xfId="68" xr:uid="{00000000-0005-0000-0000-00002A000000}"/>
    <cellStyle name="Explanatory Text" xfId="115" builtinId="53" customBuiltin="1"/>
    <cellStyle name="Explanatory Text 2" xfId="207" xr:uid="{A0498B9A-D992-4E78-BF25-546CAE2BE786}"/>
    <cellStyle name="Good" xfId="106" builtinId="26" customBuiltin="1"/>
    <cellStyle name="Heading 1" xfId="102" builtinId="16" customBuiltin="1"/>
    <cellStyle name="Heading 1 2" xfId="204" xr:uid="{E98B7448-A897-4EA1-9906-18A8FE0D192D}"/>
    <cellStyle name="Heading 2" xfId="103" builtinId="17" customBuiltin="1"/>
    <cellStyle name="Heading 2 2" xfId="208" xr:uid="{FF1DA6CD-3B3A-4E9F-90B0-39C524CC5C89}"/>
    <cellStyle name="Heading 3" xfId="104" builtinId="18" customBuiltin="1"/>
    <cellStyle name="Heading 3 2" xfId="211" xr:uid="{EC5204E5-D883-4752-94D0-7259464FE54C}"/>
    <cellStyle name="Heading 4" xfId="105" builtinId="19" customBuiltin="1"/>
    <cellStyle name="Heading 4 2" xfId="212" xr:uid="{5BE628C0-8046-4E7E-9D76-388CC31BADE7}"/>
    <cellStyle name="Hipersaite 2" xfId="41" xr:uid="{00000000-0005-0000-0000-00002C000000}"/>
    <cellStyle name="Hipersaite 3" xfId="91" xr:uid="{00000000-0005-0000-0000-00002D000000}"/>
    <cellStyle name="Hipersaite 4" xfId="197" xr:uid="{6744AC71-A348-4DB4-9CF9-D7854F4985EF}"/>
    <cellStyle name="Hyperlink" xfId="173" builtinId="8"/>
    <cellStyle name="Input" xfId="109" builtinId="20" customBuiltin="1"/>
    <cellStyle name="Komats 10" xfId="5" xr:uid="{00000000-0005-0000-0000-000037000000}"/>
    <cellStyle name="Komats 10 2" xfId="61" xr:uid="{00000000-0005-0000-0000-000038000000}"/>
    <cellStyle name="Komats 11" xfId="78" xr:uid="{00000000-0005-0000-0000-000039000000}"/>
    <cellStyle name="Komats 12" xfId="99" xr:uid="{00000000-0005-0000-0000-00003A000000}"/>
    <cellStyle name="Komats 13" xfId="23" xr:uid="{00000000-0005-0000-0000-00003B000000}"/>
    <cellStyle name="Komats 13 2" xfId="58" xr:uid="{00000000-0005-0000-0000-00003C000000}"/>
    <cellStyle name="Komats 14" xfId="145" xr:uid="{00000000-0005-0000-0000-00003D000000}"/>
    <cellStyle name="Komats 15" xfId="201" xr:uid="{B05EB464-085D-4EEA-BAF8-CC5AD2B4A2D0}"/>
    <cellStyle name="Komats 16" xfId="280" xr:uid="{AD548885-FD29-4088-8317-79BA9DC61C67}"/>
    <cellStyle name="Komats 18" xfId="20" xr:uid="{00000000-0005-0000-0000-00003E000000}"/>
    <cellStyle name="Komats 18 2" xfId="36" xr:uid="{00000000-0005-0000-0000-00003F000000}"/>
    <cellStyle name="Komats 2" xfId="29" xr:uid="{00000000-0005-0000-0000-000040000000}"/>
    <cellStyle name="Komats 2 2" xfId="60" xr:uid="{00000000-0005-0000-0000-000041000000}"/>
    <cellStyle name="Komats 2 3" xfId="161" xr:uid="{00000000-0005-0000-0000-000042000000}"/>
    <cellStyle name="Komats 20" xfId="19" xr:uid="{00000000-0005-0000-0000-000043000000}"/>
    <cellStyle name="Komats 20 2" xfId="50" xr:uid="{00000000-0005-0000-0000-000044000000}"/>
    <cellStyle name="Komats 20 3" xfId="57" xr:uid="{00000000-0005-0000-0000-000045000000}"/>
    <cellStyle name="Komats 20 4" xfId="81" xr:uid="{00000000-0005-0000-0000-000046000000}"/>
    <cellStyle name="Komats 20 5" xfId="282" xr:uid="{21700D0F-48A2-4293-89BF-0015CF265070}"/>
    <cellStyle name="Komats 3" xfId="49" xr:uid="{00000000-0005-0000-0000-000047000000}"/>
    <cellStyle name="Komats 3 2" xfId="63" xr:uid="{00000000-0005-0000-0000-000048000000}"/>
    <cellStyle name="Komats 3 3" xfId="87" xr:uid="{00000000-0005-0000-0000-000049000000}"/>
    <cellStyle name="Komats 3 4" xfId="165" xr:uid="{00000000-0005-0000-0000-00004A000000}"/>
    <cellStyle name="Komats 4" xfId="24" xr:uid="{00000000-0005-0000-0000-00004B000000}"/>
    <cellStyle name="Komats 4 2" xfId="39" xr:uid="{00000000-0005-0000-0000-00004C000000}"/>
    <cellStyle name="Komats 4 3" xfId="59" xr:uid="{00000000-0005-0000-0000-00004D000000}"/>
    <cellStyle name="Komats 5" xfId="67" xr:uid="{00000000-0005-0000-0000-00004E000000}"/>
    <cellStyle name="Komats 6" xfId="22" xr:uid="{00000000-0005-0000-0000-00004F000000}"/>
    <cellStyle name="Komats 6 8" xfId="283" xr:uid="{F7F561BB-1E2E-47B6-9A20-08EA282A36E1}"/>
    <cellStyle name="Komats 7" xfId="72" xr:uid="{00000000-0005-0000-0000-000050000000}"/>
    <cellStyle name="Komats 7 2" xfId="144" xr:uid="{00000000-0005-0000-0000-000051000000}"/>
    <cellStyle name="Komats 8" xfId="75" xr:uid="{00000000-0005-0000-0000-000052000000}"/>
    <cellStyle name="Komats 9" xfId="17" xr:uid="{00000000-0005-0000-0000-000053000000}"/>
    <cellStyle name="Komentāri" xfId="213" xr:uid="{01923C97-C140-46F8-BB35-E6786FEC1363}"/>
    <cellStyle name="Labs 2" xfId="27" xr:uid="{00000000-0005-0000-0000-000056000000}"/>
    <cellStyle name="Linked Cell" xfId="112" builtinId="24" customBuiltin="1"/>
    <cellStyle name="Neitrāls 2" xfId="219" xr:uid="{E6A96BF4-61AC-4D2C-811D-29F06C7D1AE5}"/>
    <cellStyle name="Neutral" xfId="108" builtinId="28" customBuiltin="1"/>
    <cellStyle name="Neutral 2" xfId="176" xr:uid="{3B14C34B-77DA-4AF7-A04A-380F8ABDA04A}"/>
    <cellStyle name="Normal" xfId="0" builtinId="0"/>
    <cellStyle name="Normal 10" xfId="18" xr:uid="{00000000-0005-0000-0000-000058000000}"/>
    <cellStyle name="Normal 11" xfId="245" xr:uid="{5575246C-A952-4A15-BADA-9F19CD9E65C6}"/>
    <cellStyle name="Normal 12" xfId="248" xr:uid="{1D4F9D85-0A78-43F9-9239-E886866C899F}"/>
    <cellStyle name="Normal 13" xfId="250" xr:uid="{70DA57D8-BE06-4782-A262-EFEB9F93E445}"/>
    <cellStyle name="Normal 14" xfId="252" xr:uid="{665D8E63-7A1E-4286-B974-6D3B17E8B04A}"/>
    <cellStyle name="Normal 15" xfId="286" xr:uid="{FBEC95EE-F34F-4BDD-AB8C-AB89C986C816}"/>
    <cellStyle name="Normal 2" xfId="42" xr:uid="{00000000-0005-0000-0000-000059000000}"/>
    <cellStyle name="Normal 2 2" xfId="7" xr:uid="{00000000-0005-0000-0000-00005A000000}"/>
    <cellStyle name="Normal 2 2 2" xfId="52" xr:uid="{00000000-0005-0000-0000-00005B000000}"/>
    <cellStyle name="Normal 2 2 2 2" xfId="16" xr:uid="{00000000-0005-0000-0000-00005C000000}"/>
    <cellStyle name="Normal 2 3" xfId="64" xr:uid="{00000000-0005-0000-0000-00005D000000}"/>
    <cellStyle name="Normal 2 4" xfId="167" xr:uid="{00000000-0005-0000-0000-00005E000000}"/>
    <cellStyle name="Normal 2 5" xfId="274" xr:uid="{700C907F-C361-4212-BDF9-43011535042A}"/>
    <cellStyle name="Normal 21" xfId="284" xr:uid="{E16B377A-0FBF-4AA2-95CB-A54E7CAC446C}"/>
    <cellStyle name="Normal 3" xfId="51" xr:uid="{00000000-0005-0000-0000-00005F000000}"/>
    <cellStyle name="Normal 3 2" xfId="45" xr:uid="{00000000-0005-0000-0000-000060000000}"/>
    <cellStyle name="Normal 3 3" xfId="37" xr:uid="{00000000-0005-0000-0000-000061000000}"/>
    <cellStyle name="Normal 3 4" xfId="162" xr:uid="{00000000-0005-0000-0000-000062000000}"/>
    <cellStyle name="Normal 4" xfId="10" xr:uid="{00000000-0005-0000-0000-000063000000}"/>
    <cellStyle name="Normal 4 2" xfId="47" xr:uid="{00000000-0005-0000-0000-000064000000}"/>
    <cellStyle name="Normal 4 3" xfId="168" xr:uid="{00000000-0005-0000-0000-000065000000}"/>
    <cellStyle name="Normal 4 3 2" xfId="199" xr:uid="{7941E8FE-1001-4537-B72B-74FF7E985732}"/>
    <cellStyle name="Normal 4 3 2 2" xfId="241" xr:uid="{07A6D629-704A-4AD3-960C-E38FF4D2C387}"/>
    <cellStyle name="Normal 4 3 3" xfId="203" xr:uid="{1EEB7F85-9DF1-4FF9-BB7F-7A0A3BDFEC8F}"/>
    <cellStyle name="Normal 4 3 4" xfId="240" xr:uid="{23EF9E90-9BAF-472E-B63C-4831EE5CD3B5}"/>
    <cellStyle name="Normal 5" xfId="38" xr:uid="{00000000-0005-0000-0000-000066000000}"/>
    <cellStyle name="Normal 5 2" xfId="46" xr:uid="{00000000-0005-0000-0000-000067000000}"/>
    <cellStyle name="Normal 6" xfId="70" xr:uid="{00000000-0005-0000-0000-000068000000}"/>
    <cellStyle name="Normal 6 2" xfId="97" xr:uid="{00000000-0005-0000-0000-000069000000}"/>
    <cellStyle name="Normal 7" xfId="175" xr:uid="{91F72C39-2101-4206-AB1D-117A4479389E}"/>
    <cellStyle name="Normal 7 2" xfId="216" xr:uid="{B39A0216-0C63-4619-93B3-621879552DDB}"/>
    <cellStyle name="Normal 8" xfId="206" xr:uid="{06CF81E4-4CEE-4FB3-98A1-BFD93CCD82A7}"/>
    <cellStyle name="Normal 9" xfId="243" xr:uid="{E2B71D29-652D-40F2-B8AC-0C8EC8E6795B}"/>
    <cellStyle name="Normal 9 2" xfId="278" xr:uid="{AF77981C-2D49-4006-BAE6-6578AC2E2B9B}"/>
    <cellStyle name="Note 2" xfId="177" xr:uid="{AA97006D-4E69-4CC6-8481-354EBBA19CC9}"/>
    <cellStyle name="Note 3" xfId="215" xr:uid="{C0D84A79-D75B-4349-B990-6E2C649B60A1}"/>
    <cellStyle name="Note 4" xfId="253" xr:uid="{AF2C6C55-2CA7-4924-A4AC-240F6A75F761}"/>
    <cellStyle name="Output" xfId="110" builtinId="21" customBuiltin="1"/>
    <cellStyle name="Parastais_Lapa2" xfId="40" xr:uid="{00000000-0005-0000-0000-00006D000000}"/>
    <cellStyle name="Parasts 10" xfId="74" xr:uid="{00000000-0005-0000-0000-00006F000000}"/>
    <cellStyle name="Parasts 11" xfId="76" xr:uid="{00000000-0005-0000-0000-000070000000}"/>
    <cellStyle name="Parasts 12" xfId="77" xr:uid="{00000000-0005-0000-0000-000071000000}"/>
    <cellStyle name="Parasts 13" xfId="82" xr:uid="{00000000-0005-0000-0000-000072000000}"/>
    <cellStyle name="Parasts 14" xfId="84" xr:uid="{00000000-0005-0000-0000-000073000000}"/>
    <cellStyle name="Parasts 15" xfId="90" xr:uid="{00000000-0005-0000-0000-000074000000}"/>
    <cellStyle name="Parasts 15 2" xfId="94" xr:uid="{00000000-0005-0000-0000-000075000000}"/>
    <cellStyle name="Parasts 16" xfId="92" xr:uid="{00000000-0005-0000-0000-000076000000}"/>
    <cellStyle name="Parasts 17" xfId="96" xr:uid="{00000000-0005-0000-0000-000077000000}"/>
    <cellStyle name="Parasts 18" xfId="141" xr:uid="{00000000-0005-0000-0000-000078000000}"/>
    <cellStyle name="Parasts 19" xfId="146" xr:uid="{00000000-0005-0000-0000-000079000000}"/>
    <cellStyle name="Parasts 2" xfId="28" xr:uid="{00000000-0005-0000-0000-00007A000000}"/>
    <cellStyle name="Parasts 2 2" xfId="3" xr:uid="{00000000-0005-0000-0000-00007B000000}"/>
    <cellStyle name="Parasts 2 2 2" xfId="13" xr:uid="{00000000-0005-0000-0000-00007C000000}"/>
    <cellStyle name="Parasts 2 2 2 2" xfId="65" xr:uid="{00000000-0005-0000-0000-00007D000000}"/>
    <cellStyle name="Parasts 2 2 2 2 2 2" xfId="246" xr:uid="{AC96DA57-6BDC-46BB-80C2-D97C9371E98E}"/>
    <cellStyle name="Parasts 2 2 3" xfId="32" xr:uid="{00000000-0005-0000-0000-00007E000000}"/>
    <cellStyle name="Parasts 2 2 4" xfId="35" xr:uid="{00000000-0005-0000-0000-00007F000000}"/>
    <cellStyle name="Parasts 2 2 5" xfId="43" xr:uid="{00000000-0005-0000-0000-000080000000}"/>
    <cellStyle name="Parasts 2 2 5 2" xfId="83" xr:uid="{00000000-0005-0000-0000-000081000000}"/>
    <cellStyle name="Parasts 2 2 5 3" xfId="89" xr:uid="{00000000-0005-0000-0000-000082000000}"/>
    <cellStyle name="Parasts 2 2 5 4" xfId="93" xr:uid="{00000000-0005-0000-0000-000083000000}"/>
    <cellStyle name="Parasts 2 2 5 5" xfId="174" xr:uid="{00000000-0005-0000-0000-000084000000}"/>
    <cellStyle name="Parasts 2 2 5 6" xfId="288" xr:uid="{72083EC4-2096-484B-8A5A-06F2502D7264}"/>
    <cellStyle name="Parasts 2 3" xfId="86" xr:uid="{00000000-0005-0000-0000-000085000000}"/>
    <cellStyle name="Parasts 2 4" xfId="170" xr:uid="{00000000-0005-0000-0000-000086000000}"/>
    <cellStyle name="Parasts 2 5" xfId="272" xr:uid="{864894B5-703B-41B0-A3F8-C8987EA1DFC8}"/>
    <cellStyle name="Parasts 20" xfId="166" xr:uid="{00000000-0005-0000-0000-000087000000}"/>
    <cellStyle name="Parasts 20 2" xfId="198" xr:uid="{75C7A2B3-6BCE-4112-A10A-55E82BAF20CE}"/>
    <cellStyle name="Parasts 20 3" xfId="202" xr:uid="{9577B0DB-EFB8-4226-AE75-FBD61AB104D3}"/>
    <cellStyle name="Parasts 20 4" xfId="239" xr:uid="{96EF8392-9C93-4913-B028-411468475788}"/>
    <cellStyle name="Parasts 21" xfId="172" xr:uid="{00000000-0005-0000-0000-000088000000}"/>
    <cellStyle name="Parasts 22" xfId="196" xr:uid="{838BED57-F8F7-4C64-A2D0-8B3E18F8B431}"/>
    <cellStyle name="Parasts 23" xfId="200" xr:uid="{A9EB4556-2728-4537-8824-E4B437D8C3EC}"/>
    <cellStyle name="Parasts 24" xfId="218" xr:uid="{B555F44A-3B4B-4C67-8753-6B33B9A32A6D}"/>
    <cellStyle name="Parasts 24 2" xfId="244" xr:uid="{C7F7D1DA-786D-40A6-8C6D-C94B002410C9}"/>
    <cellStyle name="Parasts 25" xfId="276" xr:uid="{712D909E-56D4-480F-9F0D-78B5687D6CA8}"/>
    <cellStyle name="Parasts 26" xfId="277" xr:uid="{459ACD10-50EE-4118-A1A5-79E12FA62099}"/>
    <cellStyle name="Parasts 27" xfId="279" xr:uid="{057DAC5B-D145-47A3-9416-66C3E75968A3}"/>
    <cellStyle name="Parasts 28" xfId="289" xr:uid="{EB6D980D-751B-4277-8703-96E68C00C4B4}"/>
    <cellStyle name="Parasts 29" xfId="309" xr:uid="{D1DFF283-1E67-414F-8602-5219B11AF00C}"/>
    <cellStyle name="Parasts 3" xfId="33" xr:uid="{00000000-0005-0000-0000-000089000000}"/>
    <cellStyle name="Parasts 3 2" xfId="44" xr:uid="{00000000-0005-0000-0000-00008A000000}"/>
    <cellStyle name="Parasts 3 3" xfId="88" xr:uid="{00000000-0005-0000-0000-00008B000000}"/>
    <cellStyle name="Parasts 3 4" xfId="160" xr:uid="{00000000-0005-0000-0000-00008C000000}"/>
    <cellStyle name="Parasts 3 4 2" xfId="247" xr:uid="{AF31DD25-E13D-4B36-B8CB-BC7F8C6466B8}"/>
    <cellStyle name="Parasts 3 5" xfId="163" xr:uid="{00000000-0005-0000-0000-00008D000000}"/>
    <cellStyle name="Parasts 4" xfId="48" xr:uid="{00000000-0005-0000-0000-00008E000000}"/>
    <cellStyle name="Parasts 4 2" xfId="62" xr:uid="{00000000-0005-0000-0000-00008F000000}"/>
    <cellStyle name="Parasts 4 3" xfId="100" xr:uid="{00000000-0005-0000-0000-000090000000}"/>
    <cellStyle name="Parasts 4 4" xfId="164" xr:uid="{00000000-0005-0000-0000-000091000000}"/>
    <cellStyle name="Parasts 5" xfId="53" xr:uid="{00000000-0005-0000-0000-000092000000}"/>
    <cellStyle name="Parasts 6" xfId="55" xr:uid="{00000000-0005-0000-0000-000093000000}"/>
    <cellStyle name="Parasts 7" xfId="26" xr:uid="{00000000-0005-0000-0000-000094000000}"/>
    <cellStyle name="Parasts 8" xfId="66" xr:uid="{00000000-0005-0000-0000-000095000000}"/>
    <cellStyle name="Parasts 9" xfId="71" xr:uid="{00000000-0005-0000-0000-000096000000}"/>
    <cellStyle name="Parasts 9 2" xfId="143" xr:uid="{00000000-0005-0000-0000-000097000000}"/>
    <cellStyle name="Percent" xfId="2" builtinId="5"/>
    <cellStyle name="Percent 3 2" xfId="14" xr:uid="{00000000-0005-0000-0000-00009A000000}"/>
    <cellStyle name="Percent 4" xfId="9" xr:uid="{00000000-0005-0000-0000-00009B000000}"/>
    <cellStyle name="Piezīme 2" xfId="142" xr:uid="{00000000-0005-0000-0000-00009C000000}"/>
    <cellStyle name="Piezīme 3" xfId="147" xr:uid="{00000000-0005-0000-0000-00009D000000}"/>
    <cellStyle name="Piezīme 4" xfId="220" xr:uid="{31E00C30-DE24-4229-8B20-70128355722C}"/>
    <cellStyle name="Piezīme 5" xfId="290" xr:uid="{A9357EED-5A9A-43AB-B805-A978E58DCAD5}"/>
    <cellStyle name="Piezīme 6" xfId="310" xr:uid="{DCE696D9-8CA8-49F6-A174-CE21697177D7}"/>
    <cellStyle name="Procenti 2" xfId="31" xr:uid="{00000000-0005-0000-0000-00009F000000}"/>
    <cellStyle name="Procenti 2 2" xfId="95" xr:uid="{00000000-0005-0000-0000-0000A0000000}"/>
    <cellStyle name="Procenti 2 3" xfId="4" xr:uid="{00000000-0005-0000-0000-0000A1000000}"/>
    <cellStyle name="Procenti 2 4" xfId="171" xr:uid="{00000000-0005-0000-0000-0000A2000000}"/>
    <cellStyle name="Procenti 3" xfId="34" xr:uid="{00000000-0005-0000-0000-0000A3000000}"/>
    <cellStyle name="Procenti 4" xfId="56" xr:uid="{00000000-0005-0000-0000-0000A4000000}"/>
    <cellStyle name="Procenti 5" xfId="6" xr:uid="{00000000-0005-0000-0000-0000A5000000}"/>
    <cellStyle name="Procenti 6" xfId="73" xr:uid="{00000000-0005-0000-0000-0000A6000000}"/>
    <cellStyle name="Procenti 7" xfId="80" xr:uid="{00000000-0005-0000-0000-0000A7000000}"/>
    <cellStyle name="Procenti 8" xfId="281" xr:uid="{5D3D1976-3ACA-44D4-ABC5-B370AC9251A5}"/>
    <cellStyle name="Style 1" xfId="169" xr:uid="{00000000-0005-0000-0000-0000AA000000}"/>
    <cellStyle name="TableStyleLight1" xfId="285" xr:uid="{564DE8A6-361E-4F9C-9BA7-769CB6522B45}"/>
    <cellStyle name="Tālruņa numurs" xfId="210" xr:uid="{B8C2BBA4-491B-4C8E-967C-8909EA0A9A6D}"/>
    <cellStyle name="Title" xfId="101" builtinId="15" customBuiltin="1"/>
    <cellStyle name="Title 2" xfId="205" xr:uid="{F7EDA3B8-B2E2-476D-9C0C-F20AEF5341CE}"/>
    <cellStyle name="Total" xfId="116" builtinId="25" customBuiltin="1"/>
    <cellStyle name="Valūta 2" xfId="21" xr:uid="{00000000-0005-0000-0000-0000AC000000}"/>
    <cellStyle name="Valūta 3" xfId="79" xr:uid="{00000000-0005-0000-0000-0000AD000000}"/>
    <cellStyle name="Valūta 4" xfId="242" xr:uid="{E97C5B63-0097-415C-A38C-0E0328028B59}"/>
    <cellStyle name="Virsraksts 2 2" xfId="85" xr:uid="{00000000-0005-0000-0000-0000B0000000}"/>
    <cellStyle name="Warning Text" xfId="114" builtinId="11" customBuiltin="1"/>
  </cellStyles>
  <dxfs count="11">
    <dxf>
      <font>
        <color theme="0"/>
      </font>
    </dxf>
    <dxf>
      <font>
        <color theme="0"/>
      </font>
      <fill>
        <patternFill>
          <bgColor theme="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i val="0"/>
      </font>
      <fill>
        <patternFill>
          <bgColor theme="0" tint="-4.9989318521683403E-2"/>
        </patternFill>
      </fill>
      <border>
        <left style="thin">
          <color auto="1"/>
        </left>
        <right style="thin">
          <color auto="1"/>
        </right>
        <top style="thin">
          <color auto="1"/>
        </top>
        <bottom style="thin">
          <color auto="1"/>
        </bottom>
      </border>
    </dxf>
    <dxf>
      <border>
        <left style="thin">
          <color auto="1"/>
        </left>
      </border>
    </dxf>
    <dxf>
      <font>
        <b val="0"/>
        <i val="0"/>
        <color theme="1"/>
      </font>
      <border diagonalUp="0" diagonalDown="0">
        <left/>
        <right/>
        <top style="thin">
          <color auto="1"/>
        </top>
        <bottom/>
        <vertical/>
        <horizontal/>
      </border>
    </dxf>
    <dxf>
      <font>
        <b/>
        <i val="0"/>
        <color auto="1"/>
      </font>
      <fill>
        <patternFill patternType="solid">
          <fgColor theme="1"/>
          <bgColor theme="0" tint="-4.9989318521683403E-2"/>
        </patternFill>
      </fill>
      <border>
        <left style="thin">
          <color auto="1"/>
        </left>
        <right style="thin">
          <color auto="1"/>
        </right>
        <top style="thin">
          <color auto="1"/>
        </top>
        <bottom style="thin">
          <color auto="1"/>
        </bottom>
      </border>
    </dxf>
    <dxf>
      <font>
        <color theme="1"/>
      </font>
      <border>
        <left style="thin">
          <color theme="1"/>
        </left>
        <right style="thin">
          <color theme="1"/>
        </right>
        <top style="thin">
          <color theme="1"/>
        </top>
        <bottom style="thin">
          <color theme="1"/>
        </bottom>
        <horizontal style="thin">
          <color theme="1"/>
        </horizontal>
      </border>
    </dxf>
  </dxfs>
  <tableStyles count="1" defaultTableStyle="TableStyleMedium2" defaultPivotStyle="PivotStyleLight16">
    <tableStyle name="Cenas piedāvājums bez nodokļiem" pivot="0" count="5" xr9:uid="{871887C5-7C14-480F-844A-DDBD2B7AF061}">
      <tableStyleElement type="wholeTable" dxfId="10"/>
      <tableStyleElement type="headerRow" dxfId="9"/>
      <tableStyleElement type="totalRow" dxfId="8"/>
      <tableStyleElement type="lastColumn" dxfId="7"/>
      <tableStyleElement type="lastTotalCell" dxfId="6"/>
    </tableStyle>
  </tableStyles>
  <colors>
    <mruColors>
      <color rgb="FFFFFFCC"/>
      <color rgb="FFFFCC66"/>
      <color rgb="FFFFFF99"/>
      <color rgb="FF8E267F"/>
      <color rgb="FFFF8B8B"/>
      <color rgb="FF6CA644"/>
      <color rgb="FF0FA8C1"/>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24168085369041"/>
          <c:y val="1.6773046374831801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251663631605779"/>
          <c:y val="0.1721415648019772"/>
          <c:w val="0.63943464094030245"/>
          <c:h val="0.79066176459061488"/>
        </c:manualLayout>
      </c:layout>
      <c:barChart>
        <c:barDir val="bar"/>
        <c:grouping val="clustered"/>
        <c:varyColors val="0"/>
        <c:ser>
          <c:idx val="0"/>
          <c:order val="0"/>
          <c:tx>
            <c:strRef>
              <c:f>Grafiki_budžeta_izpilde!$D$5</c:f>
              <c:strCache>
                <c:ptCount val="1"/>
                <c:pt idx="0">
                  <c:v>Ieņēmumu izpilde, %, 2025.g. 1. pusgads</c:v>
                </c:pt>
              </c:strCache>
            </c:strRef>
          </c:tx>
          <c:spPr>
            <a:solidFill>
              <a:schemeClr val="accent6"/>
            </a:solidFill>
            <a:ln>
              <a:noFill/>
            </a:ln>
            <a:effectLst>
              <a:outerShdw blurRad="57150" dist="19050" dir="5400000" algn="ctr" rotWithShape="0">
                <a:srgbClr val="000000">
                  <a:alpha val="63000"/>
                </a:srgbClr>
              </a:outerShdw>
            </a:effectLst>
          </c:spPr>
          <c:invertIfNegative val="0"/>
          <c:dPt>
            <c:idx val="0"/>
            <c:invertIfNegative val="0"/>
            <c:bubble3D val="0"/>
            <c:spPr>
              <a:solidFill>
                <a:srgbClr val="4D7731"/>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80BE-44CF-BB37-ECA97D4B58CE}"/>
              </c:ext>
            </c:extLst>
          </c:dPt>
          <c:dPt>
            <c:idx val="2"/>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8-E58B-4CEC-8F82-F1B409F87F58}"/>
              </c:ext>
            </c:extLst>
          </c:dPt>
          <c:dPt>
            <c:idx val="3"/>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E58B-4CEC-8F82-F1B409F87F58}"/>
              </c:ext>
            </c:extLst>
          </c:dPt>
          <c:dPt>
            <c:idx val="4"/>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A-E58B-4CEC-8F82-F1B409F87F58}"/>
              </c:ext>
            </c:extLst>
          </c:dPt>
          <c:dPt>
            <c:idx val="10"/>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E58B-4CEC-8F82-F1B409F87F58}"/>
              </c:ext>
            </c:extLst>
          </c:dPt>
          <c:dPt>
            <c:idx val="11"/>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C-E58B-4CEC-8F82-F1B409F87F58}"/>
              </c:ext>
            </c:extLst>
          </c:dPt>
          <c:dPt>
            <c:idx val="14"/>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5295-4FC9-9B8A-67C7A571446E}"/>
              </c:ext>
            </c:extLst>
          </c:dPt>
          <c:dPt>
            <c:idx val="15"/>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5295-4FC9-9B8A-67C7A571446E}"/>
              </c:ext>
            </c:extLst>
          </c:dPt>
          <c:dPt>
            <c:idx val="16"/>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5295-4FC9-9B8A-67C7A571446E}"/>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Grafiki_budžeta_izpilde!$A$6:$A$22</c:f>
              <c:strCache>
                <c:ptCount val="17"/>
                <c:pt idx="0">
                  <c:v>IEŅĒMUMI kopā</c:v>
                </c:pt>
                <c:pt idx="1">
                  <c:v>1. Nodokļu ieņēmumi</c:v>
                </c:pt>
                <c:pt idx="2">
                  <c:v>1.1. Iedzīvotāju ienākuma nodoklis</c:v>
                </c:pt>
                <c:pt idx="3">
                  <c:v>1.2. Nekustamā īpašuma nodokļu ieņēmumi</c:v>
                </c:pt>
                <c:pt idx="4">
                  <c:v>1.3. Dabas resursu nodoklis un azartspēļu nodoklis</c:v>
                </c:pt>
                <c:pt idx="5">
                  <c:v>2. Valsts (pašvaldību) un kancelejas nodevas</c:v>
                </c:pt>
                <c:pt idx="6">
                  <c:v>3. Naudas sodi un sankcijas</c:v>
                </c:pt>
                <c:pt idx="7">
                  <c:v>4. Pārējie nenodokļu ieņēmumi</c:v>
                </c:pt>
                <c:pt idx="8">
                  <c:v>5. Ieņēmumi no pašvaldības īpašuma pārdošanas</c:v>
                </c:pt>
                <c:pt idx="9">
                  <c:v>6. Valsts budžeta transferti un projektu finansējums</c:v>
                </c:pt>
                <c:pt idx="10">
                  <c:v>6.1. Valsts budžeta transferti</c:v>
                </c:pt>
                <c:pt idx="11">
                  <c:v>6.2. ES struktūrfondu līdzekļi un aktivitāšu līdzfin.</c:v>
                </c:pt>
                <c:pt idx="12">
                  <c:v>7. Pašvaldību budžeta transferti</c:v>
                </c:pt>
                <c:pt idx="13">
                  <c:v>8. Budžeta iestāžu ieņēmumi</c:v>
                </c:pt>
                <c:pt idx="14">
                  <c:v>8.1. Maksa par izglītības pakalpojumiem u.c. ieņēmumi</c:v>
                </c:pt>
                <c:pt idx="15">
                  <c:v>8.2. Ieņēmumi par nomu un īri</c:v>
                </c:pt>
                <c:pt idx="16">
                  <c:v>8.3. Pārrobežu projektu ieņēmumi</c:v>
                </c:pt>
              </c:strCache>
            </c:strRef>
          </c:cat>
          <c:val>
            <c:numRef>
              <c:f>Grafiki_budžeta_izpilde!$D$6:$D$22</c:f>
              <c:numCache>
                <c:formatCode>0%</c:formatCode>
                <c:ptCount val="17"/>
                <c:pt idx="0">
                  <c:v>0.45762058849694398</c:v>
                </c:pt>
                <c:pt idx="1">
                  <c:v>0.4784677482363715</c:v>
                </c:pt>
                <c:pt idx="2">
                  <c:v>0.45000007820853294</c:v>
                </c:pt>
                <c:pt idx="3">
                  <c:v>0.81247050763855588</c:v>
                </c:pt>
                <c:pt idx="4">
                  <c:v>0.83285030769230761</c:v>
                </c:pt>
                <c:pt idx="5">
                  <c:v>0.54975683742884907</c:v>
                </c:pt>
                <c:pt idx="6">
                  <c:v>0.62042376923076925</c:v>
                </c:pt>
                <c:pt idx="7">
                  <c:v>1.4377174764890284</c:v>
                </c:pt>
                <c:pt idx="9">
                  <c:v>0.39148548400235705</c:v>
                </c:pt>
                <c:pt idx="10">
                  <c:v>0.64872993114060462</c:v>
                </c:pt>
                <c:pt idx="11">
                  <c:v>5.3242202422895735E-2</c:v>
                </c:pt>
                <c:pt idx="12">
                  <c:v>0.33886628571428573</c:v>
                </c:pt>
                <c:pt idx="13">
                  <c:v>0.69463988767850426</c:v>
                </c:pt>
                <c:pt idx="14">
                  <c:v>0.72273935998739169</c:v>
                </c:pt>
                <c:pt idx="15">
                  <c:v>0.59992959653398314</c:v>
                </c:pt>
                <c:pt idx="16">
                  <c:v>1.0187791883180952</c:v>
                </c:pt>
              </c:numCache>
            </c:numRef>
          </c:val>
          <c:extLst>
            <c:ext xmlns:c16="http://schemas.microsoft.com/office/drawing/2014/chart" uri="{C3380CC4-5D6E-409C-BE32-E72D297353CC}">
              <c16:uniqueId val="{0000000C-80BE-44CF-BB37-ECA97D4B58CE}"/>
            </c:ext>
          </c:extLst>
        </c:ser>
        <c:dLbls>
          <c:dLblPos val="inEnd"/>
          <c:showLegendKey val="0"/>
          <c:showVal val="1"/>
          <c:showCatName val="0"/>
          <c:showSerName val="0"/>
          <c:showPercent val="0"/>
          <c:showBubbleSize val="0"/>
        </c:dLbls>
        <c:gapWidth val="87"/>
        <c:axId val="164840928"/>
        <c:axId val="164829888"/>
      </c:barChart>
      <c:catAx>
        <c:axId val="164840928"/>
        <c:scaling>
          <c:orientation val="maxMin"/>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b"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829888"/>
        <c:crosses val="autoZero"/>
        <c:auto val="1"/>
        <c:lblAlgn val="ctr"/>
        <c:lblOffset val="100"/>
        <c:noMultiLvlLbl val="0"/>
      </c:catAx>
      <c:valAx>
        <c:axId val="164829888"/>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840928"/>
        <c:crosses val="autoZero"/>
        <c:crossBetween val="between"/>
        <c:majorUnit val="0.1"/>
        <c:min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251663631605779"/>
          <c:y val="0.13883188328223783"/>
          <c:w val="0.63943464094030245"/>
          <c:h val="0.82397161312193878"/>
        </c:manualLayout>
      </c:layout>
      <c:barChart>
        <c:barDir val="bar"/>
        <c:grouping val="clustered"/>
        <c:varyColors val="0"/>
        <c:ser>
          <c:idx val="0"/>
          <c:order val="0"/>
          <c:tx>
            <c:strRef>
              <c:f>Grafiki_budžeta_izpilde!$D$56</c:f>
              <c:strCache>
                <c:ptCount val="1"/>
                <c:pt idx="0">
                  <c:v>Izdevumu izpilde, %, 2025.g. 1. pusgads</c:v>
                </c:pt>
              </c:strCache>
            </c:strRef>
          </c:tx>
          <c:spPr>
            <a:solidFill>
              <a:schemeClr val="accent1">
                <a:lumMod val="75000"/>
              </a:schemeClr>
            </a:solidFill>
            <a:ln>
              <a:noFill/>
            </a:ln>
            <a:effectLst>
              <a:outerShdw blurRad="57150" dist="19050" dir="5400000" algn="ctr" rotWithShape="0">
                <a:srgbClr val="000000">
                  <a:alpha val="63000"/>
                </a:srgbClr>
              </a:outerShdw>
            </a:effectLst>
          </c:spPr>
          <c:invertIfNegative val="0"/>
          <c:dPt>
            <c:idx val="0"/>
            <c:invertIfNegative val="0"/>
            <c:bubble3D val="0"/>
            <c:spPr>
              <a:solidFill>
                <a:schemeClr val="accent1">
                  <a:lumMod val="5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B172-4793-95F1-0F2B152A96E2}"/>
              </c:ext>
            </c:extLst>
          </c:dPt>
          <c:dPt>
            <c:idx val="2"/>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A-96FB-4AF0-9D0D-BC9C21817BA5}"/>
              </c:ext>
            </c:extLst>
          </c:dPt>
          <c:dPt>
            <c:idx val="3"/>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B-96FB-4AF0-9D0D-BC9C21817BA5}"/>
              </c:ext>
            </c:extLst>
          </c:dPt>
          <c:dPt>
            <c:idx val="4"/>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C-96FB-4AF0-9D0D-BC9C21817BA5}"/>
              </c:ext>
            </c:extLst>
          </c:dPt>
          <c:dPt>
            <c:idx val="10"/>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0-96FB-4AF0-9D0D-BC9C21817BA5}"/>
              </c:ext>
            </c:extLst>
          </c:dPt>
          <c:dPt>
            <c:idx val="11"/>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54A2-49C4-9107-D032EFAA6039}"/>
              </c:ext>
            </c:extLst>
          </c:dPt>
          <c:dPt>
            <c:idx val="13"/>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8-E1C7-4C8C-9093-0D1697AC3B96}"/>
              </c:ext>
            </c:extLst>
          </c:dPt>
          <c:dPt>
            <c:idx val="17"/>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0-0032-4F42-BAE8-9E7DBA7C367A}"/>
              </c:ext>
            </c:extLst>
          </c:dPt>
          <c:dPt>
            <c:idx val="18"/>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1-0032-4F42-BAE8-9E7DBA7C367A}"/>
              </c:ext>
            </c:extLst>
          </c:dPt>
          <c:dPt>
            <c:idx val="19"/>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2-0032-4F42-BAE8-9E7DBA7C367A}"/>
              </c:ext>
            </c:extLst>
          </c:dPt>
          <c:dPt>
            <c:idx val="20"/>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3-0032-4F42-BAE8-9E7DBA7C367A}"/>
              </c:ext>
            </c:extLst>
          </c:dPt>
          <c:dPt>
            <c:idx val="21"/>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4-0032-4F42-BAE8-9E7DBA7C367A}"/>
              </c:ext>
            </c:extLst>
          </c:dPt>
          <c:dPt>
            <c:idx val="22"/>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5-1C50-496A-AC12-B5A391D1F2A9}"/>
              </c:ext>
            </c:extLst>
          </c:dPt>
          <c:dPt>
            <c:idx val="23"/>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7-1C50-496A-AC12-B5A391D1F2A9}"/>
              </c:ext>
            </c:extLst>
          </c:dPt>
          <c:dPt>
            <c:idx val="24"/>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9-1C50-496A-AC12-B5A391D1F2A9}"/>
              </c:ext>
            </c:extLst>
          </c:dPt>
          <c:dPt>
            <c:idx val="25"/>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1-54A2-49C4-9107-D032EFAA6039}"/>
              </c:ext>
            </c:extLst>
          </c:dPt>
          <c:dPt>
            <c:idx val="26"/>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3-54A2-49C4-9107-D032EFAA6039}"/>
              </c:ext>
            </c:extLst>
          </c:dPt>
          <c:dPt>
            <c:idx val="27"/>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5-54A2-49C4-9107-D032EFAA6039}"/>
              </c:ext>
            </c:extLst>
          </c:dPt>
          <c:dPt>
            <c:idx val="28"/>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7-54A2-49C4-9107-D032EFAA6039}"/>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Grafiki_budžeta_izpilde!$A$57:$A$86</c:f>
              <c:strCache>
                <c:ptCount val="30"/>
                <c:pt idx="0">
                  <c:v>IZDEVUMI kopā</c:v>
                </c:pt>
                <c:pt idx="1">
                  <c:v>1. Vispārējie valdības dienesti</c:v>
                </c:pt>
                <c:pt idx="2">
                  <c:v>1.1. Pārvalde, deputāti, komisijas</c:v>
                </c:pt>
                <c:pt idx="3">
                  <c:v>1.2. Aizņēmumu procentu maksājumi</c:v>
                </c:pt>
                <c:pt idx="4">
                  <c:v>1.3. Iemaksas PFIF</c:v>
                </c:pt>
                <c:pt idx="5">
                  <c:v>2. Sabiedriskā kārtība un drošība (bāze)</c:v>
                </c:pt>
                <c:pt idx="6">
                  <c:v>3. Sabiedriskās attiecības, laikraksts</c:v>
                </c:pt>
                <c:pt idx="7">
                  <c:v>4. Autoceļu fonds</c:v>
                </c:pt>
                <c:pt idx="8">
                  <c:v>5. Vides aizsardzība (DRN izlietojums)</c:v>
                </c:pt>
                <c:pt idx="9">
                  <c:v>6. Pašv. teritoriju un mājokļu apsaimniekošana</c:v>
                </c:pt>
                <c:pt idx="10">
                  <c:v>6.1. APN, NĪN, TPN, Būvvalde</c:v>
                </c:pt>
                <c:pt idx="11">
                  <c:v>6.2. Teritorijas uzturēšana</c:v>
                </c:pt>
                <c:pt idx="12">
                  <c:v>6.3. Izdevumi neparedzētiem gadījumiem, līdzdalības budžets</c:v>
                </c:pt>
                <c:pt idx="13">
                  <c:v>6.4. Projekti</c:v>
                </c:pt>
                <c:pt idx="14">
                  <c:v>7. Atpūta, kultūra un reliģija</c:v>
                </c:pt>
                <c:pt idx="15">
                  <c:v>8. Sociālā aizsardzība</c:v>
                </c:pt>
                <c:pt idx="16">
                  <c:v>9. Izglītība</c:v>
                </c:pt>
                <c:pt idx="17">
                  <c:v>9.1. Norēķini ar pašvaldībām par izglītības iestāžu pakalp.</c:v>
                </c:pt>
                <c:pt idx="18">
                  <c:v>9.2. Ādažu PII "Strautiņš"</c:v>
                </c:pt>
                <c:pt idx="19">
                  <c:v>9.3. Kadagas PII "Mežavēji"</c:v>
                </c:pt>
                <c:pt idx="20">
                  <c:v>9.4. Carnikavas PII "Riekstiņš"</c:v>
                </c:pt>
                <c:pt idx="21">
                  <c:v>9.5. Siguļu PII "Piejūra"</c:v>
                </c:pt>
                <c:pt idx="22">
                  <c:v>9.6. Privātās izglītības iestādes</c:v>
                </c:pt>
                <c:pt idx="23">
                  <c:v>9.7. Carnikavas vidusskola</c:v>
                </c:pt>
                <c:pt idx="24">
                  <c:v>9.8. Ādažu vidusskola</c:v>
                </c:pt>
                <c:pt idx="25">
                  <c:v>9.9. Ādažu novada  Mākslu skola</c:v>
                </c:pt>
                <c:pt idx="26">
                  <c:v>9.10. Sporta skola</c:v>
                </c:pt>
                <c:pt idx="27">
                  <c:v>9.11. Izglītības un jauniešu lietu pārvalde </c:v>
                </c:pt>
                <c:pt idx="28">
                  <c:v>9.12. Projekti</c:v>
                </c:pt>
                <c:pt idx="29">
                  <c:v>10. Kredītu pamatsummas atmaksa</c:v>
                </c:pt>
              </c:strCache>
            </c:strRef>
          </c:cat>
          <c:val>
            <c:numRef>
              <c:f>Grafiki_budžeta_izpilde!$D$57:$D$86</c:f>
              <c:numCache>
                <c:formatCode>0%</c:formatCode>
                <c:ptCount val="30"/>
                <c:pt idx="0">
                  <c:v>0.33330413560713967</c:v>
                </c:pt>
                <c:pt idx="1">
                  <c:v>0.43910910403275477</c:v>
                </c:pt>
                <c:pt idx="2">
                  <c:v>0.40246804834805877</c:v>
                </c:pt>
                <c:pt idx="3">
                  <c:v>0.46031003234700701</c:v>
                </c:pt>
                <c:pt idx="4">
                  <c:v>0.44999999999999996</c:v>
                </c:pt>
                <c:pt idx="5">
                  <c:v>0.38614652370634717</c:v>
                </c:pt>
                <c:pt idx="6">
                  <c:v>0.39808363794126594</c:v>
                </c:pt>
                <c:pt idx="7">
                  <c:v>0.49326079003068274</c:v>
                </c:pt>
                <c:pt idx="8">
                  <c:v>4.8003119364429497E-2</c:v>
                </c:pt>
                <c:pt idx="9">
                  <c:v>0.17452167340599792</c:v>
                </c:pt>
                <c:pt idx="10">
                  <c:v>0.38419730157226056</c:v>
                </c:pt>
                <c:pt idx="11">
                  <c:v>0.38245840861306973</c:v>
                </c:pt>
                <c:pt idx="12">
                  <c:v>0</c:v>
                </c:pt>
                <c:pt idx="13">
                  <c:v>3.7813945461207511E-2</c:v>
                </c:pt>
                <c:pt idx="14">
                  <c:v>0.42788838770343141</c:v>
                </c:pt>
                <c:pt idx="15">
                  <c:v>0.40612702132963091</c:v>
                </c:pt>
                <c:pt idx="16">
                  <c:v>0.34124507577061231</c:v>
                </c:pt>
                <c:pt idx="17">
                  <c:v>0.53696552128877018</c:v>
                </c:pt>
                <c:pt idx="18">
                  <c:v>0.41616976877065043</c:v>
                </c:pt>
                <c:pt idx="19">
                  <c:v>0.42362255994182618</c:v>
                </c:pt>
                <c:pt idx="20">
                  <c:v>0.3892999878642413</c:v>
                </c:pt>
                <c:pt idx="21">
                  <c:v>0.37045929861390514</c:v>
                </c:pt>
                <c:pt idx="22">
                  <c:v>0.38523373253766308</c:v>
                </c:pt>
                <c:pt idx="23">
                  <c:v>0.43666667762752881</c:v>
                </c:pt>
                <c:pt idx="24">
                  <c:v>0.42673189499301067</c:v>
                </c:pt>
                <c:pt idx="25">
                  <c:v>0.49736776935129917</c:v>
                </c:pt>
                <c:pt idx="26">
                  <c:v>0.39201817607958889</c:v>
                </c:pt>
                <c:pt idx="27">
                  <c:v>0.26130643150051797</c:v>
                </c:pt>
                <c:pt idx="28">
                  <c:v>8.1488033445796103E-4</c:v>
                </c:pt>
                <c:pt idx="29">
                  <c:v>0.5272509929816781</c:v>
                </c:pt>
              </c:numCache>
            </c:numRef>
          </c:val>
          <c:extLst>
            <c:ext xmlns:c16="http://schemas.microsoft.com/office/drawing/2014/chart" uri="{C3380CC4-5D6E-409C-BE32-E72D297353CC}">
              <c16:uniqueId val="{00000002-B172-4793-95F1-0F2B152A96E2}"/>
            </c:ext>
          </c:extLst>
        </c:ser>
        <c:dLbls>
          <c:dLblPos val="inEnd"/>
          <c:showLegendKey val="0"/>
          <c:showVal val="1"/>
          <c:showCatName val="0"/>
          <c:showSerName val="0"/>
          <c:showPercent val="0"/>
          <c:showBubbleSize val="0"/>
        </c:dLbls>
        <c:gapWidth val="87"/>
        <c:axId val="164840928"/>
        <c:axId val="164829888"/>
      </c:barChart>
      <c:catAx>
        <c:axId val="164840928"/>
        <c:scaling>
          <c:orientation val="maxMin"/>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b"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829888"/>
        <c:crosses val="autoZero"/>
        <c:auto val="1"/>
        <c:lblAlgn val="ctr"/>
        <c:lblOffset val="100"/>
        <c:noMultiLvlLbl val="0"/>
      </c:catAx>
      <c:valAx>
        <c:axId val="164829888"/>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840928"/>
        <c:crosses val="autoZero"/>
        <c:crossBetween val="between"/>
        <c:majorUnit val="0.1"/>
        <c:min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60004</xdr:colOff>
      <xdr:row>3</xdr:row>
      <xdr:rowOff>137158</xdr:rowOff>
    </xdr:from>
    <xdr:to>
      <xdr:col>18</xdr:col>
      <xdr:colOff>66674</xdr:colOff>
      <xdr:row>27</xdr:row>
      <xdr:rowOff>49529</xdr:rowOff>
    </xdr:to>
    <xdr:graphicFrame macro="">
      <xdr:nvGraphicFramePr>
        <xdr:cNvPr id="2" name="Diagramma 9">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186692</xdr:colOff>
      <xdr:row>4</xdr:row>
      <xdr:rowOff>367666</xdr:rowOff>
    </xdr:from>
    <xdr:to>
      <xdr:col>13</xdr:col>
      <xdr:colOff>220980</xdr:colOff>
      <xdr:row>4</xdr:row>
      <xdr:rowOff>592668</xdr:rowOff>
    </xdr:to>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12590359" y="1013249"/>
          <a:ext cx="637538" cy="225002"/>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lv-LV" sz="1100"/>
            <a:t>50%</a:t>
          </a:r>
        </a:p>
        <a:p>
          <a:pPr algn="ctr"/>
          <a:endParaRPr lang="lv-LV" sz="1100"/>
        </a:p>
      </xdr:txBody>
    </xdr:sp>
    <xdr:clientData/>
  </xdr:twoCellAnchor>
  <xdr:twoCellAnchor>
    <xdr:from>
      <xdr:col>4</xdr:col>
      <xdr:colOff>404493</xdr:colOff>
      <xdr:row>52</xdr:row>
      <xdr:rowOff>60114</xdr:rowOff>
    </xdr:from>
    <xdr:to>
      <xdr:col>18</xdr:col>
      <xdr:colOff>249766</xdr:colOff>
      <xdr:row>89</xdr:row>
      <xdr:rowOff>137584</xdr:rowOff>
    </xdr:to>
    <xdr:graphicFrame macro="">
      <xdr:nvGraphicFramePr>
        <xdr:cNvPr id="4" name="Diagramma 2">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0.64601</cdr:x>
      <cdr:y>0.16904</cdr:y>
    </cdr:from>
    <cdr:to>
      <cdr:x>0.64601</cdr:x>
      <cdr:y>0.95796</cdr:y>
    </cdr:to>
    <cdr:cxnSp macro="">
      <cdr:nvCxnSpPr>
        <cdr:cNvPr id="3" name="Taisns savienotājs 2">
          <a:extLst xmlns:a="http://schemas.openxmlformats.org/drawingml/2006/main">
            <a:ext uri="{FF2B5EF4-FFF2-40B4-BE49-F238E27FC236}">
              <a16:creationId xmlns:a16="http://schemas.microsoft.com/office/drawing/2014/main" id="{C1328137-0B74-BC0D-66FF-A2ECAD9C8885}"/>
            </a:ext>
          </a:extLst>
        </cdr:cNvPr>
        <cdr:cNvCxnSpPr/>
      </cdr:nvCxnSpPr>
      <cdr:spPr>
        <a:xfrm xmlns:a="http://schemas.openxmlformats.org/drawingml/2006/main">
          <a:off x="6164380" y="724040"/>
          <a:ext cx="0" cy="3379172"/>
        </a:xfrm>
        <a:prstGeom xmlns:a="http://schemas.openxmlformats.org/drawingml/2006/main" prst="line">
          <a:avLst/>
        </a:prstGeom>
        <a:ln xmlns:a="http://schemas.openxmlformats.org/drawingml/2006/main" w="15875">
          <a:solidFill>
            <a:schemeClr val="accent2">
              <a:alpha val="56000"/>
            </a:schemeClr>
          </a:solidFill>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cxnSp>
  </cdr:relSizeAnchor>
</c:userShapes>
</file>

<file path=xl/drawings/drawing3.xml><?xml version="1.0" encoding="utf-8"?>
<c:userShapes xmlns:c="http://schemas.openxmlformats.org/drawingml/2006/chart">
  <cdr:relSizeAnchor xmlns:cdr="http://schemas.openxmlformats.org/drawingml/2006/chartDrawing">
    <cdr:from>
      <cdr:x>0.64546</cdr:x>
      <cdr:y>0.14118</cdr:y>
    </cdr:from>
    <cdr:to>
      <cdr:x>0.64546</cdr:x>
      <cdr:y>0.97285</cdr:y>
    </cdr:to>
    <cdr:cxnSp macro="">
      <cdr:nvCxnSpPr>
        <cdr:cNvPr id="3" name="Taisns savienotājs 2">
          <a:extLst xmlns:a="http://schemas.openxmlformats.org/drawingml/2006/main">
            <a:ext uri="{FF2B5EF4-FFF2-40B4-BE49-F238E27FC236}">
              <a16:creationId xmlns:a16="http://schemas.microsoft.com/office/drawing/2014/main" id="{C1328137-0B74-BC0D-66FF-A2ECAD9C8885}"/>
            </a:ext>
          </a:extLst>
        </cdr:cNvPr>
        <cdr:cNvCxnSpPr/>
      </cdr:nvCxnSpPr>
      <cdr:spPr>
        <a:xfrm xmlns:a="http://schemas.openxmlformats.org/drawingml/2006/main">
          <a:off x="6054971" y="957003"/>
          <a:ext cx="0" cy="5637401"/>
        </a:xfrm>
        <a:prstGeom xmlns:a="http://schemas.openxmlformats.org/drawingml/2006/main" prst="line">
          <a:avLst/>
        </a:prstGeom>
        <a:ln xmlns:a="http://schemas.openxmlformats.org/drawingml/2006/main" w="15875">
          <a:solidFill>
            <a:schemeClr val="accent2">
              <a:alpha val="56000"/>
            </a:schemeClr>
          </a:solidFill>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cxnSp>
  </cdr:relSizeAnchor>
  <cdr:relSizeAnchor xmlns:cdr="http://schemas.openxmlformats.org/drawingml/2006/chartDrawing">
    <cdr:from>
      <cdr:x>0.60622</cdr:x>
      <cdr:y>0.0865</cdr:y>
    </cdr:from>
    <cdr:to>
      <cdr:x>0.67868</cdr:x>
      <cdr:y>0.12673</cdr:y>
    </cdr:to>
    <cdr:sp macro="" textlink="">
      <cdr:nvSpPr>
        <cdr:cNvPr id="2" name="TextBox 10">
          <a:extLst xmlns:a="http://schemas.openxmlformats.org/drawingml/2006/main">
            <a:ext uri="{FF2B5EF4-FFF2-40B4-BE49-F238E27FC236}">
              <a16:creationId xmlns:a16="http://schemas.microsoft.com/office/drawing/2014/main" id="{BC28C77A-08BF-E957-991B-C0CDEA634669}"/>
            </a:ext>
          </a:extLst>
        </cdr:cNvPr>
        <cdr:cNvSpPr txBox="1"/>
      </cdr:nvSpPr>
      <cdr:spPr>
        <a:xfrm xmlns:a="http://schemas.openxmlformats.org/drawingml/2006/main">
          <a:off x="5686857" y="586351"/>
          <a:ext cx="679737" cy="272695"/>
        </a:xfrm>
        <a:prstGeom xmlns:a="http://schemas.openxmlformats.org/drawingml/2006/main" prst="rect">
          <a:avLst/>
        </a:prstGeom>
        <a:solidFill xmlns:a="http://schemas.openxmlformats.org/drawingml/2006/main">
          <a:schemeClr val="accent2">
            <a:lumMod val="40000"/>
            <a:lumOff val="60000"/>
          </a:schemeClr>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lv-LV" sz="1100"/>
            <a:t>50%</a:t>
          </a:r>
        </a:p>
        <a:p xmlns:a="http://schemas.openxmlformats.org/drawingml/2006/main">
          <a:pPr algn="ctr"/>
          <a:endParaRPr lang="lv-LV" sz="1100"/>
        </a:p>
      </cdr:txBody>
    </cdr:sp>
  </cdr:relSizeAnchor>
</c:userShape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9DC77-9937-4D78-9548-34F19689A63B}">
  <sheetPr codeName="Sheet4">
    <tabColor rgb="FFFF0000"/>
  </sheetPr>
  <dimension ref="B1:S500"/>
  <sheetViews>
    <sheetView workbookViewId="0">
      <selection activeCell="B26" sqref="B26"/>
    </sheetView>
  </sheetViews>
  <sheetFormatPr defaultRowHeight="11.4" x14ac:dyDescent="0.2"/>
  <cols>
    <col min="1" max="1" width="4.25" customWidth="1"/>
    <col min="2" max="2" width="114" style="4" customWidth="1"/>
    <col min="3" max="3" width="20.25" customWidth="1"/>
    <col min="4" max="4" width="15.75" customWidth="1"/>
    <col min="5" max="5" width="109.625" customWidth="1"/>
    <col min="12" max="12" width="62.875" customWidth="1"/>
    <col min="13" max="13" width="34.375" customWidth="1"/>
    <col min="15" max="15" width="13.625" customWidth="1"/>
    <col min="16" max="16" width="9.875" bestFit="1" customWidth="1"/>
    <col min="17" max="17" width="12.375" customWidth="1"/>
    <col min="19" max="19" width="13.75" customWidth="1"/>
  </cols>
  <sheetData>
    <row r="1" spans="2:15" s="152" customFormat="1" ht="26.4" x14ac:dyDescent="0.25">
      <c r="B1" s="255" t="s">
        <v>662</v>
      </c>
      <c r="D1" s="155" t="s">
        <v>668</v>
      </c>
      <c r="E1" s="153" t="s">
        <v>532</v>
      </c>
    </row>
    <row r="3" spans="2:15" ht="12.6" thickBot="1" x14ac:dyDescent="0.3">
      <c r="B3" s="158" t="s">
        <v>284</v>
      </c>
      <c r="C3" s="157"/>
      <c r="D3" t="s">
        <v>658</v>
      </c>
      <c r="E3" s="2" t="s">
        <v>669</v>
      </c>
    </row>
    <row r="4" spans="2:15" ht="14.4" thickBot="1" x14ac:dyDescent="0.3">
      <c r="B4" s="158" t="s">
        <v>1201</v>
      </c>
      <c r="C4" s="157"/>
      <c r="D4" t="s">
        <v>660</v>
      </c>
      <c r="E4" t="s">
        <v>659</v>
      </c>
      <c r="K4" s="528" t="s">
        <v>431</v>
      </c>
      <c r="L4" s="529"/>
      <c r="M4" s="211" t="s">
        <v>842</v>
      </c>
    </row>
    <row r="5" spans="2:15" ht="14.4" thickBot="1" x14ac:dyDescent="0.3">
      <c r="B5" s="158" t="s">
        <v>1202</v>
      </c>
      <c r="C5" s="157"/>
      <c r="D5" t="s">
        <v>539</v>
      </c>
      <c r="E5" t="s">
        <v>538</v>
      </c>
      <c r="K5" s="212"/>
      <c r="L5" s="213" t="s">
        <v>434</v>
      </c>
      <c r="M5" s="214" t="s">
        <v>828</v>
      </c>
      <c r="O5" s="44">
        <f>SUM(O6,O17,O18)</f>
        <v>61803978</v>
      </c>
    </row>
    <row r="6" spans="2:15" ht="14.4" thickBot="1" x14ac:dyDescent="0.3">
      <c r="B6" s="158" t="s">
        <v>1203</v>
      </c>
      <c r="C6" s="157"/>
      <c r="D6" t="s">
        <v>541</v>
      </c>
      <c r="E6" t="s">
        <v>540</v>
      </c>
      <c r="K6" s="215" t="s">
        <v>410</v>
      </c>
      <c r="L6" s="216" t="s">
        <v>411</v>
      </c>
      <c r="M6" s="214" t="s">
        <v>829</v>
      </c>
      <c r="O6" s="44">
        <f>SUM(O7:O16)</f>
        <v>50914203</v>
      </c>
    </row>
    <row r="7" spans="2:15" ht="14.4" thickBot="1" x14ac:dyDescent="0.3">
      <c r="B7" s="158" t="s">
        <v>1204</v>
      </c>
      <c r="C7" s="157"/>
      <c r="D7" t="s">
        <v>543</v>
      </c>
      <c r="E7" t="s">
        <v>542</v>
      </c>
      <c r="K7" s="217" t="s">
        <v>435</v>
      </c>
      <c r="L7" s="218" t="s">
        <v>436</v>
      </c>
      <c r="M7" s="219" t="s">
        <v>830</v>
      </c>
      <c r="O7" s="44">
        <v>34831773</v>
      </c>
    </row>
    <row r="8" spans="2:15" ht="14.4" thickBot="1" x14ac:dyDescent="0.3">
      <c r="B8" s="158" t="s">
        <v>1205</v>
      </c>
      <c r="C8" s="157"/>
      <c r="D8" t="s">
        <v>545</v>
      </c>
      <c r="E8" t="s">
        <v>544</v>
      </c>
      <c r="K8" s="217" t="s">
        <v>437</v>
      </c>
      <c r="L8" s="218" t="s">
        <v>438</v>
      </c>
      <c r="M8" s="220">
        <v>3172851</v>
      </c>
      <c r="O8" s="44">
        <v>3172851</v>
      </c>
    </row>
    <row r="9" spans="2:15" ht="14.4" thickBot="1" x14ac:dyDescent="0.3">
      <c r="B9" s="158" t="s">
        <v>398</v>
      </c>
      <c r="C9" s="157"/>
      <c r="D9" t="s">
        <v>40</v>
      </c>
      <c r="E9" t="s">
        <v>546</v>
      </c>
      <c r="K9" s="217" t="s">
        <v>831</v>
      </c>
      <c r="L9" s="218" t="s">
        <v>464</v>
      </c>
      <c r="M9" s="219" t="s">
        <v>832</v>
      </c>
      <c r="O9" s="44">
        <v>70000</v>
      </c>
    </row>
    <row r="10" spans="2:15" ht="14.4" thickBot="1" x14ac:dyDescent="0.3">
      <c r="B10" s="158" t="s">
        <v>278</v>
      </c>
      <c r="C10" s="157"/>
      <c r="D10" t="s">
        <v>548</v>
      </c>
      <c r="E10" t="s">
        <v>547</v>
      </c>
      <c r="K10" s="217" t="s">
        <v>40</v>
      </c>
      <c r="L10" s="218" t="s">
        <v>439</v>
      </c>
      <c r="M10" s="220">
        <v>160000</v>
      </c>
      <c r="O10" s="44">
        <v>160000</v>
      </c>
    </row>
    <row r="11" spans="2:15" ht="14.4" thickBot="1" x14ac:dyDescent="0.3">
      <c r="B11" s="158" t="s">
        <v>1206</v>
      </c>
      <c r="C11" s="157"/>
      <c r="D11" t="s">
        <v>550</v>
      </c>
      <c r="E11" t="s">
        <v>549</v>
      </c>
      <c r="K11" s="217" t="s">
        <v>67</v>
      </c>
      <c r="L11" s="218" t="s">
        <v>69</v>
      </c>
      <c r="M11" s="220">
        <v>65000</v>
      </c>
      <c r="O11" s="44">
        <v>65000</v>
      </c>
    </row>
    <row r="12" spans="2:15" ht="14.4" thickBot="1" x14ac:dyDescent="0.3">
      <c r="B12" s="158" t="s">
        <v>1207</v>
      </c>
      <c r="C12" s="157"/>
      <c r="D12" t="s">
        <v>552</v>
      </c>
      <c r="E12" t="s">
        <v>551</v>
      </c>
      <c r="K12" s="217" t="s">
        <v>75</v>
      </c>
      <c r="L12" s="218" t="s">
        <v>77</v>
      </c>
      <c r="M12" s="219" t="s">
        <v>833</v>
      </c>
      <c r="O12" s="44">
        <v>6453</v>
      </c>
    </row>
    <row r="13" spans="2:15" ht="14.4" thickBot="1" x14ac:dyDescent="0.3">
      <c r="B13" s="158" t="s">
        <v>1208</v>
      </c>
      <c r="C13" s="157"/>
      <c r="D13" t="s">
        <v>554</v>
      </c>
      <c r="E13" t="s">
        <v>553</v>
      </c>
      <c r="K13" s="217" t="s">
        <v>440</v>
      </c>
      <c r="L13" s="218" t="s">
        <v>441</v>
      </c>
      <c r="M13" s="219" t="s">
        <v>834</v>
      </c>
      <c r="O13" s="44">
        <v>5856</v>
      </c>
    </row>
    <row r="14" spans="2:15" ht="14.4" thickBot="1" x14ac:dyDescent="0.3">
      <c r="B14" s="158" t="s">
        <v>1209</v>
      </c>
      <c r="C14" s="157"/>
      <c r="D14" t="s">
        <v>556</v>
      </c>
      <c r="E14" t="s">
        <v>555</v>
      </c>
      <c r="K14" s="221" t="s">
        <v>442</v>
      </c>
      <c r="L14" s="222" t="s">
        <v>87</v>
      </c>
      <c r="M14" s="219" t="s">
        <v>835</v>
      </c>
      <c r="O14" s="44">
        <v>10153512</v>
      </c>
    </row>
    <row r="15" spans="2:15" ht="14.4" thickBot="1" x14ac:dyDescent="0.3">
      <c r="B15" s="158" t="s">
        <v>1210</v>
      </c>
      <c r="C15" s="157"/>
      <c r="D15" t="s">
        <v>558</v>
      </c>
      <c r="E15" t="s">
        <v>557</v>
      </c>
      <c r="K15" s="217" t="s">
        <v>443</v>
      </c>
      <c r="L15" s="218" t="s">
        <v>444</v>
      </c>
      <c r="M15" s="220">
        <v>295000</v>
      </c>
      <c r="O15" s="44">
        <v>295000</v>
      </c>
    </row>
    <row r="16" spans="2:15" ht="14.4" thickBot="1" x14ac:dyDescent="0.3">
      <c r="B16" s="158" t="s">
        <v>281</v>
      </c>
      <c r="C16" s="157"/>
      <c r="D16" t="s">
        <v>560</v>
      </c>
      <c r="E16" t="s">
        <v>559</v>
      </c>
      <c r="K16" s="221" t="s">
        <v>445</v>
      </c>
      <c r="L16" s="223" t="s">
        <v>836</v>
      </c>
      <c r="M16" s="219" t="s">
        <v>837</v>
      </c>
      <c r="O16" s="44">
        <v>2153758</v>
      </c>
    </row>
    <row r="17" spans="2:15" ht="14.4" thickBot="1" x14ac:dyDescent="0.3">
      <c r="B17" s="158" t="s">
        <v>1211</v>
      </c>
      <c r="C17" s="157"/>
      <c r="D17" t="s">
        <v>75</v>
      </c>
      <c r="E17" t="s">
        <v>561</v>
      </c>
      <c r="K17" s="215" t="s">
        <v>838</v>
      </c>
      <c r="L17" s="216" t="s">
        <v>839</v>
      </c>
      <c r="M17" s="224" t="s">
        <v>840</v>
      </c>
      <c r="O17" s="44">
        <v>1873161</v>
      </c>
    </row>
    <row r="18" spans="2:15" ht="14.4" thickBot="1" x14ac:dyDescent="0.3">
      <c r="B18" s="158" t="s">
        <v>1212</v>
      </c>
      <c r="C18" s="157"/>
      <c r="D18" t="s">
        <v>563</v>
      </c>
      <c r="E18" t="s">
        <v>562</v>
      </c>
      <c r="K18" s="215" t="s">
        <v>446</v>
      </c>
      <c r="L18" s="225" t="s">
        <v>447</v>
      </c>
      <c r="M18" s="224" t="s">
        <v>841</v>
      </c>
      <c r="O18" s="44">
        <v>9016614</v>
      </c>
    </row>
    <row r="19" spans="2:15" ht="12.6" thickBot="1" x14ac:dyDescent="0.3">
      <c r="B19" s="158" t="s">
        <v>1213</v>
      </c>
      <c r="C19" s="157"/>
      <c r="D19" t="s">
        <v>565</v>
      </c>
      <c r="E19" t="s">
        <v>564</v>
      </c>
      <c r="K19" s="226"/>
      <c r="L19" s="227"/>
      <c r="M19" s="228"/>
    </row>
    <row r="20" spans="2:15" ht="14.4" thickBot="1" x14ac:dyDescent="0.3">
      <c r="B20" s="158" t="s">
        <v>1214</v>
      </c>
      <c r="C20" s="157"/>
      <c r="D20" t="s">
        <v>567</v>
      </c>
      <c r="E20" t="s">
        <v>566</v>
      </c>
      <c r="K20" s="229" t="s">
        <v>413</v>
      </c>
      <c r="L20" s="230" t="s">
        <v>448</v>
      </c>
      <c r="M20" s="236" t="s">
        <v>828</v>
      </c>
      <c r="O20" s="44">
        <f>SUM(O21,O30)</f>
        <v>61803979</v>
      </c>
    </row>
    <row r="21" spans="2:15" ht="14.4" thickBot="1" x14ac:dyDescent="0.3">
      <c r="B21" s="158" t="s">
        <v>1215</v>
      </c>
      <c r="C21" s="157"/>
      <c r="D21" t="s">
        <v>440</v>
      </c>
      <c r="E21" t="s">
        <v>568</v>
      </c>
      <c r="K21" s="231" t="s">
        <v>414</v>
      </c>
      <c r="L21" s="232" t="s">
        <v>415</v>
      </c>
      <c r="M21" s="224" t="s">
        <v>843</v>
      </c>
      <c r="O21" s="44">
        <f>SUM(O22:O29)</f>
        <v>58317824</v>
      </c>
    </row>
    <row r="22" spans="2:15" ht="14.4" thickBot="1" x14ac:dyDescent="0.3">
      <c r="B22" s="158" t="s">
        <v>1257</v>
      </c>
      <c r="C22" s="157"/>
      <c r="D22" t="s">
        <v>570</v>
      </c>
      <c r="E22" t="s">
        <v>569</v>
      </c>
      <c r="K22" s="233">
        <v>1</v>
      </c>
      <c r="L22" s="222" t="s">
        <v>143</v>
      </c>
      <c r="M22" s="237" t="s">
        <v>844</v>
      </c>
      <c r="O22" s="44">
        <v>11584926</v>
      </c>
    </row>
    <row r="23" spans="2:15" ht="14.4" thickBot="1" x14ac:dyDescent="0.3">
      <c r="B23" s="158" t="s">
        <v>867</v>
      </c>
      <c r="C23" s="157"/>
      <c r="D23" t="s">
        <v>572</v>
      </c>
      <c r="E23" t="s">
        <v>571</v>
      </c>
      <c r="K23" s="233">
        <v>3</v>
      </c>
      <c r="L23" s="222" t="s">
        <v>158</v>
      </c>
      <c r="M23" s="237" t="s">
        <v>845</v>
      </c>
      <c r="O23" s="44">
        <v>1032368</v>
      </c>
    </row>
    <row r="24" spans="2:15" ht="14.4" thickBot="1" x14ac:dyDescent="0.3">
      <c r="B24" s="158" t="s">
        <v>1216</v>
      </c>
      <c r="C24" s="157"/>
      <c r="D24" t="s">
        <v>574</v>
      </c>
      <c r="E24" t="s">
        <v>573</v>
      </c>
      <c r="K24" s="233">
        <v>4</v>
      </c>
      <c r="L24" s="222" t="s">
        <v>416</v>
      </c>
      <c r="M24" s="237" t="s">
        <v>846</v>
      </c>
      <c r="O24" s="44">
        <v>521949</v>
      </c>
    </row>
    <row r="25" spans="2:15" ht="14.4" thickBot="1" x14ac:dyDescent="0.3">
      <c r="B25" s="158" t="s">
        <v>1258</v>
      </c>
      <c r="C25" s="157"/>
      <c r="D25" t="s">
        <v>576</v>
      </c>
      <c r="E25" t="s">
        <v>575</v>
      </c>
      <c r="K25" s="233">
        <v>5</v>
      </c>
      <c r="L25" s="222" t="s">
        <v>427</v>
      </c>
      <c r="M25" s="238">
        <v>70000</v>
      </c>
      <c r="O25" s="44">
        <v>70000</v>
      </c>
    </row>
    <row r="26" spans="2:15" s="5" customFormat="1" ht="14.4" thickBot="1" x14ac:dyDescent="0.3">
      <c r="B26" s="158" t="s">
        <v>1217</v>
      </c>
      <c r="C26" s="167"/>
      <c r="D26" s="5" t="s">
        <v>442</v>
      </c>
      <c r="E26" s="5" t="s">
        <v>87</v>
      </c>
      <c r="K26" s="233">
        <v>6</v>
      </c>
      <c r="L26" s="222" t="s">
        <v>417</v>
      </c>
      <c r="M26" s="237" t="s">
        <v>847</v>
      </c>
      <c r="O26" s="168">
        <v>14182678</v>
      </c>
    </row>
    <row r="27" spans="2:15" ht="14.4" thickBot="1" x14ac:dyDescent="0.3">
      <c r="B27" s="158" t="s">
        <v>1259</v>
      </c>
      <c r="C27" s="157"/>
      <c r="D27" t="s">
        <v>578</v>
      </c>
      <c r="E27" t="s">
        <v>577</v>
      </c>
      <c r="K27" s="233">
        <v>8</v>
      </c>
      <c r="L27" s="222" t="s">
        <v>168</v>
      </c>
      <c r="M27" s="237" t="s">
        <v>848</v>
      </c>
      <c r="O27" s="44">
        <v>2519182</v>
      </c>
    </row>
    <row r="28" spans="2:15" ht="14.4" thickBot="1" x14ac:dyDescent="0.3">
      <c r="B28" s="158" t="s">
        <v>1260</v>
      </c>
      <c r="C28" s="157"/>
      <c r="D28" t="s">
        <v>580</v>
      </c>
      <c r="E28" t="s">
        <v>579</v>
      </c>
      <c r="K28" s="233">
        <v>9</v>
      </c>
      <c r="L28" s="222" t="s">
        <v>179</v>
      </c>
      <c r="M28" s="237" t="s">
        <v>849</v>
      </c>
      <c r="O28" s="44">
        <v>24609695</v>
      </c>
    </row>
    <row r="29" spans="2:15" ht="14.4" thickBot="1" x14ac:dyDescent="0.3">
      <c r="B29" s="158" t="s">
        <v>1218</v>
      </c>
      <c r="C29" s="157"/>
      <c r="D29" t="s">
        <v>582</v>
      </c>
      <c r="E29" t="s">
        <v>581</v>
      </c>
      <c r="K29" s="233">
        <v>10</v>
      </c>
      <c r="L29" s="222" t="s">
        <v>174</v>
      </c>
      <c r="M29" s="237" t="s">
        <v>850</v>
      </c>
      <c r="O29" s="44">
        <v>3797026</v>
      </c>
    </row>
    <row r="30" spans="2:15" ht="14.4" thickBot="1" x14ac:dyDescent="0.3">
      <c r="B30" s="158" t="s">
        <v>1261</v>
      </c>
      <c r="C30" s="157"/>
      <c r="D30" t="s">
        <v>584</v>
      </c>
      <c r="E30" t="s">
        <v>583</v>
      </c>
      <c r="K30" s="234" t="s">
        <v>449</v>
      </c>
      <c r="L30" s="235" t="s">
        <v>450</v>
      </c>
      <c r="M30" s="224" t="s">
        <v>851</v>
      </c>
      <c r="O30" s="44">
        <v>3486155</v>
      </c>
    </row>
    <row r="31" spans="2:15" ht="12" x14ac:dyDescent="0.25">
      <c r="B31" s="158" t="s">
        <v>1219</v>
      </c>
      <c r="C31" s="157"/>
      <c r="D31" t="s">
        <v>586</v>
      </c>
      <c r="E31" t="s">
        <v>585</v>
      </c>
    </row>
    <row r="32" spans="2:15" ht="12.6" thickBot="1" x14ac:dyDescent="0.3">
      <c r="B32" s="158" t="s">
        <v>1220</v>
      </c>
      <c r="C32" s="157"/>
      <c r="D32" t="s">
        <v>588</v>
      </c>
      <c r="E32" t="s">
        <v>587</v>
      </c>
    </row>
    <row r="33" spans="2:19" ht="14.4" thickBot="1" x14ac:dyDescent="0.3">
      <c r="B33" s="158" t="s">
        <v>1221</v>
      </c>
      <c r="C33" s="157"/>
      <c r="D33" t="s">
        <v>590</v>
      </c>
      <c r="E33" t="s">
        <v>589</v>
      </c>
      <c r="K33" s="229" t="s">
        <v>418</v>
      </c>
      <c r="L33" s="239" t="s">
        <v>419</v>
      </c>
      <c r="M33" s="240" t="s">
        <v>843</v>
      </c>
      <c r="O33" s="44">
        <v>58317823</v>
      </c>
      <c r="P33" s="44">
        <f>SUM(O34:O40)</f>
        <v>54588682</v>
      </c>
      <c r="Q33" s="44">
        <f>P33-O33</f>
        <v>-3729141</v>
      </c>
      <c r="S33" s="44">
        <v>54533533</v>
      </c>
    </row>
    <row r="34" spans="2:19" ht="14.4" thickBot="1" x14ac:dyDescent="0.3">
      <c r="B34" s="158" t="s">
        <v>1222</v>
      </c>
      <c r="C34" s="157"/>
      <c r="D34" t="s">
        <v>592</v>
      </c>
      <c r="E34" t="s">
        <v>591</v>
      </c>
      <c r="K34" s="233">
        <v>1000</v>
      </c>
      <c r="L34" s="241" t="s">
        <v>420</v>
      </c>
      <c r="M34" s="237" t="s">
        <v>852</v>
      </c>
      <c r="O34" s="44">
        <v>24369680</v>
      </c>
      <c r="S34" s="44">
        <v>21891642</v>
      </c>
    </row>
    <row r="35" spans="2:19" ht="14.4" thickBot="1" x14ac:dyDescent="0.3">
      <c r="B35" s="158" t="s">
        <v>1223</v>
      </c>
      <c r="C35" s="157"/>
      <c r="D35" t="s">
        <v>594</v>
      </c>
      <c r="E35" t="s">
        <v>593</v>
      </c>
      <c r="K35" s="233">
        <v>2000</v>
      </c>
      <c r="L35" s="241" t="s">
        <v>421</v>
      </c>
      <c r="M35" s="237" t="s">
        <v>853</v>
      </c>
      <c r="O35" s="44">
        <v>12837828</v>
      </c>
      <c r="S35" s="44">
        <v>14425880</v>
      </c>
    </row>
    <row r="36" spans="2:19" ht="14.4" thickBot="1" x14ac:dyDescent="0.3">
      <c r="B36" s="158" t="s">
        <v>388</v>
      </c>
      <c r="C36" s="157"/>
      <c r="D36" t="s">
        <v>596</v>
      </c>
      <c r="E36" t="s">
        <v>595</v>
      </c>
      <c r="K36" s="233">
        <v>3000</v>
      </c>
      <c r="L36" s="241" t="s">
        <v>423</v>
      </c>
      <c r="M36" s="237" t="s">
        <v>854</v>
      </c>
      <c r="O36" s="44">
        <v>192269</v>
      </c>
      <c r="S36" s="44">
        <v>224185</v>
      </c>
    </row>
    <row r="37" spans="2:19" ht="14.4" thickBot="1" x14ac:dyDescent="0.3">
      <c r="B37" s="158" t="s">
        <v>389</v>
      </c>
      <c r="C37" s="157"/>
      <c r="D37" t="s">
        <v>598</v>
      </c>
      <c r="E37" t="s">
        <v>597</v>
      </c>
      <c r="K37" s="233">
        <v>4000</v>
      </c>
      <c r="L37" s="241" t="s">
        <v>422</v>
      </c>
      <c r="M37" s="237" t="s">
        <v>855</v>
      </c>
      <c r="O37" s="44">
        <v>2229302</v>
      </c>
      <c r="S37" s="44">
        <v>1047339</v>
      </c>
    </row>
    <row r="38" spans="2:19" ht="14.4" thickBot="1" x14ac:dyDescent="0.3">
      <c r="B38" s="158" t="s">
        <v>1224</v>
      </c>
      <c r="C38" s="157"/>
      <c r="D38" t="s">
        <v>600</v>
      </c>
      <c r="E38" t="s">
        <v>599</v>
      </c>
      <c r="K38" s="233">
        <v>5000</v>
      </c>
      <c r="L38" s="222" t="s">
        <v>856</v>
      </c>
      <c r="M38" s="237" t="s">
        <v>857</v>
      </c>
      <c r="O38" s="44">
        <v>4408846</v>
      </c>
      <c r="S38" s="44">
        <v>8049231</v>
      </c>
    </row>
    <row r="39" spans="2:19" ht="14.4" thickBot="1" x14ac:dyDescent="0.3">
      <c r="B39" s="158" t="s">
        <v>1225</v>
      </c>
      <c r="C39" s="157"/>
      <c r="D39" t="s">
        <v>602</v>
      </c>
      <c r="E39" t="s">
        <v>601</v>
      </c>
      <c r="K39" s="233">
        <v>6000</v>
      </c>
      <c r="L39" s="241" t="s">
        <v>433</v>
      </c>
      <c r="M39" s="237" t="s">
        <v>858</v>
      </c>
      <c r="O39" s="44">
        <v>2064458</v>
      </c>
      <c r="S39" s="44">
        <v>2376538</v>
      </c>
    </row>
    <row r="40" spans="2:19" s="5" customFormat="1" ht="28.2" thickBot="1" x14ac:dyDescent="0.3">
      <c r="B40" s="158" t="s">
        <v>1226</v>
      </c>
      <c r="C40" s="167"/>
      <c r="D40" s="5" t="s">
        <v>604</v>
      </c>
      <c r="E40" s="5" t="s">
        <v>603</v>
      </c>
      <c r="K40" s="233">
        <v>7000</v>
      </c>
      <c r="L40" s="242" t="s">
        <v>451</v>
      </c>
      <c r="M40" s="237" t="s">
        <v>859</v>
      </c>
      <c r="O40" s="168">
        <v>8486299</v>
      </c>
      <c r="S40" s="168">
        <v>6518718</v>
      </c>
    </row>
    <row r="41" spans="2:19" ht="14.4" thickBot="1" x14ac:dyDescent="0.3">
      <c r="B41" s="158" t="s">
        <v>1227</v>
      </c>
      <c r="C41" s="157"/>
      <c r="D41" t="s">
        <v>606</v>
      </c>
      <c r="E41" t="s">
        <v>605</v>
      </c>
      <c r="K41" s="234" t="s">
        <v>449</v>
      </c>
      <c r="L41" s="235" t="s">
        <v>450</v>
      </c>
      <c r="M41" s="224" t="s">
        <v>851</v>
      </c>
      <c r="O41" s="44">
        <v>3486155</v>
      </c>
      <c r="S41" s="44">
        <v>3601890</v>
      </c>
    </row>
    <row r="42" spans="2:19" ht="12" x14ac:dyDescent="0.25">
      <c r="B42" s="158" t="s">
        <v>1228</v>
      </c>
      <c r="C42" s="157"/>
      <c r="D42" t="s">
        <v>608</v>
      </c>
      <c r="E42" t="s">
        <v>607</v>
      </c>
    </row>
    <row r="43" spans="2:19" ht="12" x14ac:dyDescent="0.25">
      <c r="B43" s="158" t="s">
        <v>1262</v>
      </c>
      <c r="C43" s="157"/>
      <c r="D43" t="s">
        <v>610</v>
      </c>
      <c r="E43" t="s">
        <v>609</v>
      </c>
    </row>
    <row r="44" spans="2:19" ht="12" x14ac:dyDescent="0.25">
      <c r="B44" s="158" t="s">
        <v>1263</v>
      </c>
      <c r="C44" s="157"/>
      <c r="D44" t="s">
        <v>612</v>
      </c>
      <c r="E44" t="s">
        <v>611</v>
      </c>
    </row>
    <row r="45" spans="2:19" ht="12" x14ac:dyDescent="0.25">
      <c r="B45" s="158" t="s">
        <v>1229</v>
      </c>
      <c r="C45" s="157"/>
      <c r="D45" t="s">
        <v>614</v>
      </c>
      <c r="E45" t="s">
        <v>613</v>
      </c>
    </row>
    <row r="46" spans="2:19" ht="12" x14ac:dyDescent="0.25">
      <c r="B46" s="158" t="s">
        <v>1230</v>
      </c>
      <c r="C46" s="157"/>
      <c r="D46" t="s">
        <v>616</v>
      </c>
      <c r="E46" t="s">
        <v>615</v>
      </c>
    </row>
    <row r="47" spans="2:19" ht="12" x14ac:dyDescent="0.25">
      <c r="B47" s="158" t="s">
        <v>1231</v>
      </c>
      <c r="C47" s="157"/>
      <c r="D47" t="s">
        <v>618</v>
      </c>
      <c r="E47" t="s">
        <v>617</v>
      </c>
    </row>
    <row r="48" spans="2:19" ht="12" x14ac:dyDescent="0.25">
      <c r="B48" s="158" t="s">
        <v>1232</v>
      </c>
      <c r="C48" s="157"/>
      <c r="D48" t="s">
        <v>620</v>
      </c>
      <c r="E48" t="s">
        <v>619</v>
      </c>
    </row>
    <row r="49" spans="2:5" ht="12" x14ac:dyDescent="0.25">
      <c r="B49" s="158" t="s">
        <v>1233</v>
      </c>
      <c r="C49" s="157"/>
      <c r="D49" t="s">
        <v>622</v>
      </c>
      <c r="E49" t="s">
        <v>621</v>
      </c>
    </row>
    <row r="50" spans="2:5" ht="12" x14ac:dyDescent="0.25">
      <c r="B50" s="158" t="s">
        <v>1234</v>
      </c>
      <c r="C50" s="157"/>
      <c r="D50" t="s">
        <v>671</v>
      </c>
      <c r="E50" t="s">
        <v>670</v>
      </c>
    </row>
    <row r="51" spans="2:5" ht="12" x14ac:dyDescent="0.25">
      <c r="B51" s="158" t="s">
        <v>1235</v>
      </c>
      <c r="C51" s="157"/>
      <c r="D51" t="s">
        <v>445</v>
      </c>
      <c r="E51" t="s">
        <v>114</v>
      </c>
    </row>
    <row r="52" spans="2:5" ht="12" x14ac:dyDescent="0.25">
      <c r="B52" s="158" t="s">
        <v>1236</v>
      </c>
      <c r="C52" s="157"/>
      <c r="D52" t="s">
        <v>624</v>
      </c>
      <c r="E52" t="s">
        <v>623</v>
      </c>
    </row>
    <row r="53" spans="2:5" ht="12" x14ac:dyDescent="0.25">
      <c r="B53" s="158" t="s">
        <v>1237</v>
      </c>
      <c r="C53" s="157"/>
      <c r="D53" t="s">
        <v>626</v>
      </c>
      <c r="E53" t="s">
        <v>625</v>
      </c>
    </row>
    <row r="54" spans="2:5" ht="12" x14ac:dyDescent="0.25">
      <c r="B54" s="158" t="s">
        <v>1238</v>
      </c>
      <c r="C54" s="157"/>
      <c r="D54" t="s">
        <v>628</v>
      </c>
      <c r="E54" t="s">
        <v>627</v>
      </c>
    </row>
    <row r="55" spans="2:5" ht="12" x14ac:dyDescent="0.25">
      <c r="B55" s="158" t="s">
        <v>1239</v>
      </c>
      <c r="C55" s="157"/>
      <c r="D55" t="s">
        <v>630</v>
      </c>
      <c r="E55" t="s">
        <v>629</v>
      </c>
    </row>
    <row r="56" spans="2:5" ht="12" x14ac:dyDescent="0.25">
      <c r="B56" s="158" t="s">
        <v>1240</v>
      </c>
      <c r="C56" s="157"/>
      <c r="D56" t="s">
        <v>632</v>
      </c>
      <c r="E56" t="s">
        <v>631</v>
      </c>
    </row>
    <row r="57" spans="2:5" s="5" customFormat="1" ht="12" x14ac:dyDescent="0.25">
      <c r="B57" s="158" t="s">
        <v>1241</v>
      </c>
      <c r="C57" s="167"/>
      <c r="D57" s="5" t="s">
        <v>634</v>
      </c>
      <c r="E57" s="5" t="s">
        <v>633</v>
      </c>
    </row>
    <row r="58" spans="2:5" s="5" customFormat="1" ht="12" x14ac:dyDescent="0.25">
      <c r="B58" s="158" t="s">
        <v>1242</v>
      </c>
      <c r="C58" s="167"/>
      <c r="D58" s="5" t="s">
        <v>636</v>
      </c>
      <c r="E58" s="5" t="s">
        <v>635</v>
      </c>
    </row>
    <row r="59" spans="2:5" s="5" customFormat="1" ht="12" x14ac:dyDescent="0.25">
      <c r="B59" s="158" t="s">
        <v>1243</v>
      </c>
      <c r="C59" s="167"/>
      <c r="D59" s="5" t="s">
        <v>638</v>
      </c>
      <c r="E59" s="5" t="s">
        <v>637</v>
      </c>
    </row>
    <row r="60" spans="2:5" s="5" customFormat="1" ht="12" x14ac:dyDescent="0.25">
      <c r="B60" s="158" t="s">
        <v>1244</v>
      </c>
      <c r="C60" s="167"/>
      <c r="D60" s="5" t="s">
        <v>640</v>
      </c>
      <c r="E60" s="5" t="s">
        <v>639</v>
      </c>
    </row>
    <row r="61" spans="2:5" s="5" customFormat="1" ht="12" x14ac:dyDescent="0.25">
      <c r="B61" s="158" t="s">
        <v>1245</v>
      </c>
      <c r="C61" s="167"/>
      <c r="D61" s="5" t="s">
        <v>642</v>
      </c>
      <c r="E61" s="5" t="s">
        <v>641</v>
      </c>
    </row>
    <row r="62" spans="2:5" s="5" customFormat="1" ht="12" x14ac:dyDescent="0.25">
      <c r="B62" s="158" t="s">
        <v>280</v>
      </c>
      <c r="C62" s="167"/>
      <c r="D62" s="5" t="s">
        <v>644</v>
      </c>
      <c r="E62" s="5" t="s">
        <v>643</v>
      </c>
    </row>
    <row r="63" spans="2:5" s="5" customFormat="1" ht="12" x14ac:dyDescent="0.25">
      <c r="B63" s="158" t="s">
        <v>1246</v>
      </c>
      <c r="C63" s="167"/>
      <c r="D63" s="5" t="s">
        <v>646</v>
      </c>
      <c r="E63" s="5" t="s">
        <v>645</v>
      </c>
    </row>
    <row r="64" spans="2:5" ht="12" x14ac:dyDescent="0.25">
      <c r="B64" s="158" t="s">
        <v>1247</v>
      </c>
      <c r="C64" s="157"/>
      <c r="D64" t="s">
        <v>648</v>
      </c>
      <c r="E64" t="s">
        <v>647</v>
      </c>
    </row>
    <row r="65" spans="2:5" ht="12" x14ac:dyDescent="0.25">
      <c r="B65" s="158" t="s">
        <v>1248</v>
      </c>
      <c r="C65" s="157"/>
      <c r="D65" t="s">
        <v>650</v>
      </c>
      <c r="E65" t="s">
        <v>649</v>
      </c>
    </row>
    <row r="66" spans="2:5" ht="12" x14ac:dyDescent="0.25">
      <c r="B66" s="158" t="s">
        <v>1249</v>
      </c>
      <c r="C66" s="157"/>
      <c r="D66" t="s">
        <v>652</v>
      </c>
      <c r="E66" t="s">
        <v>651</v>
      </c>
    </row>
    <row r="67" spans="2:5" ht="12" x14ac:dyDescent="0.25">
      <c r="B67" s="158" t="s">
        <v>1250</v>
      </c>
      <c r="C67" s="157"/>
      <c r="D67" t="s">
        <v>654</v>
      </c>
      <c r="E67" t="s">
        <v>653</v>
      </c>
    </row>
    <row r="68" spans="2:5" ht="12" x14ac:dyDescent="0.25">
      <c r="B68" s="158" t="s">
        <v>1251</v>
      </c>
      <c r="C68" s="157"/>
      <c r="D68" t="s">
        <v>656</v>
      </c>
      <c r="E68" t="s">
        <v>655</v>
      </c>
    </row>
    <row r="69" spans="2:5" ht="12" x14ac:dyDescent="0.25">
      <c r="B69" s="158" t="s">
        <v>1252</v>
      </c>
      <c r="C69" s="157"/>
    </row>
    <row r="70" spans="2:5" ht="12" x14ac:dyDescent="0.25">
      <c r="B70" s="158" t="s">
        <v>1253</v>
      </c>
      <c r="C70" s="157"/>
      <c r="D70" t="s">
        <v>658</v>
      </c>
      <c r="E70" s="2" t="s">
        <v>657</v>
      </c>
    </row>
    <row r="71" spans="2:5" ht="12" x14ac:dyDescent="0.25">
      <c r="B71" s="158" t="s">
        <v>1264</v>
      </c>
      <c r="C71" s="157"/>
      <c r="D71">
        <v>2</v>
      </c>
      <c r="E71" t="s">
        <v>659</v>
      </c>
    </row>
    <row r="72" spans="2:5" ht="12" x14ac:dyDescent="0.25">
      <c r="B72" s="158" t="s">
        <v>1265</v>
      </c>
      <c r="C72" s="157"/>
      <c r="D72">
        <v>0</v>
      </c>
      <c r="E72" t="s">
        <v>887</v>
      </c>
    </row>
    <row r="73" spans="2:5" ht="12" x14ac:dyDescent="0.25">
      <c r="B73" s="158" t="s">
        <v>1266</v>
      </c>
      <c r="C73" s="157"/>
      <c r="D73">
        <v>1000</v>
      </c>
      <c r="E73" t="s">
        <v>420</v>
      </c>
    </row>
    <row r="74" spans="2:5" ht="12" x14ac:dyDescent="0.25">
      <c r="B74" s="158" t="s">
        <v>1267</v>
      </c>
      <c r="C74" s="157"/>
      <c r="D74">
        <v>1100</v>
      </c>
      <c r="E74" t="s">
        <v>285</v>
      </c>
    </row>
    <row r="75" spans="2:5" ht="12" x14ac:dyDescent="0.25">
      <c r="B75" s="158" t="s">
        <v>1268</v>
      </c>
      <c r="C75" s="157"/>
      <c r="D75">
        <v>1110</v>
      </c>
      <c r="E75" t="s">
        <v>888</v>
      </c>
    </row>
    <row r="76" spans="2:5" ht="12" x14ac:dyDescent="0.25">
      <c r="B76" s="158" t="s">
        <v>1269</v>
      </c>
      <c r="C76" s="157"/>
      <c r="D76">
        <v>1111</v>
      </c>
      <c r="E76" t="s">
        <v>889</v>
      </c>
    </row>
    <row r="77" spans="2:5" ht="12" x14ac:dyDescent="0.25">
      <c r="B77" s="158" t="s">
        <v>1270</v>
      </c>
      <c r="C77" s="157"/>
      <c r="D77">
        <v>1112</v>
      </c>
      <c r="E77" t="s">
        <v>313</v>
      </c>
    </row>
    <row r="78" spans="2:5" ht="12" x14ac:dyDescent="0.25">
      <c r="B78" s="158" t="s">
        <v>1271</v>
      </c>
      <c r="C78" s="157"/>
      <c r="D78">
        <v>1113</v>
      </c>
      <c r="E78" t="s">
        <v>890</v>
      </c>
    </row>
    <row r="79" spans="2:5" ht="12" x14ac:dyDescent="0.25">
      <c r="B79" s="158" t="s">
        <v>1272</v>
      </c>
      <c r="C79" s="157"/>
      <c r="D79">
        <v>1114</v>
      </c>
      <c r="E79" t="s">
        <v>891</v>
      </c>
    </row>
    <row r="80" spans="2:5" ht="12" x14ac:dyDescent="0.25">
      <c r="B80" s="158" t="s">
        <v>1273</v>
      </c>
      <c r="C80" s="157"/>
      <c r="D80">
        <v>1115</v>
      </c>
      <c r="E80" t="s">
        <v>892</v>
      </c>
    </row>
    <row r="81" spans="2:5" ht="12" x14ac:dyDescent="0.25">
      <c r="B81" s="158" t="s">
        <v>1274</v>
      </c>
      <c r="C81" s="157"/>
      <c r="D81">
        <v>1116</v>
      </c>
      <c r="E81" t="s">
        <v>893</v>
      </c>
    </row>
    <row r="82" spans="2:5" ht="12" x14ac:dyDescent="0.25">
      <c r="B82" s="158" t="s">
        <v>1275</v>
      </c>
      <c r="C82" s="157"/>
      <c r="D82">
        <v>1119</v>
      </c>
      <c r="E82" t="s">
        <v>215</v>
      </c>
    </row>
    <row r="83" spans="2:5" ht="12" x14ac:dyDescent="0.25">
      <c r="B83" s="158" t="s">
        <v>283</v>
      </c>
      <c r="C83" s="157"/>
      <c r="D83">
        <v>1140</v>
      </c>
      <c r="E83" t="s">
        <v>894</v>
      </c>
    </row>
    <row r="84" spans="2:5" ht="12" x14ac:dyDescent="0.25">
      <c r="B84" s="158" t="s">
        <v>1276</v>
      </c>
      <c r="C84" s="157"/>
      <c r="D84">
        <v>1141</v>
      </c>
      <c r="E84" t="s">
        <v>218</v>
      </c>
    </row>
    <row r="85" spans="2:5" ht="12" x14ac:dyDescent="0.25">
      <c r="B85" s="158" t="s">
        <v>1277</v>
      </c>
      <c r="C85" s="157"/>
      <c r="D85">
        <v>1142</v>
      </c>
      <c r="E85" t="s">
        <v>206</v>
      </c>
    </row>
    <row r="86" spans="2:5" s="5" customFormat="1" ht="12" x14ac:dyDescent="0.25">
      <c r="B86" s="158" t="s">
        <v>1278</v>
      </c>
      <c r="C86" s="167"/>
      <c r="D86" s="5">
        <v>1143</v>
      </c>
      <c r="E86" s="5" t="s">
        <v>895</v>
      </c>
    </row>
    <row r="87" spans="2:5" s="5" customFormat="1" ht="12" x14ac:dyDescent="0.25">
      <c r="B87" s="158" t="s">
        <v>1279</v>
      </c>
      <c r="C87" s="167"/>
      <c r="D87" s="5">
        <v>1144</v>
      </c>
      <c r="E87" s="5" t="s">
        <v>896</v>
      </c>
    </row>
    <row r="88" spans="2:5" ht="12" x14ac:dyDescent="0.25">
      <c r="B88" s="158" t="s">
        <v>1280</v>
      </c>
      <c r="C88" s="157"/>
      <c r="D88">
        <v>1145</v>
      </c>
      <c r="E88" t="s">
        <v>468</v>
      </c>
    </row>
    <row r="89" spans="2:5" ht="12" x14ac:dyDescent="0.25">
      <c r="B89" s="158" t="s">
        <v>1281</v>
      </c>
      <c r="C89" s="157"/>
      <c r="D89">
        <v>1146</v>
      </c>
      <c r="E89" t="s">
        <v>310</v>
      </c>
    </row>
    <row r="90" spans="2:5" ht="12" x14ac:dyDescent="0.25">
      <c r="B90" s="158" t="s">
        <v>1282</v>
      </c>
      <c r="C90" s="157"/>
      <c r="D90">
        <v>1147</v>
      </c>
      <c r="E90" t="s">
        <v>282</v>
      </c>
    </row>
    <row r="91" spans="2:5" ht="12" x14ac:dyDescent="0.25">
      <c r="B91" s="158" t="s">
        <v>1283</v>
      </c>
      <c r="C91" s="157"/>
      <c r="D91">
        <v>1148</v>
      </c>
      <c r="E91" t="s">
        <v>537</v>
      </c>
    </row>
    <row r="92" spans="2:5" ht="12" x14ac:dyDescent="0.25">
      <c r="B92" s="158" t="s">
        <v>1284</v>
      </c>
      <c r="C92" s="157"/>
      <c r="D92">
        <v>1149</v>
      </c>
      <c r="E92" t="s">
        <v>378</v>
      </c>
    </row>
    <row r="93" spans="2:5" x14ac:dyDescent="0.2">
      <c r="B93" s="158" t="s">
        <v>525</v>
      </c>
      <c r="C93" s="5"/>
      <c r="D93">
        <v>1150</v>
      </c>
      <c r="E93" t="s">
        <v>517</v>
      </c>
    </row>
    <row r="94" spans="2:5" x14ac:dyDescent="0.2">
      <c r="B94" s="158"/>
      <c r="C94" s="5"/>
      <c r="D94">
        <v>1170</v>
      </c>
      <c r="E94" t="s">
        <v>295</v>
      </c>
    </row>
    <row r="95" spans="2:5" x14ac:dyDescent="0.2">
      <c r="C95" s="5"/>
      <c r="D95">
        <v>1200</v>
      </c>
      <c r="E95" t="s">
        <v>897</v>
      </c>
    </row>
    <row r="96" spans="2:5" x14ac:dyDescent="0.2">
      <c r="C96" s="5"/>
      <c r="D96">
        <v>1210</v>
      </c>
      <c r="E96" t="s">
        <v>276</v>
      </c>
    </row>
    <row r="97" spans="2:5" x14ac:dyDescent="0.2">
      <c r="C97" s="5"/>
      <c r="D97">
        <v>1220</v>
      </c>
      <c r="E97" t="s">
        <v>233</v>
      </c>
    </row>
    <row r="98" spans="2:5" x14ac:dyDescent="0.2">
      <c r="B98" s="158" t="s">
        <v>341</v>
      </c>
      <c r="C98" s="5"/>
      <c r="D98">
        <v>1221</v>
      </c>
      <c r="E98" t="s">
        <v>219</v>
      </c>
    </row>
    <row r="99" spans="2:5" x14ac:dyDescent="0.2">
      <c r="B99" s="158" t="s">
        <v>676</v>
      </c>
      <c r="C99" s="5"/>
      <c r="D99">
        <v>1222</v>
      </c>
      <c r="E99" t="s">
        <v>898</v>
      </c>
    </row>
    <row r="100" spans="2:5" x14ac:dyDescent="0.2">
      <c r="B100" s="158" t="s">
        <v>673</v>
      </c>
      <c r="C100" s="5"/>
      <c r="D100">
        <v>1223</v>
      </c>
      <c r="E100" t="s">
        <v>392</v>
      </c>
    </row>
    <row r="101" spans="2:5" x14ac:dyDescent="0.2">
      <c r="C101" s="5"/>
      <c r="D101">
        <v>1224</v>
      </c>
      <c r="E101" t="s">
        <v>899</v>
      </c>
    </row>
    <row r="102" spans="2:5" x14ac:dyDescent="0.2">
      <c r="C102" s="5"/>
      <c r="D102">
        <v>1225</v>
      </c>
      <c r="E102" t="s">
        <v>900</v>
      </c>
    </row>
    <row r="103" spans="2:5" x14ac:dyDescent="0.2">
      <c r="C103" s="5"/>
      <c r="D103">
        <v>1226</v>
      </c>
      <c r="E103" t="s">
        <v>901</v>
      </c>
    </row>
    <row r="104" spans="2:5" x14ac:dyDescent="0.2">
      <c r="C104" s="5"/>
      <c r="D104">
        <v>1227</v>
      </c>
      <c r="E104" t="s">
        <v>376</v>
      </c>
    </row>
    <row r="105" spans="2:5" x14ac:dyDescent="0.2">
      <c r="D105">
        <v>1228</v>
      </c>
      <c r="E105" t="s">
        <v>220</v>
      </c>
    </row>
    <row r="106" spans="2:5" x14ac:dyDescent="0.2">
      <c r="D106">
        <v>1230</v>
      </c>
      <c r="E106" t="s">
        <v>902</v>
      </c>
    </row>
    <row r="107" spans="2:5" x14ac:dyDescent="0.2">
      <c r="D107">
        <v>2000</v>
      </c>
      <c r="E107" t="s">
        <v>421</v>
      </c>
    </row>
    <row r="108" spans="2:5" x14ac:dyDescent="0.2">
      <c r="D108">
        <v>2100</v>
      </c>
      <c r="E108" t="s">
        <v>903</v>
      </c>
    </row>
    <row r="109" spans="2:5" x14ac:dyDescent="0.2">
      <c r="D109">
        <v>2110</v>
      </c>
      <c r="E109" t="s">
        <v>904</v>
      </c>
    </row>
    <row r="110" spans="2:5" x14ac:dyDescent="0.2">
      <c r="C110" s="156"/>
      <c r="D110">
        <v>2111</v>
      </c>
      <c r="E110" t="s">
        <v>667</v>
      </c>
    </row>
    <row r="111" spans="2:5" x14ac:dyDescent="0.2">
      <c r="C111" s="156"/>
      <c r="D111">
        <v>2112</v>
      </c>
      <c r="E111" t="s">
        <v>519</v>
      </c>
    </row>
    <row r="112" spans="2:5" x14ac:dyDescent="0.2">
      <c r="C112" s="156"/>
      <c r="D112">
        <v>2120</v>
      </c>
      <c r="E112" t="s">
        <v>905</v>
      </c>
    </row>
    <row r="113" spans="3:5" x14ac:dyDescent="0.2">
      <c r="C113" s="156"/>
      <c r="D113">
        <v>2121</v>
      </c>
      <c r="E113" t="s">
        <v>515</v>
      </c>
    </row>
    <row r="114" spans="3:5" x14ac:dyDescent="0.2">
      <c r="C114" s="156"/>
      <c r="D114">
        <v>2122</v>
      </c>
      <c r="E114" t="s">
        <v>516</v>
      </c>
    </row>
    <row r="115" spans="3:5" x14ac:dyDescent="0.2">
      <c r="C115" s="156"/>
      <c r="D115">
        <v>2200</v>
      </c>
      <c r="E115" t="s">
        <v>906</v>
      </c>
    </row>
    <row r="116" spans="3:5" x14ac:dyDescent="0.2">
      <c r="C116" s="156"/>
      <c r="D116">
        <v>2210</v>
      </c>
      <c r="E116" t="s">
        <v>365</v>
      </c>
    </row>
    <row r="117" spans="3:5" x14ac:dyDescent="0.2">
      <c r="C117" s="156"/>
      <c r="D117">
        <v>2211</v>
      </c>
      <c r="E117" t="s">
        <v>907</v>
      </c>
    </row>
    <row r="118" spans="3:5" x14ac:dyDescent="0.2">
      <c r="C118" s="156"/>
      <c r="D118">
        <v>2219</v>
      </c>
      <c r="E118" t="s">
        <v>908</v>
      </c>
    </row>
    <row r="119" spans="3:5" x14ac:dyDescent="0.2">
      <c r="C119" s="156"/>
      <c r="D119">
        <v>2210</v>
      </c>
      <c r="E119" t="s">
        <v>365</v>
      </c>
    </row>
    <row r="120" spans="3:5" x14ac:dyDescent="0.2">
      <c r="C120" s="156"/>
      <c r="D120">
        <v>2220</v>
      </c>
      <c r="E120" t="s">
        <v>909</v>
      </c>
    </row>
    <row r="121" spans="3:5" x14ac:dyDescent="0.2">
      <c r="C121" s="156"/>
      <c r="D121">
        <v>2221</v>
      </c>
      <c r="E121" t="s">
        <v>312</v>
      </c>
    </row>
    <row r="122" spans="3:5" x14ac:dyDescent="0.2">
      <c r="C122" s="156"/>
      <c r="D122">
        <v>2222</v>
      </c>
      <c r="E122" t="s">
        <v>221</v>
      </c>
    </row>
    <row r="123" spans="3:5" x14ac:dyDescent="0.2">
      <c r="C123" s="156"/>
      <c r="D123">
        <v>2223</v>
      </c>
      <c r="E123" t="s">
        <v>222</v>
      </c>
    </row>
    <row r="124" spans="3:5" x14ac:dyDescent="0.2">
      <c r="C124" s="156"/>
      <c r="D124">
        <v>2224</v>
      </c>
      <c r="E124" t="s">
        <v>522</v>
      </c>
    </row>
    <row r="125" spans="3:5" x14ac:dyDescent="0.2">
      <c r="C125" s="156"/>
      <c r="D125">
        <v>2229</v>
      </c>
      <c r="E125" t="s">
        <v>241</v>
      </c>
    </row>
    <row r="126" spans="3:5" x14ac:dyDescent="0.2">
      <c r="C126" s="156"/>
      <c r="D126">
        <v>2230</v>
      </c>
      <c r="E126" t="s">
        <v>910</v>
      </c>
    </row>
    <row r="127" spans="3:5" x14ac:dyDescent="0.2">
      <c r="C127" s="154"/>
      <c r="D127">
        <v>2231</v>
      </c>
      <c r="E127" t="s">
        <v>813</v>
      </c>
    </row>
    <row r="128" spans="3:5" x14ac:dyDescent="0.2">
      <c r="D128">
        <v>2232</v>
      </c>
      <c r="E128" t="s">
        <v>738</v>
      </c>
    </row>
    <row r="129" spans="4:5" x14ac:dyDescent="0.2">
      <c r="D129">
        <v>2233</v>
      </c>
      <c r="E129" t="s">
        <v>216</v>
      </c>
    </row>
    <row r="130" spans="4:5" x14ac:dyDescent="0.2">
      <c r="D130">
        <v>2234</v>
      </c>
      <c r="E130" t="s">
        <v>911</v>
      </c>
    </row>
    <row r="131" spans="4:5" x14ac:dyDescent="0.2">
      <c r="D131">
        <v>2235</v>
      </c>
      <c r="E131" t="s">
        <v>390</v>
      </c>
    </row>
    <row r="132" spans="4:5" x14ac:dyDescent="0.2">
      <c r="D132">
        <v>2236</v>
      </c>
      <c r="E132" t="s">
        <v>672</v>
      </c>
    </row>
    <row r="133" spans="4:5" x14ac:dyDescent="0.2">
      <c r="D133">
        <v>2237</v>
      </c>
      <c r="E133" t="s">
        <v>912</v>
      </c>
    </row>
    <row r="134" spans="4:5" x14ac:dyDescent="0.2">
      <c r="D134">
        <v>2238</v>
      </c>
      <c r="E134" t="s">
        <v>913</v>
      </c>
    </row>
    <row r="135" spans="4:5" x14ac:dyDescent="0.2">
      <c r="D135">
        <v>2239</v>
      </c>
      <c r="E135" t="s">
        <v>469</v>
      </c>
    </row>
    <row r="136" spans="4:5" x14ac:dyDescent="0.2">
      <c r="D136">
        <v>2240</v>
      </c>
      <c r="E136" t="s">
        <v>914</v>
      </c>
    </row>
    <row r="137" spans="4:5" x14ac:dyDescent="0.2">
      <c r="D137">
        <v>2241</v>
      </c>
      <c r="E137" t="s">
        <v>719</v>
      </c>
    </row>
    <row r="138" spans="4:5" x14ac:dyDescent="0.2">
      <c r="D138">
        <v>2242</v>
      </c>
      <c r="E138" t="s">
        <v>366</v>
      </c>
    </row>
    <row r="139" spans="4:5" x14ac:dyDescent="0.2">
      <c r="D139">
        <v>2243</v>
      </c>
      <c r="E139" t="s">
        <v>230</v>
      </c>
    </row>
    <row r="140" spans="4:5" x14ac:dyDescent="0.2">
      <c r="D140">
        <v>2244</v>
      </c>
      <c r="E140" t="s">
        <v>239</v>
      </c>
    </row>
    <row r="141" spans="4:5" x14ac:dyDescent="0.2">
      <c r="D141">
        <v>2246</v>
      </c>
      <c r="E141" t="s">
        <v>915</v>
      </c>
    </row>
    <row r="142" spans="4:5" x14ac:dyDescent="0.2">
      <c r="D142">
        <v>2247</v>
      </c>
      <c r="E142" t="s">
        <v>223</v>
      </c>
    </row>
    <row r="143" spans="4:5" x14ac:dyDescent="0.2">
      <c r="D143">
        <v>2248</v>
      </c>
      <c r="E143" t="s">
        <v>916</v>
      </c>
    </row>
    <row r="144" spans="4:5" x14ac:dyDescent="0.2">
      <c r="D144">
        <v>2249</v>
      </c>
      <c r="E144" t="s">
        <v>236</v>
      </c>
    </row>
    <row r="145" spans="4:5" x14ac:dyDescent="0.2">
      <c r="D145">
        <v>2250</v>
      </c>
      <c r="E145" t="s">
        <v>917</v>
      </c>
    </row>
    <row r="146" spans="4:5" x14ac:dyDescent="0.2">
      <c r="D146">
        <v>2251</v>
      </c>
      <c r="E146" t="s">
        <v>208</v>
      </c>
    </row>
    <row r="147" spans="4:5" x14ac:dyDescent="0.2">
      <c r="D147">
        <v>2252</v>
      </c>
      <c r="E147" t="s">
        <v>918</v>
      </c>
    </row>
    <row r="148" spans="4:5" x14ac:dyDescent="0.2">
      <c r="D148">
        <v>2259</v>
      </c>
      <c r="E148" t="s">
        <v>919</v>
      </c>
    </row>
    <row r="149" spans="4:5" x14ac:dyDescent="0.2">
      <c r="D149">
        <v>2250</v>
      </c>
      <c r="E149" t="s">
        <v>373</v>
      </c>
    </row>
    <row r="150" spans="4:5" x14ac:dyDescent="0.2">
      <c r="D150">
        <v>2260</v>
      </c>
      <c r="E150" t="s">
        <v>920</v>
      </c>
    </row>
    <row r="151" spans="4:5" x14ac:dyDescent="0.2">
      <c r="D151">
        <v>2261</v>
      </c>
      <c r="E151" t="s">
        <v>231</v>
      </c>
    </row>
    <row r="152" spans="4:5" x14ac:dyDescent="0.2">
      <c r="D152">
        <v>2262</v>
      </c>
      <c r="E152" t="s">
        <v>275</v>
      </c>
    </row>
    <row r="153" spans="4:5" x14ac:dyDescent="0.2">
      <c r="D153">
        <v>2263</v>
      </c>
      <c r="E153" t="s">
        <v>234</v>
      </c>
    </row>
    <row r="154" spans="4:5" x14ac:dyDescent="0.2">
      <c r="D154">
        <v>2264</v>
      </c>
      <c r="E154" t="s">
        <v>704</v>
      </c>
    </row>
    <row r="155" spans="4:5" x14ac:dyDescent="0.2">
      <c r="D155">
        <v>2269</v>
      </c>
      <c r="E155" t="s">
        <v>921</v>
      </c>
    </row>
    <row r="156" spans="4:5" x14ac:dyDescent="0.2">
      <c r="D156">
        <v>2270</v>
      </c>
      <c r="E156" t="s">
        <v>922</v>
      </c>
    </row>
    <row r="157" spans="4:5" x14ac:dyDescent="0.2">
      <c r="D157">
        <v>2271</v>
      </c>
      <c r="E157" t="s">
        <v>923</v>
      </c>
    </row>
    <row r="158" spans="4:5" x14ac:dyDescent="0.2">
      <c r="D158">
        <v>2272</v>
      </c>
      <c r="E158" t="s">
        <v>467</v>
      </c>
    </row>
    <row r="159" spans="4:5" x14ac:dyDescent="0.2">
      <c r="D159">
        <v>2273</v>
      </c>
      <c r="E159" t="s">
        <v>924</v>
      </c>
    </row>
    <row r="160" spans="4:5" x14ac:dyDescent="0.2">
      <c r="D160">
        <v>2275</v>
      </c>
      <c r="E160" t="s">
        <v>301</v>
      </c>
    </row>
    <row r="161" spans="4:5" x14ac:dyDescent="0.2">
      <c r="D161">
        <v>2276</v>
      </c>
      <c r="E161" t="s">
        <v>925</v>
      </c>
    </row>
    <row r="162" spans="4:5" x14ac:dyDescent="0.2">
      <c r="D162">
        <v>2278</v>
      </c>
      <c r="E162" t="s">
        <v>926</v>
      </c>
    </row>
    <row r="163" spans="4:5" x14ac:dyDescent="0.2">
      <c r="D163">
        <v>2279</v>
      </c>
      <c r="E163" t="s">
        <v>217</v>
      </c>
    </row>
    <row r="164" spans="4:5" x14ac:dyDescent="0.2">
      <c r="D164">
        <v>2280</v>
      </c>
      <c r="E164" t="s">
        <v>927</v>
      </c>
    </row>
    <row r="165" spans="4:5" x14ac:dyDescent="0.2">
      <c r="D165">
        <v>2281</v>
      </c>
      <c r="E165" t="s">
        <v>928</v>
      </c>
    </row>
    <row r="166" spans="4:5" x14ac:dyDescent="0.2">
      <c r="D166">
        <v>2282</v>
      </c>
      <c r="E166" t="s">
        <v>929</v>
      </c>
    </row>
    <row r="167" spans="4:5" x14ac:dyDescent="0.2">
      <c r="D167">
        <v>2283</v>
      </c>
      <c r="E167" t="s">
        <v>209</v>
      </c>
    </row>
    <row r="168" spans="4:5" x14ac:dyDescent="0.2">
      <c r="D168">
        <v>2280</v>
      </c>
      <c r="E168" t="s">
        <v>930</v>
      </c>
    </row>
    <row r="169" spans="4:5" x14ac:dyDescent="0.2">
      <c r="D169">
        <v>2300</v>
      </c>
      <c r="E169" t="s">
        <v>931</v>
      </c>
    </row>
    <row r="170" spans="4:5" x14ac:dyDescent="0.2">
      <c r="D170">
        <v>2310</v>
      </c>
      <c r="E170" t="s">
        <v>932</v>
      </c>
    </row>
    <row r="171" spans="4:5" x14ac:dyDescent="0.2">
      <c r="D171">
        <v>2311</v>
      </c>
      <c r="E171" t="s">
        <v>235</v>
      </c>
    </row>
    <row r="172" spans="4:5" x14ac:dyDescent="0.2">
      <c r="D172">
        <v>2312</v>
      </c>
      <c r="E172" t="s">
        <v>232</v>
      </c>
    </row>
    <row r="173" spans="4:5" x14ac:dyDescent="0.2">
      <c r="D173">
        <v>2313</v>
      </c>
      <c r="E173" t="s">
        <v>933</v>
      </c>
    </row>
    <row r="174" spans="4:5" x14ac:dyDescent="0.2">
      <c r="D174">
        <v>2314</v>
      </c>
      <c r="E174" t="s">
        <v>803</v>
      </c>
    </row>
    <row r="175" spans="4:5" x14ac:dyDescent="0.2">
      <c r="D175">
        <v>2320</v>
      </c>
      <c r="E175" t="s">
        <v>934</v>
      </c>
    </row>
    <row r="176" spans="4:5" x14ac:dyDescent="0.2">
      <c r="D176">
        <v>2321</v>
      </c>
      <c r="E176" t="s">
        <v>224</v>
      </c>
    </row>
    <row r="177" spans="4:5" x14ac:dyDescent="0.2">
      <c r="D177">
        <v>2322</v>
      </c>
      <c r="E177" t="s">
        <v>228</v>
      </c>
    </row>
    <row r="178" spans="4:5" x14ac:dyDescent="0.2">
      <c r="D178">
        <v>2329</v>
      </c>
      <c r="E178" t="s">
        <v>674</v>
      </c>
    </row>
    <row r="179" spans="4:5" x14ac:dyDescent="0.2">
      <c r="D179">
        <v>2330</v>
      </c>
      <c r="E179" t="s">
        <v>935</v>
      </c>
    </row>
    <row r="180" spans="4:5" x14ac:dyDescent="0.2">
      <c r="D180">
        <v>2340</v>
      </c>
      <c r="E180" t="s">
        <v>936</v>
      </c>
    </row>
    <row r="181" spans="4:5" x14ac:dyDescent="0.2">
      <c r="D181">
        <v>2341</v>
      </c>
      <c r="E181" t="s">
        <v>229</v>
      </c>
    </row>
    <row r="182" spans="4:5" x14ac:dyDescent="0.2">
      <c r="D182">
        <v>2343</v>
      </c>
      <c r="E182" t="s">
        <v>937</v>
      </c>
    </row>
    <row r="183" spans="4:5" x14ac:dyDescent="0.2">
      <c r="D183">
        <v>2344</v>
      </c>
      <c r="E183" t="s">
        <v>938</v>
      </c>
    </row>
    <row r="184" spans="4:5" x14ac:dyDescent="0.2">
      <c r="D184">
        <v>2350</v>
      </c>
      <c r="E184" t="s">
        <v>520</v>
      </c>
    </row>
    <row r="185" spans="4:5" x14ac:dyDescent="0.2">
      <c r="D185">
        <v>2360</v>
      </c>
      <c r="E185" t="s">
        <v>939</v>
      </c>
    </row>
    <row r="186" spans="4:5" x14ac:dyDescent="0.2">
      <c r="D186">
        <v>2361</v>
      </c>
      <c r="E186" t="s">
        <v>802</v>
      </c>
    </row>
    <row r="187" spans="4:5" x14ac:dyDescent="0.2">
      <c r="D187">
        <v>2362</v>
      </c>
      <c r="E187" t="s">
        <v>379</v>
      </c>
    </row>
    <row r="188" spans="4:5" x14ac:dyDescent="0.2">
      <c r="D188">
        <v>2363</v>
      </c>
      <c r="E188" t="s">
        <v>391</v>
      </c>
    </row>
    <row r="189" spans="4:5" x14ac:dyDescent="0.2">
      <c r="D189">
        <v>2364</v>
      </c>
      <c r="E189" t="s">
        <v>225</v>
      </c>
    </row>
    <row r="190" spans="4:5" x14ac:dyDescent="0.2">
      <c r="D190">
        <v>2365</v>
      </c>
      <c r="E190" t="s">
        <v>940</v>
      </c>
    </row>
    <row r="191" spans="4:5" x14ac:dyDescent="0.2">
      <c r="D191">
        <v>2366</v>
      </c>
      <c r="E191" t="s">
        <v>941</v>
      </c>
    </row>
    <row r="192" spans="4:5" x14ac:dyDescent="0.2">
      <c r="D192">
        <v>2369</v>
      </c>
      <c r="E192" t="s">
        <v>942</v>
      </c>
    </row>
    <row r="193" spans="4:5" x14ac:dyDescent="0.2">
      <c r="D193">
        <v>2370</v>
      </c>
      <c r="E193" t="s">
        <v>210</v>
      </c>
    </row>
    <row r="194" spans="4:5" x14ac:dyDescent="0.2">
      <c r="D194">
        <v>2380</v>
      </c>
      <c r="E194" t="s">
        <v>943</v>
      </c>
    </row>
    <row r="195" spans="4:5" x14ac:dyDescent="0.2">
      <c r="D195">
        <v>2381</v>
      </c>
      <c r="E195" t="s">
        <v>944</v>
      </c>
    </row>
    <row r="196" spans="4:5" x14ac:dyDescent="0.2">
      <c r="D196">
        <v>2382</v>
      </c>
      <c r="E196" t="s">
        <v>945</v>
      </c>
    </row>
    <row r="197" spans="4:5" x14ac:dyDescent="0.2">
      <c r="D197">
        <v>2383</v>
      </c>
      <c r="E197" t="s">
        <v>946</v>
      </c>
    </row>
    <row r="198" spans="4:5" x14ac:dyDescent="0.2">
      <c r="D198">
        <v>2389</v>
      </c>
      <c r="E198" t="s">
        <v>947</v>
      </c>
    </row>
    <row r="199" spans="4:5" x14ac:dyDescent="0.2">
      <c r="D199">
        <v>2390</v>
      </c>
      <c r="E199" t="s">
        <v>211</v>
      </c>
    </row>
    <row r="200" spans="4:5" x14ac:dyDescent="0.2">
      <c r="D200">
        <v>2400</v>
      </c>
      <c r="E200" t="s">
        <v>948</v>
      </c>
    </row>
    <row r="201" spans="4:5" x14ac:dyDescent="0.2">
      <c r="D201">
        <v>2500</v>
      </c>
      <c r="E201" t="s">
        <v>949</v>
      </c>
    </row>
    <row r="202" spans="4:5" x14ac:dyDescent="0.2">
      <c r="D202">
        <v>2510</v>
      </c>
      <c r="E202" t="s">
        <v>950</v>
      </c>
    </row>
    <row r="203" spans="4:5" x14ac:dyDescent="0.2">
      <c r="D203">
        <v>2512</v>
      </c>
      <c r="E203" t="s">
        <v>374</v>
      </c>
    </row>
    <row r="204" spans="4:5" x14ac:dyDescent="0.2">
      <c r="D204">
        <v>2513</v>
      </c>
      <c r="E204" t="s">
        <v>951</v>
      </c>
    </row>
    <row r="205" spans="4:5" x14ac:dyDescent="0.2">
      <c r="D205">
        <v>2514</v>
      </c>
      <c r="E205" t="s">
        <v>952</v>
      </c>
    </row>
    <row r="206" spans="4:5" x14ac:dyDescent="0.2">
      <c r="D206">
        <v>2515</v>
      </c>
      <c r="E206" t="s">
        <v>814</v>
      </c>
    </row>
    <row r="207" spans="4:5" x14ac:dyDescent="0.2">
      <c r="D207">
        <v>2516</v>
      </c>
      <c r="E207" t="s">
        <v>953</v>
      </c>
    </row>
    <row r="208" spans="4:5" x14ac:dyDescent="0.2">
      <c r="D208">
        <v>2519</v>
      </c>
      <c r="E208" t="s">
        <v>375</v>
      </c>
    </row>
    <row r="209" spans="4:5" x14ac:dyDescent="0.2">
      <c r="D209">
        <v>2800</v>
      </c>
      <c r="E209" t="s">
        <v>954</v>
      </c>
    </row>
    <row r="210" spans="4:5" x14ac:dyDescent="0.2">
      <c r="D210">
        <v>3000</v>
      </c>
      <c r="E210" t="s">
        <v>423</v>
      </c>
    </row>
    <row r="211" spans="4:5" x14ac:dyDescent="0.2">
      <c r="D211">
        <v>3100</v>
      </c>
      <c r="E211" t="s">
        <v>955</v>
      </c>
    </row>
    <row r="212" spans="4:5" x14ac:dyDescent="0.2">
      <c r="D212">
        <v>3110</v>
      </c>
      <c r="E212" t="s">
        <v>956</v>
      </c>
    </row>
    <row r="213" spans="4:5" x14ac:dyDescent="0.2">
      <c r="D213">
        <v>3111</v>
      </c>
      <c r="E213" t="s">
        <v>957</v>
      </c>
    </row>
    <row r="214" spans="4:5" x14ac:dyDescent="0.2">
      <c r="D214">
        <v>3112</v>
      </c>
      <c r="E214" t="s">
        <v>958</v>
      </c>
    </row>
    <row r="215" spans="4:5" x14ac:dyDescent="0.2">
      <c r="D215">
        <v>3150</v>
      </c>
      <c r="E215" t="s">
        <v>959</v>
      </c>
    </row>
    <row r="216" spans="4:5" x14ac:dyDescent="0.2">
      <c r="D216">
        <v>3190</v>
      </c>
      <c r="E216" t="s">
        <v>960</v>
      </c>
    </row>
    <row r="217" spans="4:5" x14ac:dyDescent="0.2">
      <c r="D217">
        <v>3191</v>
      </c>
      <c r="E217" t="s">
        <v>961</v>
      </c>
    </row>
    <row r="218" spans="4:5" x14ac:dyDescent="0.2">
      <c r="D218">
        <v>3192</v>
      </c>
      <c r="E218" t="s">
        <v>962</v>
      </c>
    </row>
    <row r="219" spans="4:5" x14ac:dyDescent="0.2">
      <c r="D219">
        <v>3200</v>
      </c>
      <c r="E219" t="s">
        <v>963</v>
      </c>
    </row>
    <row r="220" spans="4:5" x14ac:dyDescent="0.2">
      <c r="D220">
        <v>3210</v>
      </c>
      <c r="E220" t="s">
        <v>964</v>
      </c>
    </row>
    <row r="221" spans="4:5" x14ac:dyDescent="0.2">
      <c r="D221">
        <v>3211</v>
      </c>
      <c r="E221" t="s">
        <v>965</v>
      </c>
    </row>
    <row r="222" spans="4:5" x14ac:dyDescent="0.2">
      <c r="D222">
        <v>3212</v>
      </c>
      <c r="E222" t="s">
        <v>966</v>
      </c>
    </row>
    <row r="223" spans="4:5" x14ac:dyDescent="0.2">
      <c r="D223">
        <v>3230</v>
      </c>
      <c r="E223" t="s">
        <v>967</v>
      </c>
    </row>
    <row r="224" spans="4:5" x14ac:dyDescent="0.2">
      <c r="D224">
        <v>3231</v>
      </c>
      <c r="E224" t="s">
        <v>968</v>
      </c>
    </row>
    <row r="225" spans="4:5" x14ac:dyDescent="0.2">
      <c r="D225">
        <v>3232</v>
      </c>
      <c r="E225" t="s">
        <v>969</v>
      </c>
    </row>
    <row r="226" spans="4:5" x14ac:dyDescent="0.2">
      <c r="D226">
        <v>3260</v>
      </c>
      <c r="E226" t="s">
        <v>970</v>
      </c>
    </row>
    <row r="227" spans="4:5" x14ac:dyDescent="0.2">
      <c r="D227">
        <v>3261</v>
      </c>
      <c r="E227" t="s">
        <v>707</v>
      </c>
    </row>
    <row r="228" spans="4:5" x14ac:dyDescent="0.2">
      <c r="D228">
        <v>3262</v>
      </c>
      <c r="E228" t="s">
        <v>287</v>
      </c>
    </row>
    <row r="229" spans="4:5" x14ac:dyDescent="0.2">
      <c r="D229">
        <v>3263</v>
      </c>
      <c r="E229" t="s">
        <v>227</v>
      </c>
    </row>
    <row r="230" spans="4:5" x14ac:dyDescent="0.2">
      <c r="D230">
        <v>3264</v>
      </c>
      <c r="E230" t="s">
        <v>971</v>
      </c>
    </row>
    <row r="231" spans="4:5" x14ac:dyDescent="0.2">
      <c r="D231">
        <v>3280</v>
      </c>
      <c r="E231" t="s">
        <v>972</v>
      </c>
    </row>
    <row r="232" spans="4:5" x14ac:dyDescent="0.2">
      <c r="D232">
        <v>3281</v>
      </c>
      <c r="E232" t="s">
        <v>973</v>
      </c>
    </row>
    <row r="233" spans="4:5" x14ac:dyDescent="0.2">
      <c r="D233">
        <v>3282</v>
      </c>
      <c r="E233" t="s">
        <v>974</v>
      </c>
    </row>
    <row r="234" spans="4:5" x14ac:dyDescent="0.2">
      <c r="D234">
        <v>3290</v>
      </c>
      <c r="E234" t="s">
        <v>975</v>
      </c>
    </row>
    <row r="235" spans="4:5" x14ac:dyDescent="0.2">
      <c r="D235">
        <v>3291</v>
      </c>
      <c r="E235" t="s">
        <v>976</v>
      </c>
    </row>
    <row r="236" spans="4:5" x14ac:dyDescent="0.2">
      <c r="D236">
        <v>3292</v>
      </c>
      <c r="E236" t="s">
        <v>977</v>
      </c>
    </row>
    <row r="237" spans="4:5" x14ac:dyDescent="0.2">
      <c r="D237">
        <v>3293</v>
      </c>
      <c r="E237" t="s">
        <v>978</v>
      </c>
    </row>
    <row r="238" spans="4:5" x14ac:dyDescent="0.2">
      <c r="D238">
        <v>3294</v>
      </c>
      <c r="E238" t="s">
        <v>979</v>
      </c>
    </row>
    <row r="239" spans="4:5" x14ac:dyDescent="0.2">
      <c r="D239">
        <v>3295</v>
      </c>
      <c r="E239" t="s">
        <v>980</v>
      </c>
    </row>
    <row r="240" spans="4:5" x14ac:dyDescent="0.2">
      <c r="D240">
        <v>3300</v>
      </c>
      <c r="E240" t="s">
        <v>981</v>
      </c>
    </row>
    <row r="241" spans="4:5" x14ac:dyDescent="0.2">
      <c r="D241">
        <v>3310</v>
      </c>
      <c r="E241" t="s">
        <v>982</v>
      </c>
    </row>
    <row r="242" spans="4:5" x14ac:dyDescent="0.2">
      <c r="D242">
        <v>3320</v>
      </c>
      <c r="E242" t="s">
        <v>983</v>
      </c>
    </row>
    <row r="243" spans="4:5" x14ac:dyDescent="0.2">
      <c r="D243">
        <v>3500</v>
      </c>
      <c r="E243" t="s">
        <v>984</v>
      </c>
    </row>
    <row r="244" spans="4:5" x14ac:dyDescent="0.2">
      <c r="D244">
        <v>3800</v>
      </c>
      <c r="E244" t="s">
        <v>985</v>
      </c>
    </row>
    <row r="245" spans="4:5" x14ac:dyDescent="0.2">
      <c r="D245">
        <v>4000</v>
      </c>
      <c r="E245" t="s">
        <v>422</v>
      </c>
    </row>
    <row r="246" spans="4:5" x14ac:dyDescent="0.2">
      <c r="D246">
        <v>4100</v>
      </c>
      <c r="E246" t="s">
        <v>986</v>
      </c>
    </row>
    <row r="247" spans="4:5" x14ac:dyDescent="0.2">
      <c r="D247">
        <v>4110</v>
      </c>
      <c r="E247" t="s">
        <v>987</v>
      </c>
    </row>
    <row r="248" spans="4:5" x14ac:dyDescent="0.2">
      <c r="D248">
        <v>4130</v>
      </c>
      <c r="E248" t="s">
        <v>988</v>
      </c>
    </row>
    <row r="249" spans="4:5" x14ac:dyDescent="0.2">
      <c r="D249">
        <v>4200</v>
      </c>
      <c r="E249" t="s">
        <v>989</v>
      </c>
    </row>
    <row r="250" spans="4:5" x14ac:dyDescent="0.2">
      <c r="D250">
        <v>4230</v>
      </c>
      <c r="E250" t="s">
        <v>990</v>
      </c>
    </row>
    <row r="251" spans="4:5" x14ac:dyDescent="0.2">
      <c r="D251">
        <v>4240</v>
      </c>
      <c r="E251" t="s">
        <v>991</v>
      </c>
    </row>
    <row r="252" spans="4:5" x14ac:dyDescent="0.2">
      <c r="D252">
        <v>4250</v>
      </c>
      <c r="E252" t="s">
        <v>992</v>
      </c>
    </row>
    <row r="253" spans="4:5" x14ac:dyDescent="0.2">
      <c r="D253">
        <v>4300</v>
      </c>
      <c r="E253" t="s">
        <v>993</v>
      </c>
    </row>
    <row r="254" spans="4:5" x14ac:dyDescent="0.2">
      <c r="D254">
        <v>4310</v>
      </c>
      <c r="E254" t="s">
        <v>994</v>
      </c>
    </row>
    <row r="255" spans="4:5" x14ac:dyDescent="0.2">
      <c r="D255">
        <v>4311</v>
      </c>
      <c r="E255" t="s">
        <v>995</v>
      </c>
    </row>
    <row r="256" spans="4:5" x14ac:dyDescent="0.2">
      <c r="D256">
        <v>4312</v>
      </c>
      <c r="E256" t="s">
        <v>996</v>
      </c>
    </row>
    <row r="257" spans="4:5" x14ac:dyDescent="0.2">
      <c r="D257">
        <v>4330</v>
      </c>
      <c r="E257" t="s">
        <v>997</v>
      </c>
    </row>
    <row r="258" spans="4:5" x14ac:dyDescent="0.2">
      <c r="D258">
        <v>4331</v>
      </c>
      <c r="E258" t="s">
        <v>998</v>
      </c>
    </row>
    <row r="259" spans="4:5" x14ac:dyDescent="0.2">
      <c r="D259">
        <v>4332</v>
      </c>
      <c r="E259" t="s">
        <v>999</v>
      </c>
    </row>
    <row r="260" spans="4:5" x14ac:dyDescent="0.2">
      <c r="D260">
        <v>4333</v>
      </c>
      <c r="E260" t="s">
        <v>1000</v>
      </c>
    </row>
    <row r="261" spans="4:5" x14ac:dyDescent="0.2">
      <c r="D261">
        <v>4339</v>
      </c>
      <c r="E261" t="s">
        <v>1001</v>
      </c>
    </row>
    <row r="262" spans="4:5" x14ac:dyDescent="0.2">
      <c r="D262">
        <v>4340</v>
      </c>
      <c r="E262" t="s">
        <v>1002</v>
      </c>
    </row>
    <row r="263" spans="4:5" x14ac:dyDescent="0.2">
      <c r="D263">
        <v>5000</v>
      </c>
      <c r="E263" t="s">
        <v>425</v>
      </c>
    </row>
    <row r="264" spans="4:5" x14ac:dyDescent="0.2">
      <c r="D264">
        <v>5100</v>
      </c>
      <c r="E264" t="s">
        <v>1003</v>
      </c>
    </row>
    <row r="265" spans="4:5" x14ac:dyDescent="0.2">
      <c r="D265">
        <v>5110</v>
      </c>
      <c r="E265" t="s">
        <v>226</v>
      </c>
    </row>
    <row r="266" spans="4:5" x14ac:dyDescent="0.2">
      <c r="D266">
        <v>5120</v>
      </c>
      <c r="E266" t="s">
        <v>1004</v>
      </c>
    </row>
    <row r="267" spans="4:5" x14ac:dyDescent="0.2">
      <c r="D267">
        <v>5121</v>
      </c>
      <c r="E267" t="s">
        <v>212</v>
      </c>
    </row>
    <row r="268" spans="4:5" x14ac:dyDescent="0.2">
      <c r="D268">
        <v>5129</v>
      </c>
      <c r="E268" t="s">
        <v>1005</v>
      </c>
    </row>
    <row r="269" spans="4:5" x14ac:dyDescent="0.2">
      <c r="D269">
        <v>5120</v>
      </c>
      <c r="E269" t="s">
        <v>308</v>
      </c>
    </row>
    <row r="270" spans="4:5" x14ac:dyDescent="0.2">
      <c r="D270">
        <v>5130</v>
      </c>
      <c r="E270" t="s">
        <v>1006</v>
      </c>
    </row>
    <row r="271" spans="4:5" x14ac:dyDescent="0.2">
      <c r="D271">
        <v>5140</v>
      </c>
      <c r="E271" t="s">
        <v>461</v>
      </c>
    </row>
    <row r="272" spans="4:5" x14ac:dyDescent="0.2">
      <c r="D272">
        <v>5160</v>
      </c>
      <c r="E272" t="s">
        <v>1007</v>
      </c>
    </row>
    <row r="273" spans="4:5" x14ac:dyDescent="0.2">
      <c r="D273">
        <v>5170</v>
      </c>
      <c r="E273" t="s">
        <v>1008</v>
      </c>
    </row>
    <row r="274" spans="4:5" x14ac:dyDescent="0.2">
      <c r="D274">
        <v>5200</v>
      </c>
      <c r="E274" t="s">
        <v>1009</v>
      </c>
    </row>
    <row r="275" spans="4:5" x14ac:dyDescent="0.2">
      <c r="D275">
        <v>5210</v>
      </c>
      <c r="E275" t="s">
        <v>1010</v>
      </c>
    </row>
    <row r="276" spans="4:5" x14ac:dyDescent="0.2">
      <c r="D276">
        <v>5211</v>
      </c>
      <c r="E276" t="s">
        <v>1011</v>
      </c>
    </row>
    <row r="277" spans="4:5" x14ac:dyDescent="0.2">
      <c r="D277">
        <v>5212</v>
      </c>
      <c r="E277" t="s">
        <v>1012</v>
      </c>
    </row>
    <row r="278" spans="4:5" x14ac:dyDescent="0.2">
      <c r="D278">
        <v>5213</v>
      </c>
      <c r="E278" t="s">
        <v>242</v>
      </c>
    </row>
    <row r="279" spans="4:5" x14ac:dyDescent="0.2">
      <c r="D279">
        <v>5214</v>
      </c>
      <c r="E279" t="s">
        <v>807</v>
      </c>
    </row>
    <row r="280" spans="4:5" x14ac:dyDescent="0.2">
      <c r="D280">
        <v>5215</v>
      </c>
      <c r="E280" t="s">
        <v>1013</v>
      </c>
    </row>
    <row r="281" spans="4:5" x14ac:dyDescent="0.2">
      <c r="D281">
        <v>5216</v>
      </c>
      <c r="E281" t="s">
        <v>1014</v>
      </c>
    </row>
    <row r="282" spans="4:5" x14ac:dyDescent="0.2">
      <c r="D282">
        <v>5217</v>
      </c>
      <c r="E282" t="s">
        <v>718</v>
      </c>
    </row>
    <row r="283" spans="4:5" x14ac:dyDescent="0.2">
      <c r="D283">
        <v>5218</v>
      </c>
      <c r="E283" t="s">
        <v>523</v>
      </c>
    </row>
    <row r="284" spans="4:5" x14ac:dyDescent="0.2">
      <c r="D284">
        <v>5219</v>
      </c>
      <c r="E284" t="s">
        <v>1015</v>
      </c>
    </row>
    <row r="285" spans="4:5" x14ac:dyDescent="0.2">
      <c r="D285">
        <v>5220</v>
      </c>
      <c r="E285" t="s">
        <v>1016</v>
      </c>
    </row>
    <row r="286" spans="4:5" x14ac:dyDescent="0.2">
      <c r="D286">
        <v>5230</v>
      </c>
      <c r="E286" t="s">
        <v>1017</v>
      </c>
    </row>
    <row r="287" spans="4:5" x14ac:dyDescent="0.2">
      <c r="D287">
        <v>5231</v>
      </c>
      <c r="E287" t="s">
        <v>675</v>
      </c>
    </row>
    <row r="288" spans="4:5" x14ac:dyDescent="0.2">
      <c r="D288">
        <v>5232</v>
      </c>
      <c r="E288" t="s">
        <v>1018</v>
      </c>
    </row>
    <row r="289" spans="4:5" x14ac:dyDescent="0.2">
      <c r="D289">
        <v>5233</v>
      </c>
      <c r="E289" t="s">
        <v>334</v>
      </c>
    </row>
    <row r="290" spans="4:5" x14ac:dyDescent="0.2">
      <c r="D290">
        <v>5234</v>
      </c>
      <c r="E290" t="s">
        <v>1019</v>
      </c>
    </row>
    <row r="291" spans="4:5" x14ac:dyDescent="0.2">
      <c r="D291">
        <v>5235</v>
      </c>
      <c r="E291" t="s">
        <v>1020</v>
      </c>
    </row>
    <row r="292" spans="4:5" x14ac:dyDescent="0.2">
      <c r="D292">
        <v>5236</v>
      </c>
      <c r="E292" t="s">
        <v>1021</v>
      </c>
    </row>
    <row r="293" spans="4:5" x14ac:dyDescent="0.2">
      <c r="D293">
        <v>5237</v>
      </c>
      <c r="E293" t="s">
        <v>1022</v>
      </c>
    </row>
    <row r="294" spans="4:5" x14ac:dyDescent="0.2">
      <c r="D294">
        <v>5238</v>
      </c>
      <c r="E294" t="s">
        <v>213</v>
      </c>
    </row>
    <row r="295" spans="4:5" x14ac:dyDescent="0.2">
      <c r="D295">
        <v>5239</v>
      </c>
      <c r="E295" t="s">
        <v>665</v>
      </c>
    </row>
    <row r="296" spans="4:5" x14ac:dyDescent="0.2">
      <c r="D296">
        <v>5240</v>
      </c>
      <c r="E296" t="s">
        <v>666</v>
      </c>
    </row>
    <row r="297" spans="4:5" x14ac:dyDescent="0.2">
      <c r="D297">
        <v>5250</v>
      </c>
      <c r="E297" t="s">
        <v>240</v>
      </c>
    </row>
    <row r="298" spans="4:5" x14ac:dyDescent="0.2">
      <c r="D298">
        <v>5260</v>
      </c>
      <c r="E298" t="s">
        <v>1023</v>
      </c>
    </row>
    <row r="299" spans="4:5" x14ac:dyDescent="0.2">
      <c r="D299">
        <v>5261</v>
      </c>
      <c r="E299" t="s">
        <v>1024</v>
      </c>
    </row>
    <row r="300" spans="4:5" x14ac:dyDescent="0.2">
      <c r="D300">
        <v>5262</v>
      </c>
      <c r="E300" t="s">
        <v>1025</v>
      </c>
    </row>
    <row r="301" spans="4:5" x14ac:dyDescent="0.2">
      <c r="D301">
        <v>5269</v>
      </c>
      <c r="E301" t="s">
        <v>1026</v>
      </c>
    </row>
    <row r="302" spans="4:5" x14ac:dyDescent="0.2">
      <c r="D302">
        <v>5270</v>
      </c>
      <c r="E302" t="s">
        <v>1027</v>
      </c>
    </row>
    <row r="303" spans="4:5" x14ac:dyDescent="0.2">
      <c r="D303">
        <v>5300</v>
      </c>
      <c r="E303" t="s">
        <v>1028</v>
      </c>
    </row>
    <row r="304" spans="4:5" x14ac:dyDescent="0.2">
      <c r="D304">
        <v>5310</v>
      </c>
      <c r="E304" t="s">
        <v>1029</v>
      </c>
    </row>
    <row r="305" spans="4:5" x14ac:dyDescent="0.2">
      <c r="D305">
        <v>5311</v>
      </c>
      <c r="E305" t="s">
        <v>1030</v>
      </c>
    </row>
    <row r="306" spans="4:5" x14ac:dyDescent="0.2">
      <c r="D306">
        <v>5312</v>
      </c>
      <c r="E306" t="s">
        <v>1031</v>
      </c>
    </row>
    <row r="307" spans="4:5" x14ac:dyDescent="0.2">
      <c r="D307">
        <v>5320</v>
      </c>
      <c r="E307" t="s">
        <v>1032</v>
      </c>
    </row>
    <row r="308" spans="4:5" x14ac:dyDescent="0.2">
      <c r="D308">
        <v>5321</v>
      </c>
      <c r="E308" t="s">
        <v>1033</v>
      </c>
    </row>
    <row r="309" spans="4:5" x14ac:dyDescent="0.2">
      <c r="D309">
        <v>5322</v>
      </c>
      <c r="E309" t="s">
        <v>1034</v>
      </c>
    </row>
    <row r="310" spans="4:5" x14ac:dyDescent="0.2">
      <c r="D310">
        <v>6000</v>
      </c>
      <c r="E310" t="s">
        <v>424</v>
      </c>
    </row>
    <row r="311" spans="4:5" x14ac:dyDescent="0.2">
      <c r="D311">
        <v>6200</v>
      </c>
      <c r="E311" t="s">
        <v>1035</v>
      </c>
    </row>
    <row r="312" spans="4:5" x14ac:dyDescent="0.2">
      <c r="D312">
        <v>6210</v>
      </c>
      <c r="E312" t="s">
        <v>1036</v>
      </c>
    </row>
    <row r="313" spans="4:5" x14ac:dyDescent="0.2">
      <c r="D313">
        <v>6211</v>
      </c>
      <c r="E313" t="s">
        <v>1037</v>
      </c>
    </row>
    <row r="314" spans="4:5" x14ac:dyDescent="0.2">
      <c r="D314">
        <v>6212</v>
      </c>
      <c r="E314" t="s">
        <v>1038</v>
      </c>
    </row>
    <row r="315" spans="4:5" x14ac:dyDescent="0.2">
      <c r="D315">
        <v>6213</v>
      </c>
      <c r="E315" t="s">
        <v>1039</v>
      </c>
    </row>
    <row r="316" spans="4:5" x14ac:dyDescent="0.2">
      <c r="D316">
        <v>6214</v>
      </c>
      <c r="E316" t="s">
        <v>1040</v>
      </c>
    </row>
    <row r="317" spans="4:5" x14ac:dyDescent="0.2">
      <c r="D317">
        <v>6215</v>
      </c>
      <c r="E317" t="s">
        <v>1041</v>
      </c>
    </row>
    <row r="318" spans="4:5" x14ac:dyDescent="0.2">
      <c r="D318">
        <v>6216</v>
      </c>
      <c r="E318" t="s">
        <v>1042</v>
      </c>
    </row>
    <row r="319" spans="4:5" x14ac:dyDescent="0.2">
      <c r="D319">
        <v>6220</v>
      </c>
      <c r="E319" t="s">
        <v>1043</v>
      </c>
    </row>
    <row r="320" spans="4:5" x14ac:dyDescent="0.2">
      <c r="D320">
        <v>6221</v>
      </c>
      <c r="E320" t="s">
        <v>1044</v>
      </c>
    </row>
    <row r="321" spans="4:5" x14ac:dyDescent="0.2">
      <c r="D321">
        <v>6222</v>
      </c>
      <c r="E321" t="s">
        <v>1045</v>
      </c>
    </row>
    <row r="322" spans="4:5" x14ac:dyDescent="0.2">
      <c r="D322">
        <v>6223</v>
      </c>
      <c r="E322" t="s">
        <v>1046</v>
      </c>
    </row>
    <row r="323" spans="4:5" x14ac:dyDescent="0.2">
      <c r="D323">
        <v>6224</v>
      </c>
      <c r="E323" t="s">
        <v>1047</v>
      </c>
    </row>
    <row r="324" spans="4:5" x14ac:dyDescent="0.2">
      <c r="D324">
        <v>6225</v>
      </c>
      <c r="E324" t="s">
        <v>1048</v>
      </c>
    </row>
    <row r="325" spans="4:5" x14ac:dyDescent="0.2">
      <c r="D325">
        <v>6226</v>
      </c>
      <c r="E325" t="s">
        <v>1049</v>
      </c>
    </row>
    <row r="326" spans="4:5" x14ac:dyDescent="0.2">
      <c r="D326">
        <v>6227</v>
      </c>
      <c r="E326" t="s">
        <v>1050</v>
      </c>
    </row>
    <row r="327" spans="4:5" x14ac:dyDescent="0.2">
      <c r="D327">
        <v>6228</v>
      </c>
      <c r="E327" t="s">
        <v>1051</v>
      </c>
    </row>
    <row r="328" spans="4:5" x14ac:dyDescent="0.2">
      <c r="D328">
        <v>6229</v>
      </c>
      <c r="E328" t="s">
        <v>1052</v>
      </c>
    </row>
    <row r="329" spans="4:5" x14ac:dyDescent="0.2">
      <c r="D329">
        <v>6230</v>
      </c>
      <c r="E329" t="s">
        <v>1053</v>
      </c>
    </row>
    <row r="330" spans="4:5" x14ac:dyDescent="0.2">
      <c r="D330">
        <v>6231</v>
      </c>
      <c r="E330" t="s">
        <v>1054</v>
      </c>
    </row>
    <row r="331" spans="4:5" x14ac:dyDescent="0.2">
      <c r="D331">
        <v>6232</v>
      </c>
      <c r="E331" t="s">
        <v>1055</v>
      </c>
    </row>
    <row r="332" spans="4:5" x14ac:dyDescent="0.2">
      <c r="D332">
        <v>6233</v>
      </c>
      <c r="E332" t="s">
        <v>1056</v>
      </c>
    </row>
    <row r="333" spans="4:5" x14ac:dyDescent="0.2">
      <c r="D333">
        <v>6234</v>
      </c>
      <c r="E333" t="s">
        <v>1057</v>
      </c>
    </row>
    <row r="334" spans="4:5" x14ac:dyDescent="0.2">
      <c r="D334">
        <v>6235</v>
      </c>
      <c r="E334" t="s">
        <v>1058</v>
      </c>
    </row>
    <row r="335" spans="4:5" x14ac:dyDescent="0.2">
      <c r="D335">
        <v>6237</v>
      </c>
      <c r="E335" t="s">
        <v>1059</v>
      </c>
    </row>
    <row r="336" spans="4:5" x14ac:dyDescent="0.2">
      <c r="D336">
        <v>6238</v>
      </c>
      <c r="E336" t="s">
        <v>1060</v>
      </c>
    </row>
    <row r="337" spans="4:5" x14ac:dyDescent="0.2">
      <c r="D337">
        <v>6239</v>
      </c>
      <c r="E337" t="s">
        <v>1061</v>
      </c>
    </row>
    <row r="338" spans="4:5" x14ac:dyDescent="0.2">
      <c r="D338">
        <v>6240</v>
      </c>
      <c r="E338" t="s">
        <v>1062</v>
      </c>
    </row>
    <row r="339" spans="4:5" x14ac:dyDescent="0.2">
      <c r="D339">
        <v>6241</v>
      </c>
      <c r="E339" t="s">
        <v>1063</v>
      </c>
    </row>
    <row r="340" spans="4:5" x14ac:dyDescent="0.2">
      <c r="D340">
        <v>6242</v>
      </c>
      <c r="E340" t="s">
        <v>1064</v>
      </c>
    </row>
    <row r="341" spans="4:5" x14ac:dyDescent="0.2">
      <c r="D341">
        <v>6250</v>
      </c>
      <c r="E341" t="s">
        <v>1065</v>
      </c>
    </row>
    <row r="342" spans="4:5" x14ac:dyDescent="0.2">
      <c r="D342">
        <v>6252</v>
      </c>
      <c r="E342" t="s">
        <v>790</v>
      </c>
    </row>
    <row r="343" spans="4:5" x14ac:dyDescent="0.2">
      <c r="D343">
        <v>6253</v>
      </c>
      <c r="E343" t="s">
        <v>1066</v>
      </c>
    </row>
    <row r="344" spans="4:5" x14ac:dyDescent="0.2">
      <c r="D344">
        <v>6254</v>
      </c>
      <c r="E344" t="s">
        <v>470</v>
      </c>
    </row>
    <row r="345" spans="4:5" x14ac:dyDescent="0.2">
      <c r="D345">
        <v>6255</v>
      </c>
      <c r="E345" t="s">
        <v>791</v>
      </c>
    </row>
    <row r="346" spans="4:5" x14ac:dyDescent="0.2">
      <c r="D346">
        <v>6259</v>
      </c>
      <c r="E346" t="s">
        <v>792</v>
      </c>
    </row>
    <row r="347" spans="4:5" x14ac:dyDescent="0.2">
      <c r="D347">
        <v>6260</v>
      </c>
      <c r="E347" t="s">
        <v>794</v>
      </c>
    </row>
    <row r="348" spans="4:5" x14ac:dyDescent="0.2">
      <c r="D348">
        <v>6270</v>
      </c>
      <c r="E348" t="s">
        <v>793</v>
      </c>
    </row>
    <row r="349" spans="4:5" x14ac:dyDescent="0.2">
      <c r="D349">
        <v>6290</v>
      </c>
      <c r="E349" t="s">
        <v>1067</v>
      </c>
    </row>
    <row r="350" spans="4:5" x14ac:dyDescent="0.2">
      <c r="D350">
        <v>6291</v>
      </c>
      <c r="E350" t="s">
        <v>1068</v>
      </c>
    </row>
    <row r="351" spans="4:5" x14ac:dyDescent="0.2">
      <c r="D351">
        <v>6292</v>
      </c>
      <c r="E351" t="s">
        <v>370</v>
      </c>
    </row>
    <row r="352" spans="4:5" x14ac:dyDescent="0.2">
      <c r="D352">
        <v>6293</v>
      </c>
      <c r="E352" t="s">
        <v>1069</v>
      </c>
    </row>
    <row r="353" spans="4:5" x14ac:dyDescent="0.2">
      <c r="D353">
        <v>6294</v>
      </c>
      <c r="E353" t="s">
        <v>1070</v>
      </c>
    </row>
    <row r="354" spans="4:5" x14ac:dyDescent="0.2">
      <c r="D354">
        <v>6295</v>
      </c>
      <c r="E354" t="s">
        <v>1071</v>
      </c>
    </row>
    <row r="355" spans="4:5" x14ac:dyDescent="0.2">
      <c r="D355">
        <v>6296</v>
      </c>
      <c r="E355" t="s">
        <v>1072</v>
      </c>
    </row>
    <row r="356" spans="4:5" x14ac:dyDescent="0.2">
      <c r="D356">
        <v>6299</v>
      </c>
      <c r="E356" t="s">
        <v>237</v>
      </c>
    </row>
    <row r="357" spans="4:5" x14ac:dyDescent="0.2">
      <c r="D357">
        <v>6300</v>
      </c>
      <c r="E357" t="s">
        <v>1073</v>
      </c>
    </row>
    <row r="358" spans="4:5" x14ac:dyDescent="0.2">
      <c r="D358">
        <v>6320</v>
      </c>
      <c r="E358" t="s">
        <v>1074</v>
      </c>
    </row>
    <row r="359" spans="4:5" x14ac:dyDescent="0.2">
      <c r="D359">
        <v>6321</v>
      </c>
      <c r="E359" t="s">
        <v>1075</v>
      </c>
    </row>
    <row r="360" spans="4:5" x14ac:dyDescent="0.2">
      <c r="D360">
        <v>6322</v>
      </c>
      <c r="E360" t="s">
        <v>536</v>
      </c>
    </row>
    <row r="361" spans="4:5" x14ac:dyDescent="0.2">
      <c r="D361">
        <v>6323</v>
      </c>
      <c r="E361" t="s">
        <v>1076</v>
      </c>
    </row>
    <row r="362" spans="4:5" x14ac:dyDescent="0.2">
      <c r="D362">
        <v>6324</v>
      </c>
      <c r="E362" t="s">
        <v>1077</v>
      </c>
    </row>
    <row r="363" spans="4:5" x14ac:dyDescent="0.2">
      <c r="D363">
        <v>6329</v>
      </c>
      <c r="E363" t="s">
        <v>1078</v>
      </c>
    </row>
    <row r="364" spans="4:5" x14ac:dyDescent="0.2">
      <c r="D364">
        <v>6330</v>
      </c>
      <c r="E364" t="s">
        <v>1079</v>
      </c>
    </row>
    <row r="365" spans="4:5" x14ac:dyDescent="0.2">
      <c r="D365">
        <v>6340</v>
      </c>
      <c r="E365" t="s">
        <v>1080</v>
      </c>
    </row>
    <row r="366" spans="4:5" x14ac:dyDescent="0.2">
      <c r="D366">
        <v>6350</v>
      </c>
      <c r="E366" t="s">
        <v>1081</v>
      </c>
    </row>
    <row r="367" spans="4:5" x14ac:dyDescent="0.2">
      <c r="D367">
        <v>6360</v>
      </c>
      <c r="E367" t="s">
        <v>795</v>
      </c>
    </row>
    <row r="368" spans="4:5" x14ac:dyDescent="0.2">
      <c r="D368">
        <v>6400</v>
      </c>
      <c r="E368" t="s">
        <v>1082</v>
      </c>
    </row>
    <row r="369" spans="4:5" x14ac:dyDescent="0.2">
      <c r="D369">
        <v>6410</v>
      </c>
      <c r="E369" t="s">
        <v>1083</v>
      </c>
    </row>
    <row r="370" spans="4:5" x14ac:dyDescent="0.2">
      <c r="D370">
        <v>6411</v>
      </c>
      <c r="E370" t="s">
        <v>371</v>
      </c>
    </row>
    <row r="371" spans="4:5" x14ac:dyDescent="0.2">
      <c r="D371">
        <v>6412</v>
      </c>
      <c r="E371" t="s">
        <v>364</v>
      </c>
    </row>
    <row r="372" spans="4:5" x14ac:dyDescent="0.2">
      <c r="D372">
        <v>6419</v>
      </c>
      <c r="E372" t="s">
        <v>524</v>
      </c>
    </row>
    <row r="373" spans="4:5" x14ac:dyDescent="0.2">
      <c r="D373">
        <v>6420</v>
      </c>
      <c r="E373" t="s">
        <v>1084</v>
      </c>
    </row>
    <row r="374" spans="4:5" x14ac:dyDescent="0.2">
      <c r="D374">
        <v>6421</v>
      </c>
      <c r="E374" t="s">
        <v>521</v>
      </c>
    </row>
    <row r="375" spans="4:5" x14ac:dyDescent="0.2">
      <c r="D375">
        <v>6422</v>
      </c>
      <c r="E375" t="s">
        <v>207</v>
      </c>
    </row>
    <row r="376" spans="4:5" x14ac:dyDescent="0.2">
      <c r="D376">
        <v>6423</v>
      </c>
      <c r="E376" t="s">
        <v>238</v>
      </c>
    </row>
    <row r="377" spans="4:5" x14ac:dyDescent="0.2">
      <c r="D377">
        <v>6500</v>
      </c>
      <c r="E377" t="s">
        <v>877</v>
      </c>
    </row>
    <row r="378" spans="4:5" x14ac:dyDescent="0.2">
      <c r="D378">
        <v>7000</v>
      </c>
      <c r="E378" t="s">
        <v>661</v>
      </c>
    </row>
    <row r="379" spans="4:5" x14ac:dyDescent="0.2">
      <c r="D379">
        <v>7100</v>
      </c>
      <c r="E379" t="s">
        <v>1085</v>
      </c>
    </row>
    <row r="380" spans="4:5" x14ac:dyDescent="0.2">
      <c r="D380">
        <v>7110</v>
      </c>
      <c r="E380" t="s">
        <v>1086</v>
      </c>
    </row>
    <row r="381" spans="4:5" x14ac:dyDescent="0.2">
      <c r="D381">
        <v>7130</v>
      </c>
      <c r="E381" t="s">
        <v>1087</v>
      </c>
    </row>
    <row r="382" spans="4:5" x14ac:dyDescent="0.2">
      <c r="D382">
        <v>7131</v>
      </c>
      <c r="E382" t="s">
        <v>1088</v>
      </c>
    </row>
    <row r="383" spans="4:5" x14ac:dyDescent="0.2">
      <c r="D383">
        <v>7132</v>
      </c>
      <c r="E383" t="s">
        <v>1089</v>
      </c>
    </row>
    <row r="384" spans="4:5" x14ac:dyDescent="0.2">
      <c r="D384">
        <v>7137</v>
      </c>
      <c r="E384" t="s">
        <v>1090</v>
      </c>
    </row>
    <row r="385" spans="4:5" x14ac:dyDescent="0.2">
      <c r="D385">
        <v>7138</v>
      </c>
      <c r="E385" t="s">
        <v>1091</v>
      </c>
    </row>
    <row r="386" spans="4:5" x14ac:dyDescent="0.2">
      <c r="D386">
        <v>7139</v>
      </c>
      <c r="E386" t="s">
        <v>1092</v>
      </c>
    </row>
    <row r="387" spans="4:5" x14ac:dyDescent="0.2">
      <c r="D387">
        <v>7140</v>
      </c>
      <c r="E387" t="s">
        <v>1093</v>
      </c>
    </row>
    <row r="388" spans="4:5" x14ac:dyDescent="0.2">
      <c r="D388">
        <v>7200</v>
      </c>
      <c r="E388" t="s">
        <v>1094</v>
      </c>
    </row>
    <row r="389" spans="4:5" x14ac:dyDescent="0.2">
      <c r="D389">
        <v>7210</v>
      </c>
      <c r="E389" t="s">
        <v>886</v>
      </c>
    </row>
    <row r="390" spans="4:5" x14ac:dyDescent="0.2">
      <c r="D390">
        <v>7220</v>
      </c>
      <c r="E390" t="s">
        <v>1095</v>
      </c>
    </row>
    <row r="391" spans="4:5" x14ac:dyDescent="0.2">
      <c r="D391">
        <v>7222</v>
      </c>
      <c r="E391" t="s">
        <v>1096</v>
      </c>
    </row>
    <row r="392" spans="4:5" x14ac:dyDescent="0.2">
      <c r="D392">
        <v>7230</v>
      </c>
      <c r="E392" t="s">
        <v>504</v>
      </c>
    </row>
    <row r="393" spans="4:5" x14ac:dyDescent="0.2">
      <c r="D393">
        <v>7240</v>
      </c>
      <c r="E393" t="s">
        <v>1097</v>
      </c>
    </row>
    <row r="394" spans="4:5" x14ac:dyDescent="0.2">
      <c r="D394">
        <v>7245</v>
      </c>
      <c r="E394" t="s">
        <v>302</v>
      </c>
    </row>
    <row r="395" spans="4:5" x14ac:dyDescent="0.2">
      <c r="D395">
        <v>7246</v>
      </c>
      <c r="E395" t="s">
        <v>1098</v>
      </c>
    </row>
    <row r="396" spans="4:5" x14ac:dyDescent="0.2">
      <c r="D396">
        <v>7247</v>
      </c>
      <c r="E396" t="s">
        <v>297</v>
      </c>
    </row>
    <row r="397" spans="4:5" x14ac:dyDescent="0.2">
      <c r="D397">
        <v>7260</v>
      </c>
      <c r="E397" t="s">
        <v>214</v>
      </c>
    </row>
    <row r="398" spans="4:5" x14ac:dyDescent="0.2">
      <c r="D398">
        <v>7270</v>
      </c>
      <c r="E398" t="s">
        <v>1099</v>
      </c>
    </row>
    <row r="399" spans="4:5" x14ac:dyDescent="0.2">
      <c r="D399">
        <v>7300</v>
      </c>
      <c r="E399" t="s">
        <v>1100</v>
      </c>
    </row>
    <row r="400" spans="4:5" x14ac:dyDescent="0.2">
      <c r="D400">
        <v>7310</v>
      </c>
      <c r="E400" t="s">
        <v>1101</v>
      </c>
    </row>
    <row r="401" spans="4:5" x14ac:dyDescent="0.2">
      <c r="D401">
        <v>7320</v>
      </c>
      <c r="E401" t="s">
        <v>1102</v>
      </c>
    </row>
    <row r="402" spans="4:5" x14ac:dyDescent="0.2">
      <c r="D402">
        <v>7350</v>
      </c>
      <c r="E402" t="s">
        <v>1103</v>
      </c>
    </row>
    <row r="403" spans="4:5" x14ac:dyDescent="0.2">
      <c r="D403">
        <v>7351</v>
      </c>
      <c r="E403" t="s">
        <v>1104</v>
      </c>
    </row>
    <row r="404" spans="4:5" x14ac:dyDescent="0.2">
      <c r="D404">
        <v>7352</v>
      </c>
      <c r="E404" t="s">
        <v>1105</v>
      </c>
    </row>
    <row r="405" spans="4:5" x14ac:dyDescent="0.2">
      <c r="D405">
        <v>7353</v>
      </c>
      <c r="E405" t="s">
        <v>1106</v>
      </c>
    </row>
    <row r="406" spans="4:5" x14ac:dyDescent="0.2">
      <c r="D406">
        <v>7354</v>
      </c>
      <c r="E406" t="s">
        <v>1107</v>
      </c>
    </row>
    <row r="407" spans="4:5" x14ac:dyDescent="0.2">
      <c r="D407">
        <v>7400</v>
      </c>
      <c r="E407" t="s">
        <v>1108</v>
      </c>
    </row>
    <row r="408" spans="4:5" x14ac:dyDescent="0.2">
      <c r="D408">
        <v>7460</v>
      </c>
      <c r="E408" t="s">
        <v>1109</v>
      </c>
    </row>
    <row r="409" spans="4:5" x14ac:dyDescent="0.2">
      <c r="D409">
        <v>7470</v>
      </c>
      <c r="E409" t="s">
        <v>1110</v>
      </c>
    </row>
    <row r="410" spans="4:5" x14ac:dyDescent="0.2">
      <c r="D410">
        <v>7471</v>
      </c>
      <c r="E410" t="s">
        <v>1111</v>
      </c>
    </row>
    <row r="411" spans="4:5" x14ac:dyDescent="0.2">
      <c r="D411">
        <v>7472</v>
      </c>
      <c r="E411" t="s">
        <v>1112</v>
      </c>
    </row>
    <row r="412" spans="4:5" x14ac:dyDescent="0.2">
      <c r="D412">
        <v>7500</v>
      </c>
      <c r="E412" t="s">
        <v>1113</v>
      </c>
    </row>
    <row r="413" spans="4:5" x14ac:dyDescent="0.2">
      <c r="D413">
        <v>7510</v>
      </c>
      <c r="E413" t="s">
        <v>1114</v>
      </c>
    </row>
    <row r="414" spans="4:5" x14ac:dyDescent="0.2">
      <c r="D414">
        <v>7600</v>
      </c>
      <c r="E414" t="s">
        <v>1115</v>
      </c>
    </row>
    <row r="415" spans="4:5" x14ac:dyDescent="0.2">
      <c r="D415">
        <v>7610</v>
      </c>
      <c r="E415" t="s">
        <v>1116</v>
      </c>
    </row>
    <row r="416" spans="4:5" x14ac:dyDescent="0.2">
      <c r="D416">
        <v>7620</v>
      </c>
      <c r="E416" t="s">
        <v>1117</v>
      </c>
    </row>
    <row r="417" spans="4:5" x14ac:dyDescent="0.2">
      <c r="D417">
        <v>7621</v>
      </c>
      <c r="E417" t="s">
        <v>1118</v>
      </c>
    </row>
    <row r="418" spans="4:5" x14ac:dyDescent="0.2">
      <c r="D418">
        <v>7622</v>
      </c>
      <c r="E418" t="s">
        <v>1119</v>
      </c>
    </row>
    <row r="419" spans="4:5" x14ac:dyDescent="0.2">
      <c r="D419">
        <v>7623</v>
      </c>
      <c r="E419" t="s">
        <v>1120</v>
      </c>
    </row>
    <row r="420" spans="4:5" x14ac:dyDescent="0.2">
      <c r="D420">
        <v>7624</v>
      </c>
      <c r="E420" t="s">
        <v>1121</v>
      </c>
    </row>
    <row r="421" spans="4:5" x14ac:dyDescent="0.2">
      <c r="D421">
        <v>7630</v>
      </c>
      <c r="E421" t="s">
        <v>1122</v>
      </c>
    </row>
    <row r="422" spans="4:5" x14ac:dyDescent="0.2">
      <c r="D422">
        <v>7631</v>
      </c>
      <c r="E422" t="s">
        <v>1123</v>
      </c>
    </row>
    <row r="423" spans="4:5" x14ac:dyDescent="0.2">
      <c r="D423">
        <v>7632</v>
      </c>
      <c r="E423" t="s">
        <v>1124</v>
      </c>
    </row>
    <row r="424" spans="4:5" x14ac:dyDescent="0.2">
      <c r="D424">
        <v>7639</v>
      </c>
      <c r="E424" t="s">
        <v>1125</v>
      </c>
    </row>
    <row r="425" spans="4:5" x14ac:dyDescent="0.2">
      <c r="D425">
        <v>7700</v>
      </c>
      <c r="E425" t="s">
        <v>1126</v>
      </c>
    </row>
    <row r="426" spans="4:5" x14ac:dyDescent="0.2">
      <c r="D426">
        <v>7710</v>
      </c>
      <c r="E426" t="s">
        <v>1127</v>
      </c>
    </row>
    <row r="427" spans="4:5" x14ac:dyDescent="0.2">
      <c r="D427">
        <v>7711</v>
      </c>
      <c r="E427" t="s">
        <v>1128</v>
      </c>
    </row>
    <row r="428" spans="4:5" x14ac:dyDescent="0.2">
      <c r="D428">
        <v>7712</v>
      </c>
      <c r="E428" t="s">
        <v>1129</v>
      </c>
    </row>
    <row r="429" spans="4:5" x14ac:dyDescent="0.2">
      <c r="D429">
        <v>7713</v>
      </c>
      <c r="E429" t="s">
        <v>1130</v>
      </c>
    </row>
    <row r="430" spans="4:5" x14ac:dyDescent="0.2">
      <c r="D430">
        <v>7714</v>
      </c>
      <c r="E430" t="s">
        <v>1131</v>
      </c>
    </row>
    <row r="431" spans="4:5" x14ac:dyDescent="0.2">
      <c r="D431">
        <v>7715</v>
      </c>
      <c r="E431" t="s">
        <v>1132</v>
      </c>
    </row>
    <row r="432" spans="4:5" x14ac:dyDescent="0.2">
      <c r="D432">
        <v>7720</v>
      </c>
      <c r="E432" t="s">
        <v>1133</v>
      </c>
    </row>
    <row r="433" spans="4:5" x14ac:dyDescent="0.2">
      <c r="D433">
        <v>7730</v>
      </c>
      <c r="E433" t="s">
        <v>1134</v>
      </c>
    </row>
    <row r="434" spans="4:5" x14ac:dyDescent="0.2">
      <c r="D434">
        <v>7800</v>
      </c>
      <c r="E434" t="s">
        <v>1135</v>
      </c>
    </row>
    <row r="435" spans="4:5" x14ac:dyDescent="0.2">
      <c r="D435">
        <v>7810</v>
      </c>
      <c r="E435" t="s">
        <v>1136</v>
      </c>
    </row>
    <row r="436" spans="4:5" x14ac:dyDescent="0.2">
      <c r="D436">
        <v>7811</v>
      </c>
      <c r="E436" t="s">
        <v>1137</v>
      </c>
    </row>
    <row r="437" spans="4:5" x14ac:dyDescent="0.2">
      <c r="D437">
        <v>7812</v>
      </c>
      <c r="E437" t="s">
        <v>1138</v>
      </c>
    </row>
    <row r="438" spans="4:5" x14ac:dyDescent="0.2">
      <c r="D438">
        <v>7813</v>
      </c>
      <c r="E438" t="s">
        <v>1139</v>
      </c>
    </row>
    <row r="439" spans="4:5" x14ac:dyDescent="0.2">
      <c r="D439">
        <v>7814</v>
      </c>
      <c r="E439" t="s">
        <v>1140</v>
      </c>
    </row>
    <row r="440" spans="4:5" x14ac:dyDescent="0.2">
      <c r="D440">
        <v>7820</v>
      </c>
      <c r="E440" t="s">
        <v>1141</v>
      </c>
    </row>
    <row r="441" spans="4:5" x14ac:dyDescent="0.2">
      <c r="D441">
        <v>7830</v>
      </c>
      <c r="E441" t="s">
        <v>1142</v>
      </c>
    </row>
    <row r="442" spans="4:5" x14ac:dyDescent="0.2">
      <c r="D442">
        <v>7840</v>
      </c>
      <c r="E442" t="s">
        <v>1143</v>
      </c>
    </row>
    <row r="443" spans="4:5" x14ac:dyDescent="0.2">
      <c r="D443">
        <v>7841</v>
      </c>
      <c r="E443" t="s">
        <v>1144</v>
      </c>
    </row>
    <row r="444" spans="4:5" x14ac:dyDescent="0.2">
      <c r="D444">
        <v>7842</v>
      </c>
      <c r="E444" t="s">
        <v>1145</v>
      </c>
    </row>
    <row r="445" spans="4:5" x14ac:dyDescent="0.2">
      <c r="D445">
        <v>8000</v>
      </c>
      <c r="E445" t="s">
        <v>1146</v>
      </c>
    </row>
    <row r="446" spans="4:5" x14ac:dyDescent="0.2">
      <c r="D446">
        <v>8100</v>
      </c>
      <c r="E446" t="s">
        <v>1147</v>
      </c>
    </row>
    <row r="447" spans="4:5" x14ac:dyDescent="0.2">
      <c r="D447">
        <v>8120</v>
      </c>
      <c r="E447" t="s">
        <v>1148</v>
      </c>
    </row>
    <row r="448" spans="4:5" x14ac:dyDescent="0.2">
      <c r="D448">
        <v>8600</v>
      </c>
      <c r="E448" t="s">
        <v>1149</v>
      </c>
    </row>
    <row r="449" spans="4:5" x14ac:dyDescent="0.2">
      <c r="D449">
        <v>8610</v>
      </c>
      <c r="E449" t="s">
        <v>1150</v>
      </c>
    </row>
    <row r="450" spans="4:5" x14ac:dyDescent="0.2">
      <c r="D450">
        <v>8900</v>
      </c>
      <c r="E450" t="s">
        <v>1151</v>
      </c>
    </row>
    <row r="451" spans="4:5" x14ac:dyDescent="0.2">
      <c r="D451">
        <v>9000</v>
      </c>
      <c r="E451" t="s">
        <v>1152</v>
      </c>
    </row>
    <row r="452" spans="4:5" x14ac:dyDescent="0.2">
      <c r="D452">
        <v>9100</v>
      </c>
      <c r="E452" t="s">
        <v>1153</v>
      </c>
    </row>
    <row r="453" spans="4:5" x14ac:dyDescent="0.2">
      <c r="D453">
        <v>9110</v>
      </c>
      <c r="E453" t="s">
        <v>1154</v>
      </c>
    </row>
    <row r="454" spans="4:5" x14ac:dyDescent="0.2">
      <c r="D454">
        <v>9120</v>
      </c>
      <c r="E454" t="s">
        <v>1155</v>
      </c>
    </row>
    <row r="455" spans="4:5" x14ac:dyDescent="0.2">
      <c r="D455">
        <v>9140</v>
      </c>
      <c r="E455" t="s">
        <v>1156</v>
      </c>
    </row>
    <row r="456" spans="4:5" x14ac:dyDescent="0.2">
      <c r="D456">
        <v>9141</v>
      </c>
      <c r="E456" t="s">
        <v>1157</v>
      </c>
    </row>
    <row r="457" spans="4:5" x14ac:dyDescent="0.2">
      <c r="D457">
        <v>9142</v>
      </c>
      <c r="E457" t="s">
        <v>1158</v>
      </c>
    </row>
    <row r="458" spans="4:5" x14ac:dyDescent="0.2">
      <c r="D458">
        <v>9147</v>
      </c>
      <c r="E458" t="s">
        <v>1159</v>
      </c>
    </row>
    <row r="459" spans="4:5" x14ac:dyDescent="0.2">
      <c r="D459">
        <v>9148</v>
      </c>
      <c r="E459" t="s">
        <v>1160</v>
      </c>
    </row>
    <row r="460" spans="4:5" x14ac:dyDescent="0.2">
      <c r="D460">
        <v>9149</v>
      </c>
      <c r="E460" t="s">
        <v>1161</v>
      </c>
    </row>
    <row r="461" spans="4:5" x14ac:dyDescent="0.2">
      <c r="D461">
        <v>9150</v>
      </c>
      <c r="E461" t="s">
        <v>1162</v>
      </c>
    </row>
    <row r="462" spans="4:5" x14ac:dyDescent="0.2">
      <c r="D462">
        <v>9200</v>
      </c>
      <c r="E462" t="s">
        <v>1163</v>
      </c>
    </row>
    <row r="463" spans="4:5" x14ac:dyDescent="0.2">
      <c r="D463">
        <v>9230</v>
      </c>
      <c r="E463" t="s">
        <v>1164</v>
      </c>
    </row>
    <row r="464" spans="4:5" x14ac:dyDescent="0.2">
      <c r="D464">
        <v>9240</v>
      </c>
      <c r="E464" t="s">
        <v>1165</v>
      </c>
    </row>
    <row r="465" spans="4:5" x14ac:dyDescent="0.2">
      <c r="D465">
        <v>9241</v>
      </c>
      <c r="E465" t="s">
        <v>1166</v>
      </c>
    </row>
    <row r="466" spans="4:5" x14ac:dyDescent="0.2">
      <c r="D466">
        <v>9242</v>
      </c>
      <c r="E466" t="s">
        <v>1167</v>
      </c>
    </row>
    <row r="467" spans="4:5" x14ac:dyDescent="0.2">
      <c r="D467">
        <v>9250</v>
      </c>
      <c r="E467" t="s">
        <v>1168</v>
      </c>
    </row>
    <row r="468" spans="4:5" x14ac:dyDescent="0.2">
      <c r="D468">
        <v>9260</v>
      </c>
      <c r="E468" t="s">
        <v>1169</v>
      </c>
    </row>
    <row r="469" spans="4:5" x14ac:dyDescent="0.2">
      <c r="D469">
        <v>9261</v>
      </c>
      <c r="E469" t="s">
        <v>1170</v>
      </c>
    </row>
    <row r="470" spans="4:5" x14ac:dyDescent="0.2">
      <c r="D470">
        <v>9262</v>
      </c>
      <c r="E470" t="s">
        <v>1171</v>
      </c>
    </row>
    <row r="471" spans="4:5" x14ac:dyDescent="0.2">
      <c r="D471">
        <v>9263</v>
      </c>
      <c r="E471" t="s">
        <v>1172</v>
      </c>
    </row>
    <row r="472" spans="4:5" x14ac:dyDescent="0.2">
      <c r="D472">
        <v>9270</v>
      </c>
      <c r="E472" t="s">
        <v>1173</v>
      </c>
    </row>
    <row r="473" spans="4:5" x14ac:dyDescent="0.2">
      <c r="D473">
        <v>9500</v>
      </c>
      <c r="E473" t="s">
        <v>1174</v>
      </c>
    </row>
    <row r="474" spans="4:5" x14ac:dyDescent="0.2">
      <c r="D474">
        <v>9510</v>
      </c>
      <c r="E474" t="s">
        <v>1175</v>
      </c>
    </row>
    <row r="475" spans="4:5" x14ac:dyDescent="0.2">
      <c r="D475">
        <v>9580</v>
      </c>
      <c r="E475" t="s">
        <v>1176</v>
      </c>
    </row>
    <row r="476" spans="4:5" x14ac:dyDescent="0.2">
      <c r="D476">
        <v>9590</v>
      </c>
      <c r="E476" t="s">
        <v>1177</v>
      </c>
    </row>
    <row r="477" spans="4:5" x14ac:dyDescent="0.2">
      <c r="D477">
        <v>9591</v>
      </c>
      <c r="E477" t="s">
        <v>1178</v>
      </c>
    </row>
    <row r="478" spans="4:5" x14ac:dyDescent="0.2">
      <c r="D478">
        <v>9592</v>
      </c>
      <c r="E478" t="s">
        <v>1179</v>
      </c>
    </row>
    <row r="479" spans="4:5" x14ac:dyDescent="0.2">
      <c r="D479">
        <v>9593</v>
      </c>
      <c r="E479" t="s">
        <v>1180</v>
      </c>
    </row>
    <row r="480" spans="4:5" x14ac:dyDescent="0.2">
      <c r="D480">
        <v>9594</v>
      </c>
      <c r="E480" t="s">
        <v>1181</v>
      </c>
    </row>
    <row r="481" spans="4:5" x14ac:dyDescent="0.2">
      <c r="D481">
        <v>9600</v>
      </c>
      <c r="E481" t="s">
        <v>1182</v>
      </c>
    </row>
    <row r="482" spans="4:5" x14ac:dyDescent="0.2">
      <c r="D482">
        <v>9610</v>
      </c>
      <c r="E482" t="s">
        <v>1183</v>
      </c>
    </row>
    <row r="483" spans="4:5" x14ac:dyDescent="0.2">
      <c r="D483">
        <v>9611</v>
      </c>
      <c r="E483" t="s">
        <v>1184</v>
      </c>
    </row>
    <row r="484" spans="4:5" x14ac:dyDescent="0.2">
      <c r="D484">
        <v>9700</v>
      </c>
      <c r="E484" t="s">
        <v>1185</v>
      </c>
    </row>
    <row r="485" spans="4:5" x14ac:dyDescent="0.2">
      <c r="D485">
        <v>9710</v>
      </c>
      <c r="E485" t="s">
        <v>1186</v>
      </c>
    </row>
    <row r="486" spans="4:5" x14ac:dyDescent="0.2">
      <c r="D486">
        <v>9720</v>
      </c>
      <c r="E486" t="s">
        <v>1187</v>
      </c>
    </row>
    <row r="487" spans="4:5" x14ac:dyDescent="0.2">
      <c r="D487">
        <v>9721</v>
      </c>
      <c r="E487" t="s">
        <v>1188</v>
      </c>
    </row>
    <row r="488" spans="4:5" x14ac:dyDescent="0.2">
      <c r="D488">
        <v>9722</v>
      </c>
      <c r="E488" t="s">
        <v>1189</v>
      </c>
    </row>
    <row r="489" spans="4:5" x14ac:dyDescent="0.2">
      <c r="D489">
        <v>9800</v>
      </c>
      <c r="E489" t="s">
        <v>1190</v>
      </c>
    </row>
    <row r="490" spans="4:5" x14ac:dyDescent="0.2">
      <c r="D490">
        <v>9810</v>
      </c>
      <c r="E490" t="s">
        <v>1191</v>
      </c>
    </row>
    <row r="491" spans="4:5" x14ac:dyDescent="0.2">
      <c r="D491">
        <v>9811</v>
      </c>
      <c r="E491" t="s">
        <v>1192</v>
      </c>
    </row>
    <row r="492" spans="4:5" x14ac:dyDescent="0.2">
      <c r="D492">
        <v>9812</v>
      </c>
      <c r="E492" t="s">
        <v>1193</v>
      </c>
    </row>
    <row r="493" spans="4:5" x14ac:dyDescent="0.2">
      <c r="D493">
        <v>9813</v>
      </c>
      <c r="E493" t="s">
        <v>1194</v>
      </c>
    </row>
    <row r="494" spans="4:5" x14ac:dyDescent="0.2">
      <c r="D494">
        <v>9814</v>
      </c>
      <c r="E494" t="s">
        <v>1140</v>
      </c>
    </row>
    <row r="495" spans="4:5" x14ac:dyDescent="0.2">
      <c r="D495">
        <v>9820</v>
      </c>
      <c r="E495" t="s">
        <v>1195</v>
      </c>
    </row>
    <row r="496" spans="4:5" x14ac:dyDescent="0.2">
      <c r="D496">
        <v>9830</v>
      </c>
      <c r="E496" t="s">
        <v>1196</v>
      </c>
    </row>
    <row r="497" spans="4:5" x14ac:dyDescent="0.2">
      <c r="D497">
        <v>9840</v>
      </c>
      <c r="E497" t="s">
        <v>1197</v>
      </c>
    </row>
    <row r="498" spans="4:5" x14ac:dyDescent="0.2">
      <c r="D498">
        <v>9841</v>
      </c>
      <c r="E498" t="s">
        <v>1198</v>
      </c>
    </row>
    <row r="499" spans="4:5" x14ac:dyDescent="0.2">
      <c r="D499">
        <v>9842</v>
      </c>
      <c r="E499" t="s">
        <v>1199</v>
      </c>
    </row>
    <row r="500" spans="4:5" x14ac:dyDescent="0.2">
      <c r="D500">
        <v>9615</v>
      </c>
      <c r="E500" t="s">
        <v>1200</v>
      </c>
    </row>
  </sheetData>
  <mergeCells count="1">
    <mergeCell ref="K4:L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F262F-127E-41A4-8043-2D99291DCFE6}">
  <sheetPr codeName="Lapa3">
    <tabColor theme="2" tint="-0.749992370372631"/>
  </sheetPr>
  <dimension ref="B5:S44"/>
  <sheetViews>
    <sheetView zoomScaleNormal="100" workbookViewId="0">
      <selection activeCell="G10" sqref="G10"/>
    </sheetView>
  </sheetViews>
  <sheetFormatPr defaultRowHeight="11.4" x14ac:dyDescent="0.2"/>
  <cols>
    <col min="1" max="1" width="3.25" customWidth="1"/>
    <col min="2" max="2" width="12.125" customWidth="1"/>
    <col min="3" max="7" width="13.75" customWidth="1"/>
    <col min="8" max="8" width="2.125" customWidth="1"/>
    <col min="9" max="10" width="12" customWidth="1"/>
    <col min="11" max="11" width="1.625" customWidth="1"/>
    <col min="12" max="13" width="12" customWidth="1"/>
    <col min="14" max="14" width="2" customWidth="1"/>
    <col min="15" max="16" width="12" customWidth="1"/>
    <col min="17" max="17" width="2" customWidth="1"/>
    <col min="18" max="18" width="10.875" bestFit="1" customWidth="1"/>
  </cols>
  <sheetData>
    <row r="5" spans="2:19" ht="12" x14ac:dyDescent="0.2">
      <c r="I5" s="530" t="s">
        <v>320</v>
      </c>
      <c r="J5" s="530"/>
      <c r="L5" s="530" t="s">
        <v>320</v>
      </c>
      <c r="M5" s="530"/>
      <c r="O5" s="530" t="s">
        <v>320</v>
      </c>
      <c r="P5" s="530"/>
      <c r="R5" s="530" t="s">
        <v>320</v>
      </c>
      <c r="S5" s="530"/>
    </row>
    <row r="6" spans="2:19" ht="12" x14ac:dyDescent="0.25">
      <c r="C6" s="2">
        <v>2021</v>
      </c>
      <c r="D6" s="2">
        <v>2022</v>
      </c>
      <c r="E6" s="2">
        <v>2023</v>
      </c>
      <c r="F6" s="2">
        <v>2024</v>
      </c>
      <c r="G6" s="162">
        <v>2025</v>
      </c>
      <c r="H6" s="2"/>
      <c r="I6" s="2" t="s">
        <v>801</v>
      </c>
      <c r="J6" s="2" t="s">
        <v>734</v>
      </c>
      <c r="K6" s="2"/>
      <c r="L6" s="2" t="s">
        <v>800</v>
      </c>
      <c r="M6" s="2" t="s">
        <v>735</v>
      </c>
      <c r="N6" s="2"/>
      <c r="O6" s="2" t="s">
        <v>796</v>
      </c>
      <c r="P6" s="2" t="s">
        <v>736</v>
      </c>
      <c r="Q6" s="2"/>
      <c r="R6" s="162" t="s">
        <v>1296</v>
      </c>
      <c r="S6" s="162" t="s">
        <v>1297</v>
      </c>
    </row>
    <row r="7" spans="2:19" ht="12" x14ac:dyDescent="0.2">
      <c r="G7" s="163"/>
      <c r="I7" s="6"/>
      <c r="R7" s="163"/>
      <c r="S7" s="163"/>
    </row>
    <row r="8" spans="2:19" ht="12" x14ac:dyDescent="0.25">
      <c r="B8" s="2" t="s">
        <v>534</v>
      </c>
      <c r="C8" s="3">
        <v>22209387</v>
      </c>
      <c r="D8" s="3">
        <v>27602472</v>
      </c>
      <c r="E8" s="104">
        <v>28441559</v>
      </c>
      <c r="F8" s="104">
        <v>34832686</v>
      </c>
      <c r="G8" s="166">
        <v>39439118.035891481</v>
      </c>
      <c r="I8" s="6">
        <f>D8-C8</f>
        <v>5393085</v>
      </c>
      <c r="J8" s="103">
        <f>I8/C8</f>
        <v>0.2428290794338448</v>
      </c>
      <c r="L8" s="6">
        <f>E8-D8</f>
        <v>839087</v>
      </c>
      <c r="M8" s="103">
        <f>L8/D8</f>
        <v>3.0398980207279987E-2</v>
      </c>
      <c r="O8" s="6">
        <f>F8-E8</f>
        <v>6391127</v>
      </c>
      <c r="P8" s="103">
        <f>O8/E8</f>
        <v>0.22471085357873666</v>
      </c>
      <c r="R8" s="164">
        <f>G8-F8</f>
        <v>4606432.0358914807</v>
      </c>
      <c r="S8" s="165">
        <f>R8/G8</f>
        <v>0.11679855598442662</v>
      </c>
    </row>
    <row r="9" spans="2:19" ht="12" x14ac:dyDescent="0.25">
      <c r="B9" s="161" t="s">
        <v>518</v>
      </c>
      <c r="C9" s="117">
        <v>4148846</v>
      </c>
      <c r="D9" s="117">
        <v>7562074</v>
      </c>
      <c r="E9" s="117">
        <v>4418774</v>
      </c>
      <c r="F9" s="117">
        <v>6416270</v>
      </c>
      <c r="G9" s="166">
        <v>6917724</v>
      </c>
      <c r="I9" s="159">
        <f>D9-C9</f>
        <v>3413228</v>
      </c>
      <c r="J9" s="160">
        <f>I9/C9</f>
        <v>0.82269334653539805</v>
      </c>
      <c r="L9" s="159">
        <f>E9-D9</f>
        <v>-3143300</v>
      </c>
      <c r="M9" s="160">
        <f>L9/D9</f>
        <v>-0.41566638993482474</v>
      </c>
      <c r="O9" s="159">
        <f>F9-E9</f>
        <v>1997496</v>
      </c>
      <c r="P9" s="160">
        <f>O9/E9</f>
        <v>0.45204755889303233</v>
      </c>
      <c r="R9" s="164">
        <f>G9-F9</f>
        <v>501454</v>
      </c>
      <c r="S9" s="165">
        <f>R9/G9</f>
        <v>7.2488292392122039E-2</v>
      </c>
    </row>
    <row r="10" spans="2:19" ht="12" x14ac:dyDescent="0.25">
      <c r="B10" s="2" t="s">
        <v>797</v>
      </c>
      <c r="C10" s="6">
        <f>C8-C9</f>
        <v>18060541</v>
      </c>
      <c r="D10" s="6">
        <f>D8-D9</f>
        <v>20040398</v>
      </c>
      <c r="E10" s="6">
        <f>E8-E9</f>
        <v>24022785</v>
      </c>
      <c r="F10" s="6">
        <f>F8-F9</f>
        <v>28416416</v>
      </c>
      <c r="G10" s="164">
        <f>G8-G9</f>
        <v>32521394.035891481</v>
      </c>
      <c r="I10" s="6">
        <f>D10-C10</f>
        <v>1979857</v>
      </c>
      <c r="J10" s="103">
        <f>I10/C10</f>
        <v>0.10962334959954965</v>
      </c>
      <c r="L10" s="6">
        <f>E10-D10</f>
        <v>3982387</v>
      </c>
      <c r="M10" s="103">
        <f>L10/D10</f>
        <v>0.19871795959341726</v>
      </c>
      <c r="O10" s="6">
        <f>F10-E10</f>
        <v>4393631</v>
      </c>
      <c r="P10" s="103">
        <f>O10/E10</f>
        <v>0.1828943230354016</v>
      </c>
      <c r="R10" s="164">
        <f>G10-F10</f>
        <v>4104978.0358914807</v>
      </c>
      <c r="S10" s="165">
        <f>R10/G10</f>
        <v>0.12622392605191268</v>
      </c>
    </row>
    <row r="14" spans="2:19" ht="12" x14ac:dyDescent="0.25">
      <c r="B14" s="2" t="s">
        <v>798</v>
      </c>
      <c r="C14" s="103">
        <f>C9/C8</f>
        <v>0.18680596632405927</v>
      </c>
      <c r="D14" s="103">
        <f>D9/D8</f>
        <v>0.27396365079185664</v>
      </c>
      <c r="E14" s="103">
        <f>E9/E8</f>
        <v>0.1553632837074789</v>
      </c>
      <c r="F14" s="103">
        <f>F9/F8</f>
        <v>0.18420256192703599</v>
      </c>
      <c r="G14" s="103">
        <f>G9/G8</f>
        <v>0.17540260392497978</v>
      </c>
    </row>
    <row r="16" spans="2:19" ht="12" x14ac:dyDescent="0.25">
      <c r="C16" s="2" t="s">
        <v>799</v>
      </c>
      <c r="D16" s="2"/>
    </row>
    <row r="17" spans="2:17" ht="12" x14ac:dyDescent="0.2">
      <c r="C17" s="94">
        <f>C8/C9</f>
        <v>5.3531480802131481</v>
      </c>
      <c r="D17" s="94">
        <f>D8/D9</f>
        <v>3.6501192662224677</v>
      </c>
      <c r="E17" s="94">
        <f>E8/E9</f>
        <v>6.436527190573675</v>
      </c>
      <c r="F17" s="94">
        <f>F8/F9</f>
        <v>5.4288061443798341</v>
      </c>
      <c r="G17" s="94">
        <f>G8/G9</f>
        <v>5.701169638437654</v>
      </c>
    </row>
    <row r="19" spans="2:17" ht="12" x14ac:dyDescent="0.2">
      <c r="E19" s="3"/>
    </row>
    <row r="20" spans="2:17" ht="12" x14ac:dyDescent="0.2">
      <c r="D20" s="40"/>
      <c r="E20" s="3"/>
      <c r="F20" s="3"/>
      <c r="G20" s="3"/>
      <c r="I20" s="6"/>
    </row>
    <row r="21" spans="2:17" ht="12" x14ac:dyDescent="0.2">
      <c r="D21" s="40"/>
      <c r="E21" s="3"/>
      <c r="F21" s="3"/>
      <c r="G21" s="3"/>
      <c r="H21" s="3"/>
      <c r="I21" s="6"/>
    </row>
    <row r="22" spans="2:17" ht="12" x14ac:dyDescent="0.25">
      <c r="D22" s="40"/>
      <c r="E22" s="3"/>
      <c r="F22" s="170"/>
      <c r="G22" s="170"/>
      <c r="H22" s="169"/>
      <c r="I22" s="6"/>
      <c r="J22" s="2"/>
      <c r="K22" s="2"/>
      <c r="L22" s="2"/>
      <c r="M22" s="2"/>
      <c r="N22" s="2"/>
      <c r="O22" s="2"/>
      <c r="P22" s="2"/>
      <c r="Q22" s="2"/>
    </row>
    <row r="23" spans="2:17" ht="12" x14ac:dyDescent="0.25">
      <c r="B23" s="2"/>
      <c r="C23" s="2"/>
      <c r="D23" s="40"/>
      <c r="E23" s="3"/>
      <c r="F23" s="3"/>
      <c r="G23" s="3"/>
      <c r="H23" s="3"/>
      <c r="I23" s="6"/>
      <c r="J23" s="6"/>
      <c r="K23" s="6"/>
      <c r="L23" s="6"/>
      <c r="M23" s="6"/>
      <c r="N23" s="6"/>
      <c r="O23" s="6"/>
      <c r="P23" s="6"/>
      <c r="Q23" s="6"/>
    </row>
    <row r="24" spans="2:17" ht="12" x14ac:dyDescent="0.25">
      <c r="B24" s="2"/>
      <c r="C24" s="2"/>
      <c r="D24" s="2"/>
      <c r="E24" s="98"/>
      <c r="F24" s="98"/>
      <c r="G24" s="98"/>
      <c r="H24" s="6"/>
      <c r="I24" s="98"/>
      <c r="J24" s="6"/>
      <c r="K24" s="6"/>
      <c r="L24" s="6"/>
      <c r="M24" s="6"/>
      <c r="N24" s="6"/>
      <c r="O24" s="6"/>
      <c r="P24" s="6"/>
      <c r="Q24" s="6"/>
    </row>
    <row r="25" spans="2:17" ht="12" x14ac:dyDescent="0.25">
      <c r="B25" s="2"/>
      <c r="C25" s="2"/>
      <c r="D25" s="2"/>
      <c r="E25" s="6"/>
      <c r="F25" s="6"/>
      <c r="G25" s="6"/>
      <c r="H25" s="6"/>
      <c r="I25" s="6"/>
      <c r="J25" s="6"/>
      <c r="K25" s="6"/>
      <c r="L25" s="6"/>
      <c r="M25" s="6"/>
      <c r="N25" s="6"/>
      <c r="O25" s="6"/>
      <c r="P25" s="6"/>
      <c r="Q25" s="6"/>
    </row>
    <row r="26" spans="2:17" ht="12" x14ac:dyDescent="0.25">
      <c r="B26" s="2"/>
      <c r="C26" s="2"/>
      <c r="D26" s="2"/>
      <c r="E26" s="6"/>
      <c r="F26" s="6"/>
      <c r="G26" s="6"/>
      <c r="H26" s="6"/>
      <c r="I26" s="6"/>
      <c r="J26" s="6"/>
      <c r="K26" s="6"/>
      <c r="L26" s="6"/>
      <c r="M26" s="6"/>
      <c r="N26" s="6"/>
      <c r="O26" s="6"/>
      <c r="P26" s="6"/>
      <c r="Q26" s="6"/>
    </row>
    <row r="27" spans="2:17" ht="12" x14ac:dyDescent="0.2">
      <c r="E27" s="6"/>
    </row>
    <row r="28" spans="2:17" ht="12" x14ac:dyDescent="0.2">
      <c r="D28" s="41"/>
      <c r="E28" s="6"/>
    </row>
    <row r="29" spans="2:17" ht="12" x14ac:dyDescent="0.2">
      <c r="E29" s="6"/>
    </row>
    <row r="30" spans="2:17" ht="12" x14ac:dyDescent="0.2">
      <c r="E30" s="6"/>
    </row>
    <row r="31" spans="2:17" ht="12" x14ac:dyDescent="0.2">
      <c r="D31" s="172"/>
      <c r="E31" s="6"/>
      <c r="F31" s="171"/>
      <c r="G31" s="171"/>
      <c r="I31" s="3"/>
    </row>
    <row r="32" spans="2:17" ht="12" x14ac:dyDescent="0.2">
      <c r="D32" s="41"/>
      <c r="E32" s="6"/>
    </row>
    <row r="33" spans="4:5" ht="12" x14ac:dyDescent="0.2">
      <c r="D33" s="41"/>
      <c r="E33" s="6"/>
    </row>
    <row r="34" spans="4:5" ht="12" x14ac:dyDescent="0.2">
      <c r="D34" s="41"/>
      <c r="E34" s="6"/>
    </row>
    <row r="35" spans="4:5" ht="12" x14ac:dyDescent="0.2">
      <c r="D35" s="41"/>
      <c r="E35" s="6"/>
    </row>
    <row r="36" spans="4:5" ht="12" x14ac:dyDescent="0.2">
      <c r="D36" s="41"/>
      <c r="E36" s="105"/>
    </row>
    <row r="37" spans="4:5" ht="12" x14ac:dyDescent="0.2">
      <c r="E37" s="3"/>
    </row>
    <row r="38" spans="4:5" ht="12" x14ac:dyDescent="0.2">
      <c r="E38" s="3"/>
    </row>
    <row r="39" spans="4:5" ht="12" x14ac:dyDescent="0.2">
      <c r="D39" s="41"/>
      <c r="E39" s="3"/>
    </row>
    <row r="40" spans="4:5" ht="12" x14ac:dyDescent="0.2">
      <c r="E40" s="3"/>
    </row>
    <row r="41" spans="4:5" ht="12" x14ac:dyDescent="0.2">
      <c r="E41" s="3"/>
    </row>
    <row r="42" spans="4:5" ht="12" x14ac:dyDescent="0.2">
      <c r="E42" s="3"/>
    </row>
    <row r="43" spans="4:5" x14ac:dyDescent="0.2">
      <c r="E43" s="3"/>
    </row>
    <row r="44" spans="4:5" x14ac:dyDescent="0.2">
      <c r="E44" s="3"/>
    </row>
  </sheetData>
  <mergeCells count="4">
    <mergeCell ref="I5:J5"/>
    <mergeCell ref="L5:M5"/>
    <mergeCell ref="O5:P5"/>
    <mergeCell ref="R5:S5"/>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apa10">
    <tabColor rgb="FF92D050"/>
  </sheetPr>
  <dimension ref="A1:T297"/>
  <sheetViews>
    <sheetView zoomScale="98" zoomScaleNormal="98" zoomScaleSheetLayoutView="80" workbookViewId="0">
      <pane xSplit="4" ySplit="5" topLeftCell="M6" activePane="bottomRight" state="frozen"/>
      <selection activeCell="C1" sqref="C1"/>
      <selection pane="topRight" activeCell="E1" sqref="E1"/>
      <selection pane="bottomLeft" activeCell="C6" sqref="C6"/>
      <selection pane="bottomRight" activeCell="O3" sqref="O3:Q4"/>
    </sheetView>
  </sheetViews>
  <sheetFormatPr defaultRowHeight="13.8" outlineLevelRow="1" outlineLevelCol="2" x14ac:dyDescent="0.25"/>
  <cols>
    <col min="1" max="1" width="7.875" style="7" hidden="1" customWidth="1" outlineLevel="2"/>
    <col min="2" max="2" width="11.375" style="7" hidden="1" customWidth="1" outlineLevel="2"/>
    <col min="3" max="3" width="15" style="9" customWidth="1" collapsed="1"/>
    <col min="4" max="4" width="44" style="8" customWidth="1"/>
    <col min="5" max="5" width="14.875" style="101" customWidth="1"/>
    <col min="6" max="6" width="14.875" style="101" customWidth="1" collapsed="1"/>
    <col min="7" max="7" width="14.875" style="7" hidden="1" customWidth="1" outlineLevel="1"/>
    <col min="8" max="8" width="70.75" style="1" hidden="1" customWidth="1" outlineLevel="1" collapsed="1"/>
    <col min="9" max="9" width="14.875" style="101" customWidth="1" collapsed="1"/>
    <col min="10" max="10" width="14.875" style="7" hidden="1" customWidth="1" outlineLevel="1"/>
    <col min="11" max="11" width="70.75" style="1" hidden="1" customWidth="1" outlineLevel="1" collapsed="1"/>
    <col min="12" max="12" width="14.875" style="101" customWidth="1" collapsed="1"/>
    <col min="13" max="13" width="14.875" style="7" customWidth="1"/>
    <col min="14" max="14" width="42.875" style="1" customWidth="1" collapsed="1"/>
    <col min="15" max="15" width="14.875" style="21" customWidth="1" outlineLevel="1" collapsed="1"/>
    <col min="16" max="16" width="14.875" style="467" customWidth="1" outlineLevel="1" collapsed="1"/>
    <col min="17" max="17" width="45.875" style="7" customWidth="1" outlineLevel="1" collapsed="1"/>
    <col min="18" max="18" width="9" style="7"/>
    <col min="19" max="20" width="10.75" style="7" bestFit="1" customWidth="1"/>
    <col min="21" max="183" width="9" style="7"/>
    <col min="184" max="185" width="0" style="7" hidden="1" customWidth="1"/>
    <col min="186" max="186" width="13.75" style="7" customWidth="1"/>
    <col min="187" max="187" width="52.875" style="7" customWidth="1"/>
    <col min="188" max="227" width="0" style="7" hidden="1" customWidth="1"/>
    <col min="228" max="229" width="14.875" style="7" customWidth="1"/>
    <col min="230" max="231" width="0" style="7" hidden="1" customWidth="1"/>
    <col min="232" max="232" width="14.875" style="7" customWidth="1"/>
    <col min="233" max="234" width="0" style="7" hidden="1" customWidth="1"/>
    <col min="235" max="235" width="14.875" style="7" customWidth="1"/>
    <col min="236" max="237" width="0" style="7" hidden="1" customWidth="1"/>
    <col min="238" max="238" width="14.875" style="7" customWidth="1"/>
    <col min="239" max="240" width="0" style="7" hidden="1" customWidth="1"/>
    <col min="241" max="241" width="14.875" style="7" customWidth="1"/>
    <col min="242" max="243" width="0" style="7" hidden="1" customWidth="1"/>
    <col min="244" max="245" width="14.875" style="7" customWidth="1"/>
    <col min="246" max="246" width="44.375" style="7" customWidth="1"/>
    <col min="247" max="251" width="14.875" style="7" customWidth="1"/>
    <col min="252" max="252" width="63.875" style="7" customWidth="1"/>
    <col min="253" max="253" width="13.25" style="7" customWidth="1"/>
    <col min="254" max="439" width="9" style="7"/>
    <col min="440" max="441" width="0" style="7" hidden="1" customWidth="1"/>
    <col min="442" max="442" width="13.75" style="7" customWidth="1"/>
    <col min="443" max="443" width="52.875" style="7" customWidth="1"/>
    <col min="444" max="483" width="0" style="7" hidden="1" customWidth="1"/>
    <col min="484" max="485" width="14.875" style="7" customWidth="1"/>
    <col min="486" max="487" width="0" style="7" hidden="1" customWidth="1"/>
    <col min="488" max="488" width="14.875" style="7" customWidth="1"/>
    <col min="489" max="490" width="0" style="7" hidden="1" customWidth="1"/>
    <col min="491" max="491" width="14.875" style="7" customWidth="1"/>
    <col min="492" max="493" width="0" style="7" hidden="1" customWidth="1"/>
    <col min="494" max="494" width="14.875" style="7" customWidth="1"/>
    <col min="495" max="496" width="0" style="7" hidden="1" customWidth="1"/>
    <col min="497" max="497" width="14.875" style="7" customWidth="1"/>
    <col min="498" max="499" width="0" style="7" hidden="1" customWidth="1"/>
    <col min="500" max="501" width="14.875" style="7" customWidth="1"/>
    <col min="502" max="502" width="44.375" style="7" customWidth="1"/>
    <col min="503" max="507" width="14.875" style="7" customWidth="1"/>
    <col min="508" max="508" width="63.875" style="7" customWidth="1"/>
    <col min="509" max="509" width="13.25" style="7" customWidth="1"/>
    <col min="510" max="695" width="9" style="7"/>
    <col min="696" max="697" width="0" style="7" hidden="1" customWidth="1"/>
    <col min="698" max="698" width="13.75" style="7" customWidth="1"/>
    <col min="699" max="699" width="52.875" style="7" customWidth="1"/>
    <col min="700" max="739" width="0" style="7" hidden="1" customWidth="1"/>
    <col min="740" max="741" width="14.875" style="7" customWidth="1"/>
    <col min="742" max="743" width="0" style="7" hidden="1" customWidth="1"/>
    <col min="744" max="744" width="14.875" style="7" customWidth="1"/>
    <col min="745" max="746" width="0" style="7" hidden="1" customWidth="1"/>
    <col min="747" max="747" width="14.875" style="7" customWidth="1"/>
    <col min="748" max="749" width="0" style="7" hidden="1" customWidth="1"/>
    <col min="750" max="750" width="14.875" style="7" customWidth="1"/>
    <col min="751" max="752" width="0" style="7" hidden="1" customWidth="1"/>
    <col min="753" max="753" width="14.875" style="7" customWidth="1"/>
    <col min="754" max="755" width="0" style="7" hidden="1" customWidth="1"/>
    <col min="756" max="757" width="14.875" style="7" customWidth="1"/>
    <col min="758" max="758" width="44.375" style="7" customWidth="1"/>
    <col min="759" max="763" width="14.875" style="7" customWidth="1"/>
    <col min="764" max="764" width="63.875" style="7" customWidth="1"/>
    <col min="765" max="765" width="13.25" style="7" customWidth="1"/>
    <col min="766" max="951" width="9" style="7"/>
    <col min="952" max="953" width="0" style="7" hidden="1" customWidth="1"/>
    <col min="954" max="954" width="13.75" style="7" customWidth="1"/>
    <col min="955" max="955" width="52.875" style="7" customWidth="1"/>
    <col min="956" max="995" width="0" style="7" hidden="1" customWidth="1"/>
    <col min="996" max="997" width="14.875" style="7" customWidth="1"/>
    <col min="998" max="999" width="0" style="7" hidden="1" customWidth="1"/>
    <col min="1000" max="1000" width="14.875" style="7" customWidth="1"/>
    <col min="1001" max="1002" width="0" style="7" hidden="1" customWidth="1"/>
    <col min="1003" max="1003" width="14.875" style="7" customWidth="1"/>
    <col min="1004" max="1005" width="0" style="7" hidden="1" customWidth="1"/>
    <col min="1006" max="1006" width="14.875" style="7" customWidth="1"/>
    <col min="1007" max="1008" width="0" style="7" hidden="1" customWidth="1"/>
    <col min="1009" max="1009" width="14.875" style="7" customWidth="1"/>
    <col min="1010" max="1011" width="0" style="7" hidden="1" customWidth="1"/>
    <col min="1012" max="1013" width="14.875" style="7" customWidth="1"/>
    <col min="1014" max="1014" width="44.375" style="7" customWidth="1"/>
    <col min="1015" max="1019" width="14.875" style="7" customWidth="1"/>
    <col min="1020" max="1020" width="63.875" style="7" customWidth="1"/>
    <col min="1021" max="1021" width="13.25" style="7" customWidth="1"/>
    <col min="1022" max="1207" width="9" style="7"/>
    <col min="1208" max="1209" width="0" style="7" hidden="1" customWidth="1"/>
    <col min="1210" max="1210" width="13.75" style="7" customWidth="1"/>
    <col min="1211" max="1211" width="52.875" style="7" customWidth="1"/>
    <col min="1212" max="1251" width="0" style="7" hidden="1" customWidth="1"/>
    <col min="1252" max="1253" width="14.875" style="7" customWidth="1"/>
    <col min="1254" max="1255" width="0" style="7" hidden="1" customWidth="1"/>
    <col min="1256" max="1256" width="14.875" style="7" customWidth="1"/>
    <col min="1257" max="1258" width="0" style="7" hidden="1" customWidth="1"/>
    <col min="1259" max="1259" width="14.875" style="7" customWidth="1"/>
    <col min="1260" max="1261" width="0" style="7" hidden="1" customWidth="1"/>
    <col min="1262" max="1262" width="14.875" style="7" customWidth="1"/>
    <col min="1263" max="1264" width="0" style="7" hidden="1" customWidth="1"/>
    <col min="1265" max="1265" width="14.875" style="7" customWidth="1"/>
    <col min="1266" max="1267" width="0" style="7" hidden="1" customWidth="1"/>
    <col min="1268" max="1269" width="14.875" style="7" customWidth="1"/>
    <col min="1270" max="1270" width="44.375" style="7" customWidth="1"/>
    <col min="1271" max="1275" width="14.875" style="7" customWidth="1"/>
    <col min="1276" max="1276" width="63.875" style="7" customWidth="1"/>
    <col min="1277" max="1277" width="13.25" style="7" customWidth="1"/>
    <col min="1278" max="1463" width="9" style="7"/>
    <col min="1464" max="1465" width="0" style="7" hidden="1" customWidth="1"/>
    <col min="1466" max="1466" width="13.75" style="7" customWidth="1"/>
    <col min="1467" max="1467" width="52.875" style="7" customWidth="1"/>
    <col min="1468" max="1507" width="0" style="7" hidden="1" customWidth="1"/>
    <col min="1508" max="1509" width="14.875" style="7" customWidth="1"/>
    <col min="1510" max="1511" width="0" style="7" hidden="1" customWidth="1"/>
    <col min="1512" max="1512" width="14.875" style="7" customWidth="1"/>
    <col min="1513" max="1514" width="0" style="7" hidden="1" customWidth="1"/>
    <col min="1515" max="1515" width="14.875" style="7" customWidth="1"/>
    <col min="1516" max="1517" width="0" style="7" hidden="1" customWidth="1"/>
    <col min="1518" max="1518" width="14.875" style="7" customWidth="1"/>
    <col min="1519" max="1520" width="0" style="7" hidden="1" customWidth="1"/>
    <col min="1521" max="1521" width="14.875" style="7" customWidth="1"/>
    <col min="1522" max="1523" width="0" style="7" hidden="1" customWidth="1"/>
    <col min="1524" max="1525" width="14.875" style="7" customWidth="1"/>
    <col min="1526" max="1526" width="44.375" style="7" customWidth="1"/>
    <col min="1527" max="1531" width="14.875" style="7" customWidth="1"/>
    <col min="1532" max="1532" width="63.875" style="7" customWidth="1"/>
    <col min="1533" max="1533" width="13.25" style="7" customWidth="1"/>
    <col min="1534" max="1719" width="9" style="7"/>
    <col min="1720" max="1721" width="0" style="7" hidden="1" customWidth="1"/>
    <col min="1722" max="1722" width="13.75" style="7" customWidth="1"/>
    <col min="1723" max="1723" width="52.875" style="7" customWidth="1"/>
    <col min="1724" max="1763" width="0" style="7" hidden="1" customWidth="1"/>
    <col min="1764" max="1765" width="14.875" style="7" customWidth="1"/>
    <col min="1766" max="1767" width="0" style="7" hidden="1" customWidth="1"/>
    <col min="1768" max="1768" width="14.875" style="7" customWidth="1"/>
    <col min="1769" max="1770" width="0" style="7" hidden="1" customWidth="1"/>
    <col min="1771" max="1771" width="14.875" style="7" customWidth="1"/>
    <col min="1772" max="1773" width="0" style="7" hidden="1" customWidth="1"/>
    <col min="1774" max="1774" width="14.875" style="7" customWidth="1"/>
    <col min="1775" max="1776" width="0" style="7" hidden="1" customWidth="1"/>
    <col min="1777" max="1777" width="14.875" style="7" customWidth="1"/>
    <col min="1778" max="1779" width="0" style="7" hidden="1" customWidth="1"/>
    <col min="1780" max="1781" width="14.875" style="7" customWidth="1"/>
    <col min="1782" max="1782" width="44.375" style="7" customWidth="1"/>
    <col min="1783" max="1787" width="14.875" style="7" customWidth="1"/>
    <col min="1788" max="1788" width="63.875" style="7" customWidth="1"/>
    <col min="1789" max="1789" width="13.25" style="7" customWidth="1"/>
    <col min="1790" max="1975" width="9" style="7"/>
    <col min="1976" max="1977" width="0" style="7" hidden="1" customWidth="1"/>
    <col min="1978" max="1978" width="13.75" style="7" customWidth="1"/>
    <col min="1979" max="1979" width="52.875" style="7" customWidth="1"/>
    <col min="1980" max="2019" width="0" style="7" hidden="1" customWidth="1"/>
    <col min="2020" max="2021" width="14.875" style="7" customWidth="1"/>
    <col min="2022" max="2023" width="0" style="7" hidden="1" customWidth="1"/>
    <col min="2024" max="2024" width="14.875" style="7" customWidth="1"/>
    <col min="2025" max="2026" width="0" style="7" hidden="1" customWidth="1"/>
    <col min="2027" max="2027" width="14.875" style="7" customWidth="1"/>
    <col min="2028" max="2029" width="0" style="7" hidden="1" customWidth="1"/>
    <col min="2030" max="2030" width="14.875" style="7" customWidth="1"/>
    <col min="2031" max="2032" width="0" style="7" hidden="1" customWidth="1"/>
    <col min="2033" max="2033" width="14.875" style="7" customWidth="1"/>
    <col min="2034" max="2035" width="0" style="7" hidden="1" customWidth="1"/>
    <col min="2036" max="2037" width="14.875" style="7" customWidth="1"/>
    <col min="2038" max="2038" width="44.375" style="7" customWidth="1"/>
    <col min="2039" max="2043" width="14.875" style="7" customWidth="1"/>
    <col min="2044" max="2044" width="63.875" style="7" customWidth="1"/>
    <col min="2045" max="2045" width="13.25" style="7" customWidth="1"/>
    <col min="2046" max="2231" width="9" style="7"/>
    <col min="2232" max="2233" width="0" style="7" hidden="1" customWidth="1"/>
    <col min="2234" max="2234" width="13.75" style="7" customWidth="1"/>
    <col min="2235" max="2235" width="52.875" style="7" customWidth="1"/>
    <col min="2236" max="2275" width="0" style="7" hidden="1" customWidth="1"/>
    <col min="2276" max="2277" width="14.875" style="7" customWidth="1"/>
    <col min="2278" max="2279" width="0" style="7" hidden="1" customWidth="1"/>
    <col min="2280" max="2280" width="14.875" style="7" customWidth="1"/>
    <col min="2281" max="2282" width="0" style="7" hidden="1" customWidth="1"/>
    <col min="2283" max="2283" width="14.875" style="7" customWidth="1"/>
    <col min="2284" max="2285" width="0" style="7" hidden="1" customWidth="1"/>
    <col min="2286" max="2286" width="14.875" style="7" customWidth="1"/>
    <col min="2287" max="2288" width="0" style="7" hidden="1" customWidth="1"/>
    <col min="2289" max="2289" width="14.875" style="7" customWidth="1"/>
    <col min="2290" max="2291" width="0" style="7" hidden="1" customWidth="1"/>
    <col min="2292" max="2293" width="14.875" style="7" customWidth="1"/>
    <col min="2294" max="2294" width="44.375" style="7" customWidth="1"/>
    <col min="2295" max="2299" width="14.875" style="7" customWidth="1"/>
    <col min="2300" max="2300" width="63.875" style="7" customWidth="1"/>
    <col min="2301" max="2301" width="13.25" style="7" customWidth="1"/>
    <col min="2302" max="2487" width="9" style="7"/>
    <col min="2488" max="2489" width="0" style="7" hidden="1" customWidth="1"/>
    <col min="2490" max="2490" width="13.75" style="7" customWidth="1"/>
    <col min="2491" max="2491" width="52.875" style="7" customWidth="1"/>
    <col min="2492" max="2531" width="0" style="7" hidden="1" customWidth="1"/>
    <col min="2532" max="2533" width="14.875" style="7" customWidth="1"/>
    <col min="2534" max="2535" width="0" style="7" hidden="1" customWidth="1"/>
    <col min="2536" max="2536" width="14.875" style="7" customWidth="1"/>
    <col min="2537" max="2538" width="0" style="7" hidden="1" customWidth="1"/>
    <col min="2539" max="2539" width="14.875" style="7" customWidth="1"/>
    <col min="2540" max="2541" width="0" style="7" hidden="1" customWidth="1"/>
    <col min="2542" max="2542" width="14.875" style="7" customWidth="1"/>
    <col min="2543" max="2544" width="0" style="7" hidden="1" customWidth="1"/>
    <col min="2545" max="2545" width="14.875" style="7" customWidth="1"/>
    <col min="2546" max="2547" width="0" style="7" hidden="1" customWidth="1"/>
    <col min="2548" max="2549" width="14.875" style="7" customWidth="1"/>
    <col min="2550" max="2550" width="44.375" style="7" customWidth="1"/>
    <col min="2551" max="2555" width="14.875" style="7" customWidth="1"/>
    <col min="2556" max="2556" width="63.875" style="7" customWidth="1"/>
    <col min="2557" max="2557" width="13.25" style="7" customWidth="1"/>
    <col min="2558" max="2743" width="9" style="7"/>
    <col min="2744" max="2745" width="0" style="7" hidden="1" customWidth="1"/>
    <col min="2746" max="2746" width="13.75" style="7" customWidth="1"/>
    <col min="2747" max="2747" width="52.875" style="7" customWidth="1"/>
    <col min="2748" max="2787" width="0" style="7" hidden="1" customWidth="1"/>
    <col min="2788" max="2789" width="14.875" style="7" customWidth="1"/>
    <col min="2790" max="2791" width="0" style="7" hidden="1" customWidth="1"/>
    <col min="2792" max="2792" width="14.875" style="7" customWidth="1"/>
    <col min="2793" max="2794" width="0" style="7" hidden="1" customWidth="1"/>
    <col min="2795" max="2795" width="14.875" style="7" customWidth="1"/>
    <col min="2796" max="2797" width="0" style="7" hidden="1" customWidth="1"/>
    <col min="2798" max="2798" width="14.875" style="7" customWidth="1"/>
    <col min="2799" max="2800" width="0" style="7" hidden="1" customWidth="1"/>
    <col min="2801" max="2801" width="14.875" style="7" customWidth="1"/>
    <col min="2802" max="2803" width="0" style="7" hidden="1" customWidth="1"/>
    <col min="2804" max="2805" width="14.875" style="7" customWidth="1"/>
    <col min="2806" max="2806" width="44.375" style="7" customWidth="1"/>
    <col min="2807" max="2811" width="14.875" style="7" customWidth="1"/>
    <col min="2812" max="2812" width="63.875" style="7" customWidth="1"/>
    <col min="2813" max="2813" width="13.25" style="7" customWidth="1"/>
    <col min="2814" max="2999" width="9" style="7"/>
    <col min="3000" max="3001" width="0" style="7" hidden="1" customWidth="1"/>
    <col min="3002" max="3002" width="13.75" style="7" customWidth="1"/>
    <col min="3003" max="3003" width="52.875" style="7" customWidth="1"/>
    <col min="3004" max="3043" width="0" style="7" hidden="1" customWidth="1"/>
    <col min="3044" max="3045" width="14.875" style="7" customWidth="1"/>
    <col min="3046" max="3047" width="0" style="7" hidden="1" customWidth="1"/>
    <col min="3048" max="3048" width="14.875" style="7" customWidth="1"/>
    <col min="3049" max="3050" width="0" style="7" hidden="1" customWidth="1"/>
    <col min="3051" max="3051" width="14.875" style="7" customWidth="1"/>
    <col min="3052" max="3053" width="0" style="7" hidden="1" customWidth="1"/>
    <col min="3054" max="3054" width="14.875" style="7" customWidth="1"/>
    <col min="3055" max="3056" width="0" style="7" hidden="1" customWidth="1"/>
    <col min="3057" max="3057" width="14.875" style="7" customWidth="1"/>
    <col min="3058" max="3059" width="0" style="7" hidden="1" customWidth="1"/>
    <col min="3060" max="3061" width="14.875" style="7" customWidth="1"/>
    <col min="3062" max="3062" width="44.375" style="7" customWidth="1"/>
    <col min="3063" max="3067" width="14.875" style="7" customWidth="1"/>
    <col min="3068" max="3068" width="63.875" style="7" customWidth="1"/>
    <col min="3069" max="3069" width="13.25" style="7" customWidth="1"/>
    <col min="3070" max="3255" width="9" style="7"/>
    <col min="3256" max="3257" width="0" style="7" hidden="1" customWidth="1"/>
    <col min="3258" max="3258" width="13.75" style="7" customWidth="1"/>
    <col min="3259" max="3259" width="52.875" style="7" customWidth="1"/>
    <col min="3260" max="3299" width="0" style="7" hidden="1" customWidth="1"/>
    <col min="3300" max="3301" width="14.875" style="7" customWidth="1"/>
    <col min="3302" max="3303" width="0" style="7" hidden="1" customWidth="1"/>
    <col min="3304" max="3304" width="14.875" style="7" customWidth="1"/>
    <col min="3305" max="3306" width="0" style="7" hidden="1" customWidth="1"/>
    <col min="3307" max="3307" width="14.875" style="7" customWidth="1"/>
    <col min="3308" max="3309" width="0" style="7" hidden="1" customWidth="1"/>
    <col min="3310" max="3310" width="14.875" style="7" customWidth="1"/>
    <col min="3311" max="3312" width="0" style="7" hidden="1" customWidth="1"/>
    <col min="3313" max="3313" width="14.875" style="7" customWidth="1"/>
    <col min="3314" max="3315" width="0" style="7" hidden="1" customWidth="1"/>
    <col min="3316" max="3317" width="14.875" style="7" customWidth="1"/>
    <col min="3318" max="3318" width="44.375" style="7" customWidth="1"/>
    <col min="3319" max="3323" width="14.875" style="7" customWidth="1"/>
    <col min="3324" max="3324" width="63.875" style="7" customWidth="1"/>
    <col min="3325" max="3325" width="13.25" style="7" customWidth="1"/>
    <col min="3326" max="3511" width="9" style="7"/>
    <col min="3512" max="3513" width="0" style="7" hidden="1" customWidth="1"/>
    <col min="3514" max="3514" width="13.75" style="7" customWidth="1"/>
    <col min="3515" max="3515" width="52.875" style="7" customWidth="1"/>
    <col min="3516" max="3555" width="0" style="7" hidden="1" customWidth="1"/>
    <col min="3556" max="3557" width="14.875" style="7" customWidth="1"/>
    <col min="3558" max="3559" width="0" style="7" hidden="1" customWidth="1"/>
    <col min="3560" max="3560" width="14.875" style="7" customWidth="1"/>
    <col min="3561" max="3562" width="0" style="7" hidden="1" customWidth="1"/>
    <col min="3563" max="3563" width="14.875" style="7" customWidth="1"/>
    <col min="3564" max="3565" width="0" style="7" hidden="1" customWidth="1"/>
    <col min="3566" max="3566" width="14.875" style="7" customWidth="1"/>
    <col min="3567" max="3568" width="0" style="7" hidden="1" customWidth="1"/>
    <col min="3569" max="3569" width="14.875" style="7" customWidth="1"/>
    <col min="3570" max="3571" width="0" style="7" hidden="1" customWidth="1"/>
    <col min="3572" max="3573" width="14.875" style="7" customWidth="1"/>
    <col min="3574" max="3574" width="44.375" style="7" customWidth="1"/>
    <col min="3575" max="3579" width="14.875" style="7" customWidth="1"/>
    <col min="3580" max="3580" width="63.875" style="7" customWidth="1"/>
    <col min="3581" max="3581" width="13.25" style="7" customWidth="1"/>
    <col min="3582" max="3767" width="9" style="7"/>
    <col min="3768" max="3769" width="0" style="7" hidden="1" customWidth="1"/>
    <col min="3770" max="3770" width="13.75" style="7" customWidth="1"/>
    <col min="3771" max="3771" width="52.875" style="7" customWidth="1"/>
    <col min="3772" max="3811" width="0" style="7" hidden="1" customWidth="1"/>
    <col min="3812" max="3813" width="14.875" style="7" customWidth="1"/>
    <col min="3814" max="3815" width="0" style="7" hidden="1" customWidth="1"/>
    <col min="3816" max="3816" width="14.875" style="7" customWidth="1"/>
    <col min="3817" max="3818" width="0" style="7" hidden="1" customWidth="1"/>
    <col min="3819" max="3819" width="14.875" style="7" customWidth="1"/>
    <col min="3820" max="3821" width="0" style="7" hidden="1" customWidth="1"/>
    <col min="3822" max="3822" width="14.875" style="7" customWidth="1"/>
    <col min="3823" max="3824" width="0" style="7" hidden="1" customWidth="1"/>
    <col min="3825" max="3825" width="14.875" style="7" customWidth="1"/>
    <col min="3826" max="3827" width="0" style="7" hidden="1" customWidth="1"/>
    <col min="3828" max="3829" width="14.875" style="7" customWidth="1"/>
    <col min="3830" max="3830" width="44.375" style="7" customWidth="1"/>
    <col min="3831" max="3835" width="14.875" style="7" customWidth="1"/>
    <col min="3836" max="3836" width="63.875" style="7" customWidth="1"/>
    <col min="3837" max="3837" width="13.25" style="7" customWidth="1"/>
    <col min="3838" max="4023" width="9" style="7"/>
    <col min="4024" max="4025" width="0" style="7" hidden="1" customWidth="1"/>
    <col min="4026" max="4026" width="13.75" style="7" customWidth="1"/>
    <col min="4027" max="4027" width="52.875" style="7" customWidth="1"/>
    <col min="4028" max="4067" width="0" style="7" hidden="1" customWidth="1"/>
    <col min="4068" max="4069" width="14.875" style="7" customWidth="1"/>
    <col min="4070" max="4071" width="0" style="7" hidden="1" customWidth="1"/>
    <col min="4072" max="4072" width="14.875" style="7" customWidth="1"/>
    <col min="4073" max="4074" width="0" style="7" hidden="1" customWidth="1"/>
    <col min="4075" max="4075" width="14.875" style="7" customWidth="1"/>
    <col min="4076" max="4077" width="0" style="7" hidden="1" customWidth="1"/>
    <col min="4078" max="4078" width="14.875" style="7" customWidth="1"/>
    <col min="4079" max="4080" width="0" style="7" hidden="1" customWidth="1"/>
    <col min="4081" max="4081" width="14.875" style="7" customWidth="1"/>
    <col min="4082" max="4083" width="0" style="7" hidden="1" customWidth="1"/>
    <col min="4084" max="4085" width="14.875" style="7" customWidth="1"/>
    <col min="4086" max="4086" width="44.375" style="7" customWidth="1"/>
    <col min="4087" max="4091" width="14.875" style="7" customWidth="1"/>
    <col min="4092" max="4092" width="63.875" style="7" customWidth="1"/>
    <col min="4093" max="4093" width="13.25" style="7" customWidth="1"/>
    <col min="4094" max="4279" width="9" style="7"/>
    <col min="4280" max="4281" width="0" style="7" hidden="1" customWidth="1"/>
    <col min="4282" max="4282" width="13.75" style="7" customWidth="1"/>
    <col min="4283" max="4283" width="52.875" style="7" customWidth="1"/>
    <col min="4284" max="4323" width="0" style="7" hidden="1" customWidth="1"/>
    <col min="4324" max="4325" width="14.875" style="7" customWidth="1"/>
    <col min="4326" max="4327" width="0" style="7" hidden="1" customWidth="1"/>
    <col min="4328" max="4328" width="14.875" style="7" customWidth="1"/>
    <col min="4329" max="4330" width="0" style="7" hidden="1" customWidth="1"/>
    <col min="4331" max="4331" width="14.875" style="7" customWidth="1"/>
    <col min="4332" max="4333" width="0" style="7" hidden="1" customWidth="1"/>
    <col min="4334" max="4334" width="14.875" style="7" customWidth="1"/>
    <col min="4335" max="4336" width="0" style="7" hidden="1" customWidth="1"/>
    <col min="4337" max="4337" width="14.875" style="7" customWidth="1"/>
    <col min="4338" max="4339" width="0" style="7" hidden="1" customWidth="1"/>
    <col min="4340" max="4341" width="14.875" style="7" customWidth="1"/>
    <col min="4342" max="4342" width="44.375" style="7" customWidth="1"/>
    <col min="4343" max="4347" width="14.875" style="7" customWidth="1"/>
    <col min="4348" max="4348" width="63.875" style="7" customWidth="1"/>
    <col min="4349" max="4349" width="13.25" style="7" customWidth="1"/>
    <col min="4350" max="4535" width="9" style="7"/>
    <col min="4536" max="4537" width="0" style="7" hidden="1" customWidth="1"/>
    <col min="4538" max="4538" width="13.75" style="7" customWidth="1"/>
    <col min="4539" max="4539" width="52.875" style="7" customWidth="1"/>
    <col min="4540" max="4579" width="0" style="7" hidden="1" customWidth="1"/>
    <col min="4580" max="4581" width="14.875" style="7" customWidth="1"/>
    <col min="4582" max="4583" width="0" style="7" hidden="1" customWidth="1"/>
    <col min="4584" max="4584" width="14.875" style="7" customWidth="1"/>
    <col min="4585" max="4586" width="0" style="7" hidden="1" customWidth="1"/>
    <col min="4587" max="4587" width="14.875" style="7" customWidth="1"/>
    <col min="4588" max="4589" width="0" style="7" hidden="1" customWidth="1"/>
    <col min="4590" max="4590" width="14.875" style="7" customWidth="1"/>
    <col min="4591" max="4592" width="0" style="7" hidden="1" customWidth="1"/>
    <col min="4593" max="4593" width="14.875" style="7" customWidth="1"/>
    <col min="4594" max="4595" width="0" style="7" hidden="1" customWidth="1"/>
    <col min="4596" max="4597" width="14.875" style="7" customWidth="1"/>
    <col min="4598" max="4598" width="44.375" style="7" customWidth="1"/>
    <col min="4599" max="4603" width="14.875" style="7" customWidth="1"/>
    <col min="4604" max="4604" width="63.875" style="7" customWidth="1"/>
    <col min="4605" max="4605" width="13.25" style="7" customWidth="1"/>
    <col min="4606" max="4791" width="9" style="7"/>
    <col min="4792" max="4793" width="0" style="7" hidden="1" customWidth="1"/>
    <col min="4794" max="4794" width="13.75" style="7" customWidth="1"/>
    <col min="4795" max="4795" width="52.875" style="7" customWidth="1"/>
    <col min="4796" max="4835" width="0" style="7" hidden="1" customWidth="1"/>
    <col min="4836" max="4837" width="14.875" style="7" customWidth="1"/>
    <col min="4838" max="4839" width="0" style="7" hidden="1" customWidth="1"/>
    <col min="4840" max="4840" width="14.875" style="7" customWidth="1"/>
    <col min="4841" max="4842" width="0" style="7" hidden="1" customWidth="1"/>
    <col min="4843" max="4843" width="14.875" style="7" customWidth="1"/>
    <col min="4844" max="4845" width="0" style="7" hidden="1" customWidth="1"/>
    <col min="4846" max="4846" width="14.875" style="7" customWidth="1"/>
    <col min="4847" max="4848" width="0" style="7" hidden="1" customWidth="1"/>
    <col min="4849" max="4849" width="14.875" style="7" customWidth="1"/>
    <col min="4850" max="4851" width="0" style="7" hidden="1" customWidth="1"/>
    <col min="4852" max="4853" width="14.875" style="7" customWidth="1"/>
    <col min="4854" max="4854" width="44.375" style="7" customWidth="1"/>
    <col min="4855" max="4859" width="14.875" style="7" customWidth="1"/>
    <col min="4860" max="4860" width="63.875" style="7" customWidth="1"/>
    <col min="4861" max="4861" width="13.25" style="7" customWidth="1"/>
    <col min="4862" max="5047" width="9" style="7"/>
    <col min="5048" max="5049" width="0" style="7" hidden="1" customWidth="1"/>
    <col min="5050" max="5050" width="13.75" style="7" customWidth="1"/>
    <col min="5051" max="5051" width="52.875" style="7" customWidth="1"/>
    <col min="5052" max="5091" width="0" style="7" hidden="1" customWidth="1"/>
    <col min="5092" max="5093" width="14.875" style="7" customWidth="1"/>
    <col min="5094" max="5095" width="0" style="7" hidden="1" customWidth="1"/>
    <col min="5096" max="5096" width="14.875" style="7" customWidth="1"/>
    <col min="5097" max="5098" width="0" style="7" hidden="1" customWidth="1"/>
    <col min="5099" max="5099" width="14.875" style="7" customWidth="1"/>
    <col min="5100" max="5101" width="0" style="7" hidden="1" customWidth="1"/>
    <col min="5102" max="5102" width="14.875" style="7" customWidth="1"/>
    <col min="5103" max="5104" width="0" style="7" hidden="1" customWidth="1"/>
    <col min="5105" max="5105" width="14.875" style="7" customWidth="1"/>
    <col min="5106" max="5107" width="0" style="7" hidden="1" customWidth="1"/>
    <col min="5108" max="5109" width="14.875" style="7" customWidth="1"/>
    <col min="5110" max="5110" width="44.375" style="7" customWidth="1"/>
    <col min="5111" max="5115" width="14.875" style="7" customWidth="1"/>
    <col min="5116" max="5116" width="63.875" style="7" customWidth="1"/>
    <col min="5117" max="5117" width="13.25" style="7" customWidth="1"/>
    <col min="5118" max="5303" width="9" style="7"/>
    <col min="5304" max="5305" width="0" style="7" hidden="1" customWidth="1"/>
    <col min="5306" max="5306" width="13.75" style="7" customWidth="1"/>
    <col min="5307" max="5307" width="52.875" style="7" customWidth="1"/>
    <col min="5308" max="5347" width="0" style="7" hidden="1" customWidth="1"/>
    <col min="5348" max="5349" width="14.875" style="7" customWidth="1"/>
    <col min="5350" max="5351" width="0" style="7" hidden="1" customWidth="1"/>
    <col min="5352" max="5352" width="14.875" style="7" customWidth="1"/>
    <col min="5353" max="5354" width="0" style="7" hidden="1" customWidth="1"/>
    <col min="5355" max="5355" width="14.875" style="7" customWidth="1"/>
    <col min="5356" max="5357" width="0" style="7" hidden="1" customWidth="1"/>
    <col min="5358" max="5358" width="14.875" style="7" customWidth="1"/>
    <col min="5359" max="5360" width="0" style="7" hidden="1" customWidth="1"/>
    <col min="5361" max="5361" width="14.875" style="7" customWidth="1"/>
    <col min="5362" max="5363" width="0" style="7" hidden="1" customWidth="1"/>
    <col min="5364" max="5365" width="14.875" style="7" customWidth="1"/>
    <col min="5366" max="5366" width="44.375" style="7" customWidth="1"/>
    <col min="5367" max="5371" width="14.875" style="7" customWidth="1"/>
    <col min="5372" max="5372" width="63.875" style="7" customWidth="1"/>
    <col min="5373" max="5373" width="13.25" style="7" customWidth="1"/>
    <col min="5374" max="5559" width="9" style="7"/>
    <col min="5560" max="5561" width="0" style="7" hidden="1" customWidth="1"/>
    <col min="5562" max="5562" width="13.75" style="7" customWidth="1"/>
    <col min="5563" max="5563" width="52.875" style="7" customWidth="1"/>
    <col min="5564" max="5603" width="0" style="7" hidden="1" customWidth="1"/>
    <col min="5604" max="5605" width="14.875" style="7" customWidth="1"/>
    <col min="5606" max="5607" width="0" style="7" hidden="1" customWidth="1"/>
    <col min="5608" max="5608" width="14.875" style="7" customWidth="1"/>
    <col min="5609" max="5610" width="0" style="7" hidden="1" customWidth="1"/>
    <col min="5611" max="5611" width="14.875" style="7" customWidth="1"/>
    <col min="5612" max="5613" width="0" style="7" hidden="1" customWidth="1"/>
    <col min="5614" max="5614" width="14.875" style="7" customWidth="1"/>
    <col min="5615" max="5616" width="0" style="7" hidden="1" customWidth="1"/>
    <col min="5617" max="5617" width="14.875" style="7" customWidth="1"/>
    <col min="5618" max="5619" width="0" style="7" hidden="1" customWidth="1"/>
    <col min="5620" max="5621" width="14.875" style="7" customWidth="1"/>
    <col min="5622" max="5622" width="44.375" style="7" customWidth="1"/>
    <col min="5623" max="5627" width="14.875" style="7" customWidth="1"/>
    <col min="5628" max="5628" width="63.875" style="7" customWidth="1"/>
    <col min="5629" max="5629" width="13.25" style="7" customWidth="1"/>
    <col min="5630" max="5815" width="9" style="7"/>
    <col min="5816" max="5817" width="0" style="7" hidden="1" customWidth="1"/>
    <col min="5818" max="5818" width="13.75" style="7" customWidth="1"/>
    <col min="5819" max="5819" width="52.875" style="7" customWidth="1"/>
    <col min="5820" max="5859" width="0" style="7" hidden="1" customWidth="1"/>
    <col min="5860" max="5861" width="14.875" style="7" customWidth="1"/>
    <col min="5862" max="5863" width="0" style="7" hidden="1" customWidth="1"/>
    <col min="5864" max="5864" width="14.875" style="7" customWidth="1"/>
    <col min="5865" max="5866" width="0" style="7" hidden="1" customWidth="1"/>
    <col min="5867" max="5867" width="14.875" style="7" customWidth="1"/>
    <col min="5868" max="5869" width="0" style="7" hidden="1" customWidth="1"/>
    <col min="5870" max="5870" width="14.875" style="7" customWidth="1"/>
    <col min="5871" max="5872" width="0" style="7" hidden="1" customWidth="1"/>
    <col min="5873" max="5873" width="14.875" style="7" customWidth="1"/>
    <col min="5874" max="5875" width="0" style="7" hidden="1" customWidth="1"/>
    <col min="5876" max="5877" width="14.875" style="7" customWidth="1"/>
    <col min="5878" max="5878" width="44.375" style="7" customWidth="1"/>
    <col min="5879" max="5883" width="14.875" style="7" customWidth="1"/>
    <col min="5884" max="5884" width="63.875" style="7" customWidth="1"/>
    <col min="5885" max="5885" width="13.25" style="7" customWidth="1"/>
    <col min="5886" max="6071" width="9" style="7"/>
    <col min="6072" max="6073" width="0" style="7" hidden="1" customWidth="1"/>
    <col min="6074" max="6074" width="13.75" style="7" customWidth="1"/>
    <col min="6075" max="6075" width="52.875" style="7" customWidth="1"/>
    <col min="6076" max="6115" width="0" style="7" hidden="1" customWidth="1"/>
    <col min="6116" max="6117" width="14.875" style="7" customWidth="1"/>
    <col min="6118" max="6119" width="0" style="7" hidden="1" customWidth="1"/>
    <col min="6120" max="6120" width="14.875" style="7" customWidth="1"/>
    <col min="6121" max="6122" width="0" style="7" hidden="1" customWidth="1"/>
    <col min="6123" max="6123" width="14.875" style="7" customWidth="1"/>
    <col min="6124" max="6125" width="0" style="7" hidden="1" customWidth="1"/>
    <col min="6126" max="6126" width="14.875" style="7" customWidth="1"/>
    <col min="6127" max="6128" width="0" style="7" hidden="1" customWidth="1"/>
    <col min="6129" max="6129" width="14.875" style="7" customWidth="1"/>
    <col min="6130" max="6131" width="0" style="7" hidden="1" customWidth="1"/>
    <col min="6132" max="6133" width="14.875" style="7" customWidth="1"/>
    <col min="6134" max="6134" width="44.375" style="7" customWidth="1"/>
    <col min="6135" max="6139" width="14.875" style="7" customWidth="1"/>
    <col min="6140" max="6140" width="63.875" style="7" customWidth="1"/>
    <col min="6141" max="6141" width="13.25" style="7" customWidth="1"/>
    <col min="6142" max="6327" width="9" style="7"/>
    <col min="6328" max="6329" width="0" style="7" hidden="1" customWidth="1"/>
    <col min="6330" max="6330" width="13.75" style="7" customWidth="1"/>
    <col min="6331" max="6331" width="52.875" style="7" customWidth="1"/>
    <col min="6332" max="6371" width="0" style="7" hidden="1" customWidth="1"/>
    <col min="6372" max="6373" width="14.875" style="7" customWidth="1"/>
    <col min="6374" max="6375" width="0" style="7" hidden="1" customWidth="1"/>
    <col min="6376" max="6376" width="14.875" style="7" customWidth="1"/>
    <col min="6377" max="6378" width="0" style="7" hidden="1" customWidth="1"/>
    <col min="6379" max="6379" width="14.875" style="7" customWidth="1"/>
    <col min="6380" max="6381" width="0" style="7" hidden="1" customWidth="1"/>
    <col min="6382" max="6382" width="14.875" style="7" customWidth="1"/>
    <col min="6383" max="6384" width="0" style="7" hidden="1" customWidth="1"/>
    <col min="6385" max="6385" width="14.875" style="7" customWidth="1"/>
    <col min="6386" max="6387" width="0" style="7" hidden="1" customWidth="1"/>
    <col min="6388" max="6389" width="14.875" style="7" customWidth="1"/>
    <col min="6390" max="6390" width="44.375" style="7" customWidth="1"/>
    <col min="6391" max="6395" width="14.875" style="7" customWidth="1"/>
    <col min="6396" max="6396" width="63.875" style="7" customWidth="1"/>
    <col min="6397" max="6397" width="13.25" style="7" customWidth="1"/>
    <col min="6398" max="6583" width="9" style="7"/>
    <col min="6584" max="6585" width="0" style="7" hidden="1" customWidth="1"/>
    <col min="6586" max="6586" width="13.75" style="7" customWidth="1"/>
    <col min="6587" max="6587" width="52.875" style="7" customWidth="1"/>
    <col min="6588" max="6627" width="0" style="7" hidden="1" customWidth="1"/>
    <col min="6628" max="6629" width="14.875" style="7" customWidth="1"/>
    <col min="6630" max="6631" width="0" style="7" hidden="1" customWidth="1"/>
    <col min="6632" max="6632" width="14.875" style="7" customWidth="1"/>
    <col min="6633" max="6634" width="0" style="7" hidden="1" customWidth="1"/>
    <col min="6635" max="6635" width="14.875" style="7" customWidth="1"/>
    <col min="6636" max="6637" width="0" style="7" hidden="1" customWidth="1"/>
    <col min="6638" max="6638" width="14.875" style="7" customWidth="1"/>
    <col min="6639" max="6640" width="0" style="7" hidden="1" customWidth="1"/>
    <col min="6641" max="6641" width="14.875" style="7" customWidth="1"/>
    <col min="6642" max="6643" width="0" style="7" hidden="1" customWidth="1"/>
    <col min="6644" max="6645" width="14.875" style="7" customWidth="1"/>
    <col min="6646" max="6646" width="44.375" style="7" customWidth="1"/>
    <col min="6647" max="6651" width="14.875" style="7" customWidth="1"/>
    <col min="6652" max="6652" width="63.875" style="7" customWidth="1"/>
    <col min="6653" max="6653" width="13.25" style="7" customWidth="1"/>
    <col min="6654" max="6839" width="9" style="7"/>
    <col min="6840" max="6841" width="0" style="7" hidden="1" customWidth="1"/>
    <col min="6842" max="6842" width="13.75" style="7" customWidth="1"/>
    <col min="6843" max="6843" width="52.875" style="7" customWidth="1"/>
    <col min="6844" max="6883" width="0" style="7" hidden="1" customWidth="1"/>
    <col min="6884" max="6885" width="14.875" style="7" customWidth="1"/>
    <col min="6886" max="6887" width="0" style="7" hidden="1" customWidth="1"/>
    <col min="6888" max="6888" width="14.875" style="7" customWidth="1"/>
    <col min="6889" max="6890" width="0" style="7" hidden="1" customWidth="1"/>
    <col min="6891" max="6891" width="14.875" style="7" customWidth="1"/>
    <col min="6892" max="6893" width="0" style="7" hidden="1" customWidth="1"/>
    <col min="6894" max="6894" width="14.875" style="7" customWidth="1"/>
    <col min="6895" max="6896" width="0" style="7" hidden="1" customWidth="1"/>
    <col min="6897" max="6897" width="14.875" style="7" customWidth="1"/>
    <col min="6898" max="6899" width="0" style="7" hidden="1" customWidth="1"/>
    <col min="6900" max="6901" width="14.875" style="7" customWidth="1"/>
    <col min="6902" max="6902" width="44.375" style="7" customWidth="1"/>
    <col min="6903" max="6907" width="14.875" style="7" customWidth="1"/>
    <col min="6908" max="6908" width="63.875" style="7" customWidth="1"/>
    <col min="6909" max="6909" width="13.25" style="7" customWidth="1"/>
    <col min="6910" max="7095" width="9" style="7"/>
    <col min="7096" max="7097" width="0" style="7" hidden="1" customWidth="1"/>
    <col min="7098" max="7098" width="13.75" style="7" customWidth="1"/>
    <col min="7099" max="7099" width="52.875" style="7" customWidth="1"/>
    <col min="7100" max="7139" width="0" style="7" hidden="1" customWidth="1"/>
    <col min="7140" max="7141" width="14.875" style="7" customWidth="1"/>
    <col min="7142" max="7143" width="0" style="7" hidden="1" customWidth="1"/>
    <col min="7144" max="7144" width="14.875" style="7" customWidth="1"/>
    <col min="7145" max="7146" width="0" style="7" hidden="1" customWidth="1"/>
    <col min="7147" max="7147" width="14.875" style="7" customWidth="1"/>
    <col min="7148" max="7149" width="0" style="7" hidden="1" customWidth="1"/>
    <col min="7150" max="7150" width="14.875" style="7" customWidth="1"/>
    <col min="7151" max="7152" width="0" style="7" hidden="1" customWidth="1"/>
    <col min="7153" max="7153" width="14.875" style="7" customWidth="1"/>
    <col min="7154" max="7155" width="0" style="7" hidden="1" customWidth="1"/>
    <col min="7156" max="7157" width="14.875" style="7" customWidth="1"/>
    <col min="7158" max="7158" width="44.375" style="7" customWidth="1"/>
    <col min="7159" max="7163" width="14.875" style="7" customWidth="1"/>
    <col min="7164" max="7164" width="63.875" style="7" customWidth="1"/>
    <col min="7165" max="7165" width="13.25" style="7" customWidth="1"/>
    <col min="7166" max="7351" width="9" style="7"/>
    <col min="7352" max="7353" width="0" style="7" hidden="1" customWidth="1"/>
    <col min="7354" max="7354" width="13.75" style="7" customWidth="1"/>
    <col min="7355" max="7355" width="52.875" style="7" customWidth="1"/>
    <col min="7356" max="7395" width="0" style="7" hidden="1" customWidth="1"/>
    <col min="7396" max="7397" width="14.875" style="7" customWidth="1"/>
    <col min="7398" max="7399" width="0" style="7" hidden="1" customWidth="1"/>
    <col min="7400" max="7400" width="14.875" style="7" customWidth="1"/>
    <col min="7401" max="7402" width="0" style="7" hidden="1" customWidth="1"/>
    <col min="7403" max="7403" width="14.875" style="7" customWidth="1"/>
    <col min="7404" max="7405" width="0" style="7" hidden="1" customWidth="1"/>
    <col min="7406" max="7406" width="14.875" style="7" customWidth="1"/>
    <col min="7407" max="7408" width="0" style="7" hidden="1" customWidth="1"/>
    <col min="7409" max="7409" width="14.875" style="7" customWidth="1"/>
    <col min="7410" max="7411" width="0" style="7" hidden="1" customWidth="1"/>
    <col min="7412" max="7413" width="14.875" style="7" customWidth="1"/>
    <col min="7414" max="7414" width="44.375" style="7" customWidth="1"/>
    <col min="7415" max="7419" width="14.875" style="7" customWidth="1"/>
    <col min="7420" max="7420" width="63.875" style="7" customWidth="1"/>
    <col min="7421" max="7421" width="13.25" style="7" customWidth="1"/>
    <col min="7422" max="7607" width="9" style="7"/>
    <col min="7608" max="7609" width="0" style="7" hidden="1" customWidth="1"/>
    <col min="7610" max="7610" width="13.75" style="7" customWidth="1"/>
    <col min="7611" max="7611" width="52.875" style="7" customWidth="1"/>
    <col min="7612" max="7651" width="0" style="7" hidden="1" customWidth="1"/>
    <col min="7652" max="7653" width="14.875" style="7" customWidth="1"/>
    <col min="7654" max="7655" width="0" style="7" hidden="1" customWidth="1"/>
    <col min="7656" max="7656" width="14.875" style="7" customWidth="1"/>
    <col min="7657" max="7658" width="0" style="7" hidden="1" customWidth="1"/>
    <col min="7659" max="7659" width="14.875" style="7" customWidth="1"/>
    <col min="7660" max="7661" width="0" style="7" hidden="1" customWidth="1"/>
    <col min="7662" max="7662" width="14.875" style="7" customWidth="1"/>
    <col min="7663" max="7664" width="0" style="7" hidden="1" customWidth="1"/>
    <col min="7665" max="7665" width="14.875" style="7" customWidth="1"/>
    <col min="7666" max="7667" width="0" style="7" hidden="1" customWidth="1"/>
    <col min="7668" max="7669" width="14.875" style="7" customWidth="1"/>
    <col min="7670" max="7670" width="44.375" style="7" customWidth="1"/>
    <col min="7671" max="7675" width="14.875" style="7" customWidth="1"/>
    <col min="7676" max="7676" width="63.875" style="7" customWidth="1"/>
    <col min="7677" max="7677" width="13.25" style="7" customWidth="1"/>
    <col min="7678" max="7863" width="9" style="7"/>
    <col min="7864" max="7865" width="0" style="7" hidden="1" customWidth="1"/>
    <col min="7866" max="7866" width="13.75" style="7" customWidth="1"/>
    <col min="7867" max="7867" width="52.875" style="7" customWidth="1"/>
    <col min="7868" max="7907" width="0" style="7" hidden="1" customWidth="1"/>
    <col min="7908" max="7909" width="14.875" style="7" customWidth="1"/>
    <col min="7910" max="7911" width="0" style="7" hidden="1" customWidth="1"/>
    <col min="7912" max="7912" width="14.875" style="7" customWidth="1"/>
    <col min="7913" max="7914" width="0" style="7" hidden="1" customWidth="1"/>
    <col min="7915" max="7915" width="14.875" style="7" customWidth="1"/>
    <col min="7916" max="7917" width="0" style="7" hidden="1" customWidth="1"/>
    <col min="7918" max="7918" width="14.875" style="7" customWidth="1"/>
    <col min="7919" max="7920" width="0" style="7" hidden="1" customWidth="1"/>
    <col min="7921" max="7921" width="14.875" style="7" customWidth="1"/>
    <col min="7922" max="7923" width="0" style="7" hidden="1" customWidth="1"/>
    <col min="7924" max="7925" width="14.875" style="7" customWidth="1"/>
    <col min="7926" max="7926" width="44.375" style="7" customWidth="1"/>
    <col min="7927" max="7931" width="14.875" style="7" customWidth="1"/>
    <col min="7932" max="7932" width="63.875" style="7" customWidth="1"/>
    <col min="7933" max="7933" width="13.25" style="7" customWidth="1"/>
    <col min="7934" max="8119" width="9" style="7"/>
    <col min="8120" max="8121" width="0" style="7" hidden="1" customWidth="1"/>
    <col min="8122" max="8122" width="13.75" style="7" customWidth="1"/>
    <col min="8123" max="8123" width="52.875" style="7" customWidth="1"/>
    <col min="8124" max="8163" width="0" style="7" hidden="1" customWidth="1"/>
    <col min="8164" max="8165" width="14.875" style="7" customWidth="1"/>
    <col min="8166" max="8167" width="0" style="7" hidden="1" customWidth="1"/>
    <col min="8168" max="8168" width="14.875" style="7" customWidth="1"/>
    <col min="8169" max="8170" width="0" style="7" hidden="1" customWidth="1"/>
    <col min="8171" max="8171" width="14.875" style="7" customWidth="1"/>
    <col min="8172" max="8173" width="0" style="7" hidden="1" customWidth="1"/>
    <col min="8174" max="8174" width="14.875" style="7" customWidth="1"/>
    <col min="8175" max="8176" width="0" style="7" hidden="1" customWidth="1"/>
    <col min="8177" max="8177" width="14.875" style="7" customWidth="1"/>
    <col min="8178" max="8179" width="0" style="7" hidden="1" customWidth="1"/>
    <col min="8180" max="8181" width="14.875" style="7" customWidth="1"/>
    <col min="8182" max="8182" width="44.375" style="7" customWidth="1"/>
    <col min="8183" max="8187" width="14.875" style="7" customWidth="1"/>
    <col min="8188" max="8188" width="63.875" style="7" customWidth="1"/>
    <col min="8189" max="8189" width="13.25" style="7" customWidth="1"/>
    <col min="8190" max="8375" width="9" style="7"/>
    <col min="8376" max="8377" width="0" style="7" hidden="1" customWidth="1"/>
    <col min="8378" max="8378" width="13.75" style="7" customWidth="1"/>
    <col min="8379" max="8379" width="52.875" style="7" customWidth="1"/>
    <col min="8380" max="8419" width="0" style="7" hidden="1" customWidth="1"/>
    <col min="8420" max="8421" width="14.875" style="7" customWidth="1"/>
    <col min="8422" max="8423" width="0" style="7" hidden="1" customWidth="1"/>
    <col min="8424" max="8424" width="14.875" style="7" customWidth="1"/>
    <col min="8425" max="8426" width="0" style="7" hidden="1" customWidth="1"/>
    <col min="8427" max="8427" width="14.875" style="7" customWidth="1"/>
    <col min="8428" max="8429" width="0" style="7" hidden="1" customWidth="1"/>
    <col min="8430" max="8430" width="14.875" style="7" customWidth="1"/>
    <col min="8431" max="8432" width="0" style="7" hidden="1" customWidth="1"/>
    <col min="8433" max="8433" width="14.875" style="7" customWidth="1"/>
    <col min="8434" max="8435" width="0" style="7" hidden="1" customWidth="1"/>
    <col min="8436" max="8437" width="14.875" style="7" customWidth="1"/>
    <col min="8438" max="8438" width="44.375" style="7" customWidth="1"/>
    <col min="8439" max="8443" width="14.875" style="7" customWidth="1"/>
    <col min="8444" max="8444" width="63.875" style="7" customWidth="1"/>
    <col min="8445" max="8445" width="13.25" style="7" customWidth="1"/>
    <col min="8446" max="8631" width="9" style="7"/>
    <col min="8632" max="8633" width="0" style="7" hidden="1" customWidth="1"/>
    <col min="8634" max="8634" width="13.75" style="7" customWidth="1"/>
    <col min="8635" max="8635" width="52.875" style="7" customWidth="1"/>
    <col min="8636" max="8675" width="0" style="7" hidden="1" customWidth="1"/>
    <col min="8676" max="8677" width="14.875" style="7" customWidth="1"/>
    <col min="8678" max="8679" width="0" style="7" hidden="1" customWidth="1"/>
    <col min="8680" max="8680" width="14.875" style="7" customWidth="1"/>
    <col min="8681" max="8682" width="0" style="7" hidden="1" customWidth="1"/>
    <col min="8683" max="8683" width="14.875" style="7" customWidth="1"/>
    <col min="8684" max="8685" width="0" style="7" hidden="1" customWidth="1"/>
    <col min="8686" max="8686" width="14.875" style="7" customWidth="1"/>
    <col min="8687" max="8688" width="0" style="7" hidden="1" customWidth="1"/>
    <col min="8689" max="8689" width="14.875" style="7" customWidth="1"/>
    <col min="8690" max="8691" width="0" style="7" hidden="1" customWidth="1"/>
    <col min="8692" max="8693" width="14.875" style="7" customWidth="1"/>
    <col min="8694" max="8694" width="44.375" style="7" customWidth="1"/>
    <col min="8695" max="8699" width="14.875" style="7" customWidth="1"/>
    <col min="8700" max="8700" width="63.875" style="7" customWidth="1"/>
    <col min="8701" max="8701" width="13.25" style="7" customWidth="1"/>
    <col min="8702" max="8887" width="9" style="7"/>
    <col min="8888" max="8889" width="0" style="7" hidden="1" customWidth="1"/>
    <col min="8890" max="8890" width="13.75" style="7" customWidth="1"/>
    <col min="8891" max="8891" width="52.875" style="7" customWidth="1"/>
    <col min="8892" max="8931" width="0" style="7" hidden="1" customWidth="1"/>
    <col min="8932" max="8933" width="14.875" style="7" customWidth="1"/>
    <col min="8934" max="8935" width="0" style="7" hidden="1" customWidth="1"/>
    <col min="8936" max="8936" width="14.875" style="7" customWidth="1"/>
    <col min="8937" max="8938" width="0" style="7" hidden="1" customWidth="1"/>
    <col min="8939" max="8939" width="14.875" style="7" customWidth="1"/>
    <col min="8940" max="8941" width="0" style="7" hidden="1" customWidth="1"/>
    <col min="8942" max="8942" width="14.875" style="7" customWidth="1"/>
    <col min="8943" max="8944" width="0" style="7" hidden="1" customWidth="1"/>
    <col min="8945" max="8945" width="14.875" style="7" customWidth="1"/>
    <col min="8946" max="8947" width="0" style="7" hidden="1" customWidth="1"/>
    <col min="8948" max="8949" width="14.875" style="7" customWidth="1"/>
    <col min="8950" max="8950" width="44.375" style="7" customWidth="1"/>
    <col min="8951" max="8955" width="14.875" style="7" customWidth="1"/>
    <col min="8956" max="8956" width="63.875" style="7" customWidth="1"/>
    <col min="8957" max="8957" width="13.25" style="7" customWidth="1"/>
    <col min="8958" max="9143" width="9" style="7"/>
    <col min="9144" max="9145" width="0" style="7" hidden="1" customWidth="1"/>
    <col min="9146" max="9146" width="13.75" style="7" customWidth="1"/>
    <col min="9147" max="9147" width="52.875" style="7" customWidth="1"/>
    <col min="9148" max="9187" width="0" style="7" hidden="1" customWidth="1"/>
    <col min="9188" max="9189" width="14.875" style="7" customWidth="1"/>
    <col min="9190" max="9191" width="0" style="7" hidden="1" customWidth="1"/>
    <col min="9192" max="9192" width="14.875" style="7" customWidth="1"/>
    <col min="9193" max="9194" width="0" style="7" hidden="1" customWidth="1"/>
    <col min="9195" max="9195" width="14.875" style="7" customWidth="1"/>
    <col min="9196" max="9197" width="0" style="7" hidden="1" customWidth="1"/>
    <col min="9198" max="9198" width="14.875" style="7" customWidth="1"/>
    <col min="9199" max="9200" width="0" style="7" hidden="1" customWidth="1"/>
    <col min="9201" max="9201" width="14.875" style="7" customWidth="1"/>
    <col min="9202" max="9203" width="0" style="7" hidden="1" customWidth="1"/>
    <col min="9204" max="9205" width="14.875" style="7" customWidth="1"/>
    <col min="9206" max="9206" width="44.375" style="7" customWidth="1"/>
    <col min="9207" max="9211" width="14.875" style="7" customWidth="1"/>
    <col min="9212" max="9212" width="63.875" style="7" customWidth="1"/>
    <col min="9213" max="9213" width="13.25" style="7" customWidth="1"/>
    <col min="9214" max="9399" width="9" style="7"/>
    <col min="9400" max="9401" width="0" style="7" hidden="1" customWidth="1"/>
    <col min="9402" max="9402" width="13.75" style="7" customWidth="1"/>
    <col min="9403" max="9403" width="52.875" style="7" customWidth="1"/>
    <col min="9404" max="9443" width="0" style="7" hidden="1" customWidth="1"/>
    <col min="9444" max="9445" width="14.875" style="7" customWidth="1"/>
    <col min="9446" max="9447" width="0" style="7" hidden="1" customWidth="1"/>
    <col min="9448" max="9448" width="14.875" style="7" customWidth="1"/>
    <col min="9449" max="9450" width="0" style="7" hidden="1" customWidth="1"/>
    <col min="9451" max="9451" width="14.875" style="7" customWidth="1"/>
    <col min="9452" max="9453" width="0" style="7" hidden="1" customWidth="1"/>
    <col min="9454" max="9454" width="14.875" style="7" customWidth="1"/>
    <col min="9455" max="9456" width="0" style="7" hidden="1" customWidth="1"/>
    <col min="9457" max="9457" width="14.875" style="7" customWidth="1"/>
    <col min="9458" max="9459" width="0" style="7" hidden="1" customWidth="1"/>
    <col min="9460" max="9461" width="14.875" style="7" customWidth="1"/>
    <col min="9462" max="9462" width="44.375" style="7" customWidth="1"/>
    <col min="9463" max="9467" width="14.875" style="7" customWidth="1"/>
    <col min="9468" max="9468" width="63.875" style="7" customWidth="1"/>
    <col min="9469" max="9469" width="13.25" style="7" customWidth="1"/>
    <col min="9470" max="9655" width="9" style="7"/>
    <col min="9656" max="9657" width="0" style="7" hidden="1" customWidth="1"/>
    <col min="9658" max="9658" width="13.75" style="7" customWidth="1"/>
    <col min="9659" max="9659" width="52.875" style="7" customWidth="1"/>
    <col min="9660" max="9699" width="0" style="7" hidden="1" customWidth="1"/>
    <col min="9700" max="9701" width="14.875" style="7" customWidth="1"/>
    <col min="9702" max="9703" width="0" style="7" hidden="1" customWidth="1"/>
    <col min="9704" max="9704" width="14.875" style="7" customWidth="1"/>
    <col min="9705" max="9706" width="0" style="7" hidden="1" customWidth="1"/>
    <col min="9707" max="9707" width="14.875" style="7" customWidth="1"/>
    <col min="9708" max="9709" width="0" style="7" hidden="1" customWidth="1"/>
    <col min="9710" max="9710" width="14.875" style="7" customWidth="1"/>
    <col min="9711" max="9712" width="0" style="7" hidden="1" customWidth="1"/>
    <col min="9713" max="9713" width="14.875" style="7" customWidth="1"/>
    <col min="9714" max="9715" width="0" style="7" hidden="1" customWidth="1"/>
    <col min="9716" max="9717" width="14.875" style="7" customWidth="1"/>
    <col min="9718" max="9718" width="44.375" style="7" customWidth="1"/>
    <col min="9719" max="9723" width="14.875" style="7" customWidth="1"/>
    <col min="9724" max="9724" width="63.875" style="7" customWidth="1"/>
    <col min="9725" max="9725" width="13.25" style="7" customWidth="1"/>
    <col min="9726" max="9911" width="9" style="7"/>
    <col min="9912" max="9913" width="0" style="7" hidden="1" customWidth="1"/>
    <col min="9914" max="9914" width="13.75" style="7" customWidth="1"/>
    <col min="9915" max="9915" width="52.875" style="7" customWidth="1"/>
    <col min="9916" max="9955" width="0" style="7" hidden="1" customWidth="1"/>
    <col min="9956" max="9957" width="14.875" style="7" customWidth="1"/>
    <col min="9958" max="9959" width="0" style="7" hidden="1" customWidth="1"/>
    <col min="9960" max="9960" width="14.875" style="7" customWidth="1"/>
    <col min="9961" max="9962" width="0" style="7" hidden="1" customWidth="1"/>
    <col min="9963" max="9963" width="14.875" style="7" customWidth="1"/>
    <col min="9964" max="9965" width="0" style="7" hidden="1" customWidth="1"/>
    <col min="9966" max="9966" width="14.875" style="7" customWidth="1"/>
    <col min="9967" max="9968" width="0" style="7" hidden="1" customWidth="1"/>
    <col min="9969" max="9969" width="14.875" style="7" customWidth="1"/>
    <col min="9970" max="9971" width="0" style="7" hidden="1" customWidth="1"/>
    <col min="9972" max="9973" width="14.875" style="7" customWidth="1"/>
    <col min="9974" max="9974" width="44.375" style="7" customWidth="1"/>
    <col min="9975" max="9979" width="14.875" style="7" customWidth="1"/>
    <col min="9980" max="9980" width="63.875" style="7" customWidth="1"/>
    <col min="9981" max="9981" width="13.25" style="7" customWidth="1"/>
    <col min="9982" max="10167" width="9" style="7"/>
    <col min="10168" max="10169" width="0" style="7" hidden="1" customWidth="1"/>
    <col min="10170" max="10170" width="13.75" style="7" customWidth="1"/>
    <col min="10171" max="10171" width="52.875" style="7" customWidth="1"/>
    <col min="10172" max="10211" width="0" style="7" hidden="1" customWidth="1"/>
    <col min="10212" max="10213" width="14.875" style="7" customWidth="1"/>
    <col min="10214" max="10215" width="0" style="7" hidden="1" customWidth="1"/>
    <col min="10216" max="10216" width="14.875" style="7" customWidth="1"/>
    <col min="10217" max="10218" width="0" style="7" hidden="1" customWidth="1"/>
    <col min="10219" max="10219" width="14.875" style="7" customWidth="1"/>
    <col min="10220" max="10221" width="0" style="7" hidden="1" customWidth="1"/>
    <col min="10222" max="10222" width="14.875" style="7" customWidth="1"/>
    <col min="10223" max="10224" width="0" style="7" hidden="1" customWidth="1"/>
    <col min="10225" max="10225" width="14.875" style="7" customWidth="1"/>
    <col min="10226" max="10227" width="0" style="7" hidden="1" customWidth="1"/>
    <col min="10228" max="10229" width="14.875" style="7" customWidth="1"/>
    <col min="10230" max="10230" width="44.375" style="7" customWidth="1"/>
    <col min="10231" max="10235" width="14.875" style="7" customWidth="1"/>
    <col min="10236" max="10236" width="63.875" style="7" customWidth="1"/>
    <col min="10237" max="10237" width="13.25" style="7" customWidth="1"/>
    <col min="10238" max="10423" width="9" style="7"/>
    <col min="10424" max="10425" width="0" style="7" hidden="1" customWidth="1"/>
    <col min="10426" max="10426" width="13.75" style="7" customWidth="1"/>
    <col min="10427" max="10427" width="52.875" style="7" customWidth="1"/>
    <col min="10428" max="10467" width="0" style="7" hidden="1" customWidth="1"/>
    <col min="10468" max="10469" width="14.875" style="7" customWidth="1"/>
    <col min="10470" max="10471" width="0" style="7" hidden="1" customWidth="1"/>
    <col min="10472" max="10472" width="14.875" style="7" customWidth="1"/>
    <col min="10473" max="10474" width="0" style="7" hidden="1" customWidth="1"/>
    <col min="10475" max="10475" width="14.875" style="7" customWidth="1"/>
    <col min="10476" max="10477" width="0" style="7" hidden="1" customWidth="1"/>
    <col min="10478" max="10478" width="14.875" style="7" customWidth="1"/>
    <col min="10479" max="10480" width="0" style="7" hidden="1" customWidth="1"/>
    <col min="10481" max="10481" width="14.875" style="7" customWidth="1"/>
    <col min="10482" max="10483" width="0" style="7" hidden="1" customWidth="1"/>
    <col min="10484" max="10485" width="14.875" style="7" customWidth="1"/>
    <col min="10486" max="10486" width="44.375" style="7" customWidth="1"/>
    <col min="10487" max="10491" width="14.875" style="7" customWidth="1"/>
    <col min="10492" max="10492" width="63.875" style="7" customWidth="1"/>
    <col min="10493" max="10493" width="13.25" style="7" customWidth="1"/>
    <col min="10494" max="10679" width="9" style="7"/>
    <col min="10680" max="10681" width="0" style="7" hidden="1" customWidth="1"/>
    <col min="10682" max="10682" width="13.75" style="7" customWidth="1"/>
    <col min="10683" max="10683" width="52.875" style="7" customWidth="1"/>
    <col min="10684" max="10723" width="0" style="7" hidden="1" customWidth="1"/>
    <col min="10724" max="10725" width="14.875" style="7" customWidth="1"/>
    <col min="10726" max="10727" width="0" style="7" hidden="1" customWidth="1"/>
    <col min="10728" max="10728" width="14.875" style="7" customWidth="1"/>
    <col min="10729" max="10730" width="0" style="7" hidden="1" customWidth="1"/>
    <col min="10731" max="10731" width="14.875" style="7" customWidth="1"/>
    <col min="10732" max="10733" width="0" style="7" hidden="1" customWidth="1"/>
    <col min="10734" max="10734" width="14.875" style="7" customWidth="1"/>
    <col min="10735" max="10736" width="0" style="7" hidden="1" customWidth="1"/>
    <col min="10737" max="10737" width="14.875" style="7" customWidth="1"/>
    <col min="10738" max="10739" width="0" style="7" hidden="1" customWidth="1"/>
    <col min="10740" max="10741" width="14.875" style="7" customWidth="1"/>
    <col min="10742" max="10742" width="44.375" style="7" customWidth="1"/>
    <col min="10743" max="10747" width="14.875" style="7" customWidth="1"/>
    <col min="10748" max="10748" width="63.875" style="7" customWidth="1"/>
    <col min="10749" max="10749" width="13.25" style="7" customWidth="1"/>
    <col min="10750" max="10935" width="9" style="7"/>
    <col min="10936" max="10937" width="0" style="7" hidden="1" customWidth="1"/>
    <col min="10938" max="10938" width="13.75" style="7" customWidth="1"/>
    <col min="10939" max="10939" width="52.875" style="7" customWidth="1"/>
    <col min="10940" max="10979" width="0" style="7" hidden="1" customWidth="1"/>
    <col min="10980" max="10981" width="14.875" style="7" customWidth="1"/>
    <col min="10982" max="10983" width="0" style="7" hidden="1" customWidth="1"/>
    <col min="10984" max="10984" width="14.875" style="7" customWidth="1"/>
    <col min="10985" max="10986" width="0" style="7" hidden="1" customWidth="1"/>
    <col min="10987" max="10987" width="14.875" style="7" customWidth="1"/>
    <col min="10988" max="10989" width="0" style="7" hidden="1" customWidth="1"/>
    <col min="10990" max="10990" width="14.875" style="7" customWidth="1"/>
    <col min="10991" max="10992" width="0" style="7" hidden="1" customWidth="1"/>
    <col min="10993" max="10993" width="14.875" style="7" customWidth="1"/>
    <col min="10994" max="10995" width="0" style="7" hidden="1" customWidth="1"/>
    <col min="10996" max="10997" width="14.875" style="7" customWidth="1"/>
    <col min="10998" max="10998" width="44.375" style="7" customWidth="1"/>
    <col min="10999" max="11003" width="14.875" style="7" customWidth="1"/>
    <col min="11004" max="11004" width="63.875" style="7" customWidth="1"/>
    <col min="11005" max="11005" width="13.25" style="7" customWidth="1"/>
    <col min="11006" max="11191" width="9" style="7"/>
    <col min="11192" max="11193" width="0" style="7" hidden="1" customWidth="1"/>
    <col min="11194" max="11194" width="13.75" style="7" customWidth="1"/>
    <col min="11195" max="11195" width="52.875" style="7" customWidth="1"/>
    <col min="11196" max="11235" width="0" style="7" hidden="1" customWidth="1"/>
    <col min="11236" max="11237" width="14.875" style="7" customWidth="1"/>
    <col min="11238" max="11239" width="0" style="7" hidden="1" customWidth="1"/>
    <col min="11240" max="11240" width="14.875" style="7" customWidth="1"/>
    <col min="11241" max="11242" width="0" style="7" hidden="1" customWidth="1"/>
    <col min="11243" max="11243" width="14.875" style="7" customWidth="1"/>
    <col min="11244" max="11245" width="0" style="7" hidden="1" customWidth="1"/>
    <col min="11246" max="11246" width="14.875" style="7" customWidth="1"/>
    <col min="11247" max="11248" width="0" style="7" hidden="1" customWidth="1"/>
    <col min="11249" max="11249" width="14.875" style="7" customWidth="1"/>
    <col min="11250" max="11251" width="0" style="7" hidden="1" customWidth="1"/>
    <col min="11252" max="11253" width="14.875" style="7" customWidth="1"/>
    <col min="11254" max="11254" width="44.375" style="7" customWidth="1"/>
    <col min="11255" max="11259" width="14.875" style="7" customWidth="1"/>
    <col min="11260" max="11260" width="63.875" style="7" customWidth="1"/>
    <col min="11261" max="11261" width="13.25" style="7" customWidth="1"/>
    <col min="11262" max="11447" width="9" style="7"/>
    <col min="11448" max="11449" width="0" style="7" hidden="1" customWidth="1"/>
    <col min="11450" max="11450" width="13.75" style="7" customWidth="1"/>
    <col min="11451" max="11451" width="52.875" style="7" customWidth="1"/>
    <col min="11452" max="11491" width="0" style="7" hidden="1" customWidth="1"/>
    <col min="11492" max="11493" width="14.875" style="7" customWidth="1"/>
    <col min="11494" max="11495" width="0" style="7" hidden="1" customWidth="1"/>
    <col min="11496" max="11496" width="14.875" style="7" customWidth="1"/>
    <col min="11497" max="11498" width="0" style="7" hidden="1" customWidth="1"/>
    <col min="11499" max="11499" width="14.875" style="7" customWidth="1"/>
    <col min="11500" max="11501" width="0" style="7" hidden="1" customWidth="1"/>
    <col min="11502" max="11502" width="14.875" style="7" customWidth="1"/>
    <col min="11503" max="11504" width="0" style="7" hidden="1" customWidth="1"/>
    <col min="11505" max="11505" width="14.875" style="7" customWidth="1"/>
    <col min="11506" max="11507" width="0" style="7" hidden="1" customWidth="1"/>
    <col min="11508" max="11509" width="14.875" style="7" customWidth="1"/>
    <col min="11510" max="11510" width="44.375" style="7" customWidth="1"/>
    <col min="11511" max="11515" width="14.875" style="7" customWidth="1"/>
    <col min="11516" max="11516" width="63.875" style="7" customWidth="1"/>
    <col min="11517" max="11517" width="13.25" style="7" customWidth="1"/>
    <col min="11518" max="11703" width="9" style="7"/>
    <col min="11704" max="11705" width="0" style="7" hidden="1" customWidth="1"/>
    <col min="11706" max="11706" width="13.75" style="7" customWidth="1"/>
    <col min="11707" max="11707" width="52.875" style="7" customWidth="1"/>
    <col min="11708" max="11747" width="0" style="7" hidden="1" customWidth="1"/>
    <col min="11748" max="11749" width="14.875" style="7" customWidth="1"/>
    <col min="11750" max="11751" width="0" style="7" hidden="1" customWidth="1"/>
    <col min="11752" max="11752" width="14.875" style="7" customWidth="1"/>
    <col min="11753" max="11754" width="0" style="7" hidden="1" customWidth="1"/>
    <col min="11755" max="11755" width="14.875" style="7" customWidth="1"/>
    <col min="11756" max="11757" width="0" style="7" hidden="1" customWidth="1"/>
    <col min="11758" max="11758" width="14.875" style="7" customWidth="1"/>
    <col min="11759" max="11760" width="0" style="7" hidden="1" customWidth="1"/>
    <col min="11761" max="11761" width="14.875" style="7" customWidth="1"/>
    <col min="11762" max="11763" width="0" style="7" hidden="1" customWidth="1"/>
    <col min="11764" max="11765" width="14.875" style="7" customWidth="1"/>
    <col min="11766" max="11766" width="44.375" style="7" customWidth="1"/>
    <col min="11767" max="11771" width="14.875" style="7" customWidth="1"/>
    <col min="11772" max="11772" width="63.875" style="7" customWidth="1"/>
    <col min="11773" max="11773" width="13.25" style="7" customWidth="1"/>
    <col min="11774" max="11959" width="9" style="7"/>
    <col min="11960" max="11961" width="0" style="7" hidden="1" customWidth="1"/>
    <col min="11962" max="11962" width="13.75" style="7" customWidth="1"/>
    <col min="11963" max="11963" width="52.875" style="7" customWidth="1"/>
    <col min="11964" max="12003" width="0" style="7" hidden="1" customWidth="1"/>
    <col min="12004" max="12005" width="14.875" style="7" customWidth="1"/>
    <col min="12006" max="12007" width="0" style="7" hidden="1" customWidth="1"/>
    <col min="12008" max="12008" width="14.875" style="7" customWidth="1"/>
    <col min="12009" max="12010" width="0" style="7" hidden="1" customWidth="1"/>
    <col min="12011" max="12011" width="14.875" style="7" customWidth="1"/>
    <col min="12012" max="12013" width="0" style="7" hidden="1" customWidth="1"/>
    <col min="12014" max="12014" width="14.875" style="7" customWidth="1"/>
    <col min="12015" max="12016" width="0" style="7" hidden="1" customWidth="1"/>
    <col min="12017" max="12017" width="14.875" style="7" customWidth="1"/>
    <col min="12018" max="12019" width="0" style="7" hidden="1" customWidth="1"/>
    <col min="12020" max="12021" width="14.875" style="7" customWidth="1"/>
    <col min="12022" max="12022" width="44.375" style="7" customWidth="1"/>
    <col min="12023" max="12027" width="14.875" style="7" customWidth="1"/>
    <col min="12028" max="12028" width="63.875" style="7" customWidth="1"/>
    <col min="12029" max="12029" width="13.25" style="7" customWidth="1"/>
    <col min="12030" max="12215" width="9" style="7"/>
    <col min="12216" max="12217" width="0" style="7" hidden="1" customWidth="1"/>
    <col min="12218" max="12218" width="13.75" style="7" customWidth="1"/>
    <col min="12219" max="12219" width="52.875" style="7" customWidth="1"/>
    <col min="12220" max="12259" width="0" style="7" hidden="1" customWidth="1"/>
    <col min="12260" max="12261" width="14.875" style="7" customWidth="1"/>
    <col min="12262" max="12263" width="0" style="7" hidden="1" customWidth="1"/>
    <col min="12264" max="12264" width="14.875" style="7" customWidth="1"/>
    <col min="12265" max="12266" width="0" style="7" hidden="1" customWidth="1"/>
    <col min="12267" max="12267" width="14.875" style="7" customWidth="1"/>
    <col min="12268" max="12269" width="0" style="7" hidden="1" customWidth="1"/>
    <col min="12270" max="12270" width="14.875" style="7" customWidth="1"/>
    <col min="12271" max="12272" width="0" style="7" hidden="1" customWidth="1"/>
    <col min="12273" max="12273" width="14.875" style="7" customWidth="1"/>
    <col min="12274" max="12275" width="0" style="7" hidden="1" customWidth="1"/>
    <col min="12276" max="12277" width="14.875" style="7" customWidth="1"/>
    <col min="12278" max="12278" width="44.375" style="7" customWidth="1"/>
    <col min="12279" max="12283" width="14.875" style="7" customWidth="1"/>
    <col min="12284" max="12284" width="63.875" style="7" customWidth="1"/>
    <col min="12285" max="12285" width="13.25" style="7" customWidth="1"/>
    <col min="12286" max="12471" width="9" style="7"/>
    <col min="12472" max="12473" width="0" style="7" hidden="1" customWidth="1"/>
    <col min="12474" max="12474" width="13.75" style="7" customWidth="1"/>
    <col min="12475" max="12475" width="52.875" style="7" customWidth="1"/>
    <col min="12476" max="12515" width="0" style="7" hidden="1" customWidth="1"/>
    <col min="12516" max="12517" width="14.875" style="7" customWidth="1"/>
    <col min="12518" max="12519" width="0" style="7" hidden="1" customWidth="1"/>
    <col min="12520" max="12520" width="14.875" style="7" customWidth="1"/>
    <col min="12521" max="12522" width="0" style="7" hidden="1" customWidth="1"/>
    <col min="12523" max="12523" width="14.875" style="7" customWidth="1"/>
    <col min="12524" max="12525" width="0" style="7" hidden="1" customWidth="1"/>
    <col min="12526" max="12526" width="14.875" style="7" customWidth="1"/>
    <col min="12527" max="12528" width="0" style="7" hidden="1" customWidth="1"/>
    <col min="12529" max="12529" width="14.875" style="7" customWidth="1"/>
    <col min="12530" max="12531" width="0" style="7" hidden="1" customWidth="1"/>
    <col min="12532" max="12533" width="14.875" style="7" customWidth="1"/>
    <col min="12534" max="12534" width="44.375" style="7" customWidth="1"/>
    <col min="12535" max="12539" width="14.875" style="7" customWidth="1"/>
    <col min="12540" max="12540" width="63.875" style="7" customWidth="1"/>
    <col min="12541" max="12541" width="13.25" style="7" customWidth="1"/>
    <col min="12542" max="12727" width="9" style="7"/>
    <col min="12728" max="12729" width="0" style="7" hidden="1" customWidth="1"/>
    <col min="12730" max="12730" width="13.75" style="7" customWidth="1"/>
    <col min="12731" max="12731" width="52.875" style="7" customWidth="1"/>
    <col min="12732" max="12771" width="0" style="7" hidden="1" customWidth="1"/>
    <col min="12772" max="12773" width="14.875" style="7" customWidth="1"/>
    <col min="12774" max="12775" width="0" style="7" hidden="1" customWidth="1"/>
    <col min="12776" max="12776" width="14.875" style="7" customWidth="1"/>
    <col min="12777" max="12778" width="0" style="7" hidden="1" customWidth="1"/>
    <col min="12779" max="12779" width="14.875" style="7" customWidth="1"/>
    <col min="12780" max="12781" width="0" style="7" hidden="1" customWidth="1"/>
    <col min="12782" max="12782" width="14.875" style="7" customWidth="1"/>
    <col min="12783" max="12784" width="0" style="7" hidden="1" customWidth="1"/>
    <col min="12785" max="12785" width="14.875" style="7" customWidth="1"/>
    <col min="12786" max="12787" width="0" style="7" hidden="1" customWidth="1"/>
    <col min="12788" max="12789" width="14.875" style="7" customWidth="1"/>
    <col min="12790" max="12790" width="44.375" style="7" customWidth="1"/>
    <col min="12791" max="12795" width="14.875" style="7" customWidth="1"/>
    <col min="12796" max="12796" width="63.875" style="7" customWidth="1"/>
    <col min="12797" max="12797" width="13.25" style="7" customWidth="1"/>
    <col min="12798" max="12983" width="9" style="7"/>
    <col min="12984" max="12985" width="0" style="7" hidden="1" customWidth="1"/>
    <col min="12986" max="12986" width="13.75" style="7" customWidth="1"/>
    <col min="12987" max="12987" width="52.875" style="7" customWidth="1"/>
    <col min="12988" max="13027" width="0" style="7" hidden="1" customWidth="1"/>
    <col min="13028" max="13029" width="14.875" style="7" customWidth="1"/>
    <col min="13030" max="13031" width="0" style="7" hidden="1" customWidth="1"/>
    <col min="13032" max="13032" width="14.875" style="7" customWidth="1"/>
    <col min="13033" max="13034" width="0" style="7" hidden="1" customWidth="1"/>
    <col min="13035" max="13035" width="14.875" style="7" customWidth="1"/>
    <col min="13036" max="13037" width="0" style="7" hidden="1" customWidth="1"/>
    <col min="13038" max="13038" width="14.875" style="7" customWidth="1"/>
    <col min="13039" max="13040" width="0" style="7" hidden="1" customWidth="1"/>
    <col min="13041" max="13041" width="14.875" style="7" customWidth="1"/>
    <col min="13042" max="13043" width="0" style="7" hidden="1" customWidth="1"/>
    <col min="13044" max="13045" width="14.875" style="7" customWidth="1"/>
    <col min="13046" max="13046" width="44.375" style="7" customWidth="1"/>
    <col min="13047" max="13051" width="14.875" style="7" customWidth="1"/>
    <col min="13052" max="13052" width="63.875" style="7" customWidth="1"/>
    <col min="13053" max="13053" width="13.25" style="7" customWidth="1"/>
    <col min="13054" max="13239" width="9" style="7"/>
    <col min="13240" max="13241" width="0" style="7" hidden="1" customWidth="1"/>
    <col min="13242" max="13242" width="13.75" style="7" customWidth="1"/>
    <col min="13243" max="13243" width="52.875" style="7" customWidth="1"/>
    <col min="13244" max="13283" width="0" style="7" hidden="1" customWidth="1"/>
    <col min="13284" max="13285" width="14.875" style="7" customWidth="1"/>
    <col min="13286" max="13287" width="0" style="7" hidden="1" customWidth="1"/>
    <col min="13288" max="13288" width="14.875" style="7" customWidth="1"/>
    <col min="13289" max="13290" width="0" style="7" hidden="1" customWidth="1"/>
    <col min="13291" max="13291" width="14.875" style="7" customWidth="1"/>
    <col min="13292" max="13293" width="0" style="7" hidden="1" customWidth="1"/>
    <col min="13294" max="13294" width="14.875" style="7" customWidth="1"/>
    <col min="13295" max="13296" width="0" style="7" hidden="1" customWidth="1"/>
    <col min="13297" max="13297" width="14.875" style="7" customWidth="1"/>
    <col min="13298" max="13299" width="0" style="7" hidden="1" customWidth="1"/>
    <col min="13300" max="13301" width="14.875" style="7" customWidth="1"/>
    <col min="13302" max="13302" width="44.375" style="7" customWidth="1"/>
    <col min="13303" max="13307" width="14.875" style="7" customWidth="1"/>
    <col min="13308" max="13308" width="63.875" style="7" customWidth="1"/>
    <col min="13309" max="13309" width="13.25" style="7" customWidth="1"/>
    <col min="13310" max="13495" width="9" style="7"/>
    <col min="13496" max="13497" width="0" style="7" hidden="1" customWidth="1"/>
    <col min="13498" max="13498" width="13.75" style="7" customWidth="1"/>
    <col min="13499" max="13499" width="52.875" style="7" customWidth="1"/>
    <col min="13500" max="13539" width="0" style="7" hidden="1" customWidth="1"/>
    <col min="13540" max="13541" width="14.875" style="7" customWidth="1"/>
    <col min="13542" max="13543" width="0" style="7" hidden="1" customWidth="1"/>
    <col min="13544" max="13544" width="14.875" style="7" customWidth="1"/>
    <col min="13545" max="13546" width="0" style="7" hidden="1" customWidth="1"/>
    <col min="13547" max="13547" width="14.875" style="7" customWidth="1"/>
    <col min="13548" max="13549" width="0" style="7" hidden="1" customWidth="1"/>
    <col min="13550" max="13550" width="14.875" style="7" customWidth="1"/>
    <col min="13551" max="13552" width="0" style="7" hidden="1" customWidth="1"/>
    <col min="13553" max="13553" width="14.875" style="7" customWidth="1"/>
    <col min="13554" max="13555" width="0" style="7" hidden="1" customWidth="1"/>
    <col min="13556" max="13557" width="14.875" style="7" customWidth="1"/>
    <col min="13558" max="13558" width="44.375" style="7" customWidth="1"/>
    <col min="13559" max="13563" width="14.875" style="7" customWidth="1"/>
    <col min="13564" max="13564" width="63.875" style="7" customWidth="1"/>
    <col min="13565" max="13565" width="13.25" style="7" customWidth="1"/>
    <col min="13566" max="13751" width="9" style="7"/>
    <col min="13752" max="13753" width="0" style="7" hidden="1" customWidth="1"/>
    <col min="13754" max="13754" width="13.75" style="7" customWidth="1"/>
    <col min="13755" max="13755" width="52.875" style="7" customWidth="1"/>
    <col min="13756" max="13795" width="0" style="7" hidden="1" customWidth="1"/>
    <col min="13796" max="13797" width="14.875" style="7" customWidth="1"/>
    <col min="13798" max="13799" width="0" style="7" hidden="1" customWidth="1"/>
    <col min="13800" max="13800" width="14.875" style="7" customWidth="1"/>
    <col min="13801" max="13802" width="0" style="7" hidden="1" customWidth="1"/>
    <col min="13803" max="13803" width="14.875" style="7" customWidth="1"/>
    <col min="13804" max="13805" width="0" style="7" hidden="1" customWidth="1"/>
    <col min="13806" max="13806" width="14.875" style="7" customWidth="1"/>
    <col min="13807" max="13808" width="0" style="7" hidden="1" customWidth="1"/>
    <col min="13809" max="13809" width="14.875" style="7" customWidth="1"/>
    <col min="13810" max="13811" width="0" style="7" hidden="1" customWidth="1"/>
    <col min="13812" max="13813" width="14.875" style="7" customWidth="1"/>
    <col min="13814" max="13814" width="44.375" style="7" customWidth="1"/>
    <col min="13815" max="13819" width="14.875" style="7" customWidth="1"/>
    <col min="13820" max="13820" width="63.875" style="7" customWidth="1"/>
    <col min="13821" max="13821" width="13.25" style="7" customWidth="1"/>
    <col min="13822" max="14007" width="9" style="7"/>
    <col min="14008" max="14009" width="0" style="7" hidden="1" customWidth="1"/>
    <col min="14010" max="14010" width="13.75" style="7" customWidth="1"/>
    <col min="14011" max="14011" width="52.875" style="7" customWidth="1"/>
    <col min="14012" max="14051" width="0" style="7" hidden="1" customWidth="1"/>
    <col min="14052" max="14053" width="14.875" style="7" customWidth="1"/>
    <col min="14054" max="14055" width="0" style="7" hidden="1" customWidth="1"/>
    <col min="14056" max="14056" width="14.875" style="7" customWidth="1"/>
    <col min="14057" max="14058" width="0" style="7" hidden="1" customWidth="1"/>
    <col min="14059" max="14059" width="14.875" style="7" customWidth="1"/>
    <col min="14060" max="14061" width="0" style="7" hidden="1" customWidth="1"/>
    <col min="14062" max="14062" width="14.875" style="7" customWidth="1"/>
    <col min="14063" max="14064" width="0" style="7" hidden="1" customWidth="1"/>
    <col min="14065" max="14065" width="14.875" style="7" customWidth="1"/>
    <col min="14066" max="14067" width="0" style="7" hidden="1" customWidth="1"/>
    <col min="14068" max="14069" width="14.875" style="7" customWidth="1"/>
    <col min="14070" max="14070" width="44.375" style="7" customWidth="1"/>
    <col min="14071" max="14075" width="14.875" style="7" customWidth="1"/>
    <col min="14076" max="14076" width="63.875" style="7" customWidth="1"/>
    <col min="14077" max="14077" width="13.25" style="7" customWidth="1"/>
    <col min="14078" max="14263" width="9" style="7"/>
    <col min="14264" max="14265" width="0" style="7" hidden="1" customWidth="1"/>
    <col min="14266" max="14266" width="13.75" style="7" customWidth="1"/>
    <col min="14267" max="14267" width="52.875" style="7" customWidth="1"/>
    <col min="14268" max="14307" width="0" style="7" hidden="1" customWidth="1"/>
    <col min="14308" max="14309" width="14.875" style="7" customWidth="1"/>
    <col min="14310" max="14311" width="0" style="7" hidden="1" customWidth="1"/>
    <col min="14312" max="14312" width="14.875" style="7" customWidth="1"/>
    <col min="14313" max="14314" width="0" style="7" hidden="1" customWidth="1"/>
    <col min="14315" max="14315" width="14.875" style="7" customWidth="1"/>
    <col min="14316" max="14317" width="0" style="7" hidden="1" customWidth="1"/>
    <col min="14318" max="14318" width="14.875" style="7" customWidth="1"/>
    <col min="14319" max="14320" width="0" style="7" hidden="1" customWidth="1"/>
    <col min="14321" max="14321" width="14.875" style="7" customWidth="1"/>
    <col min="14322" max="14323" width="0" style="7" hidden="1" customWidth="1"/>
    <col min="14324" max="14325" width="14.875" style="7" customWidth="1"/>
    <col min="14326" max="14326" width="44.375" style="7" customWidth="1"/>
    <col min="14327" max="14331" width="14.875" style="7" customWidth="1"/>
    <col min="14332" max="14332" width="63.875" style="7" customWidth="1"/>
    <col min="14333" max="14333" width="13.25" style="7" customWidth="1"/>
    <col min="14334" max="14519" width="9" style="7"/>
    <col min="14520" max="14521" width="0" style="7" hidden="1" customWidth="1"/>
    <col min="14522" max="14522" width="13.75" style="7" customWidth="1"/>
    <col min="14523" max="14523" width="52.875" style="7" customWidth="1"/>
    <col min="14524" max="14563" width="0" style="7" hidden="1" customWidth="1"/>
    <col min="14564" max="14565" width="14.875" style="7" customWidth="1"/>
    <col min="14566" max="14567" width="0" style="7" hidden="1" customWidth="1"/>
    <col min="14568" max="14568" width="14.875" style="7" customWidth="1"/>
    <col min="14569" max="14570" width="0" style="7" hidden="1" customWidth="1"/>
    <col min="14571" max="14571" width="14.875" style="7" customWidth="1"/>
    <col min="14572" max="14573" width="0" style="7" hidden="1" customWidth="1"/>
    <col min="14574" max="14574" width="14.875" style="7" customWidth="1"/>
    <col min="14575" max="14576" width="0" style="7" hidden="1" customWidth="1"/>
    <col min="14577" max="14577" width="14.875" style="7" customWidth="1"/>
    <col min="14578" max="14579" width="0" style="7" hidden="1" customWidth="1"/>
    <col min="14580" max="14581" width="14.875" style="7" customWidth="1"/>
    <col min="14582" max="14582" width="44.375" style="7" customWidth="1"/>
    <col min="14583" max="14587" width="14.875" style="7" customWidth="1"/>
    <col min="14588" max="14588" width="63.875" style="7" customWidth="1"/>
    <col min="14589" max="14589" width="13.25" style="7" customWidth="1"/>
    <col min="14590" max="14775" width="9" style="7"/>
    <col min="14776" max="14777" width="0" style="7" hidden="1" customWidth="1"/>
    <col min="14778" max="14778" width="13.75" style="7" customWidth="1"/>
    <col min="14779" max="14779" width="52.875" style="7" customWidth="1"/>
    <col min="14780" max="14819" width="0" style="7" hidden="1" customWidth="1"/>
    <col min="14820" max="14821" width="14.875" style="7" customWidth="1"/>
    <col min="14822" max="14823" width="0" style="7" hidden="1" customWidth="1"/>
    <col min="14824" max="14824" width="14.875" style="7" customWidth="1"/>
    <col min="14825" max="14826" width="0" style="7" hidden="1" customWidth="1"/>
    <col min="14827" max="14827" width="14.875" style="7" customWidth="1"/>
    <col min="14828" max="14829" width="0" style="7" hidden="1" customWidth="1"/>
    <col min="14830" max="14830" width="14.875" style="7" customWidth="1"/>
    <col min="14831" max="14832" width="0" style="7" hidden="1" customWidth="1"/>
    <col min="14833" max="14833" width="14.875" style="7" customWidth="1"/>
    <col min="14834" max="14835" width="0" style="7" hidden="1" customWidth="1"/>
    <col min="14836" max="14837" width="14.875" style="7" customWidth="1"/>
    <col min="14838" max="14838" width="44.375" style="7" customWidth="1"/>
    <col min="14839" max="14843" width="14.875" style="7" customWidth="1"/>
    <col min="14844" max="14844" width="63.875" style="7" customWidth="1"/>
    <col min="14845" max="14845" width="13.25" style="7" customWidth="1"/>
    <col min="14846" max="15031" width="9" style="7"/>
    <col min="15032" max="15033" width="0" style="7" hidden="1" customWidth="1"/>
    <col min="15034" max="15034" width="13.75" style="7" customWidth="1"/>
    <col min="15035" max="15035" width="52.875" style="7" customWidth="1"/>
    <col min="15036" max="15075" width="0" style="7" hidden="1" customWidth="1"/>
    <col min="15076" max="15077" width="14.875" style="7" customWidth="1"/>
    <col min="15078" max="15079" width="0" style="7" hidden="1" customWidth="1"/>
    <col min="15080" max="15080" width="14.875" style="7" customWidth="1"/>
    <col min="15081" max="15082" width="0" style="7" hidden="1" customWidth="1"/>
    <col min="15083" max="15083" width="14.875" style="7" customWidth="1"/>
    <col min="15084" max="15085" width="0" style="7" hidden="1" customWidth="1"/>
    <col min="15086" max="15086" width="14.875" style="7" customWidth="1"/>
    <col min="15087" max="15088" width="0" style="7" hidden="1" customWidth="1"/>
    <col min="15089" max="15089" width="14.875" style="7" customWidth="1"/>
    <col min="15090" max="15091" width="0" style="7" hidden="1" customWidth="1"/>
    <col min="15092" max="15093" width="14.875" style="7" customWidth="1"/>
    <col min="15094" max="15094" width="44.375" style="7" customWidth="1"/>
    <col min="15095" max="15099" width="14.875" style="7" customWidth="1"/>
    <col min="15100" max="15100" width="63.875" style="7" customWidth="1"/>
    <col min="15101" max="15101" width="13.25" style="7" customWidth="1"/>
    <col min="15102" max="15287" width="9" style="7"/>
    <col min="15288" max="15289" width="0" style="7" hidden="1" customWidth="1"/>
    <col min="15290" max="15290" width="13.75" style="7" customWidth="1"/>
    <col min="15291" max="15291" width="52.875" style="7" customWidth="1"/>
    <col min="15292" max="15331" width="0" style="7" hidden="1" customWidth="1"/>
    <col min="15332" max="15333" width="14.875" style="7" customWidth="1"/>
    <col min="15334" max="15335" width="0" style="7" hidden="1" customWidth="1"/>
    <col min="15336" max="15336" width="14.875" style="7" customWidth="1"/>
    <col min="15337" max="15338" width="0" style="7" hidden="1" customWidth="1"/>
    <col min="15339" max="15339" width="14.875" style="7" customWidth="1"/>
    <col min="15340" max="15341" width="0" style="7" hidden="1" customWidth="1"/>
    <col min="15342" max="15342" width="14.875" style="7" customWidth="1"/>
    <col min="15343" max="15344" width="0" style="7" hidden="1" customWidth="1"/>
    <col min="15345" max="15345" width="14.875" style="7" customWidth="1"/>
    <col min="15346" max="15347" width="0" style="7" hidden="1" customWidth="1"/>
    <col min="15348" max="15349" width="14.875" style="7" customWidth="1"/>
    <col min="15350" max="15350" width="44.375" style="7" customWidth="1"/>
    <col min="15351" max="15355" width="14.875" style="7" customWidth="1"/>
    <col min="15356" max="15356" width="63.875" style="7" customWidth="1"/>
    <col min="15357" max="15357" width="13.25" style="7" customWidth="1"/>
    <col min="15358" max="15543" width="9" style="7"/>
    <col min="15544" max="15545" width="0" style="7" hidden="1" customWidth="1"/>
    <col min="15546" max="15546" width="13.75" style="7" customWidth="1"/>
    <col min="15547" max="15547" width="52.875" style="7" customWidth="1"/>
    <col min="15548" max="15587" width="0" style="7" hidden="1" customWidth="1"/>
    <col min="15588" max="15589" width="14.875" style="7" customWidth="1"/>
    <col min="15590" max="15591" width="0" style="7" hidden="1" customWidth="1"/>
    <col min="15592" max="15592" width="14.875" style="7" customWidth="1"/>
    <col min="15593" max="15594" width="0" style="7" hidden="1" customWidth="1"/>
    <col min="15595" max="15595" width="14.875" style="7" customWidth="1"/>
    <col min="15596" max="15597" width="0" style="7" hidden="1" customWidth="1"/>
    <col min="15598" max="15598" width="14.875" style="7" customWidth="1"/>
    <col min="15599" max="15600" width="0" style="7" hidden="1" customWidth="1"/>
    <col min="15601" max="15601" width="14.875" style="7" customWidth="1"/>
    <col min="15602" max="15603" width="0" style="7" hidden="1" customWidth="1"/>
    <col min="15604" max="15605" width="14.875" style="7" customWidth="1"/>
    <col min="15606" max="15606" width="44.375" style="7" customWidth="1"/>
    <col min="15607" max="15611" width="14.875" style="7" customWidth="1"/>
    <col min="15612" max="15612" width="63.875" style="7" customWidth="1"/>
    <col min="15613" max="15613" width="13.25" style="7" customWidth="1"/>
    <col min="15614" max="15799" width="9" style="7"/>
    <col min="15800" max="15801" width="0" style="7" hidden="1" customWidth="1"/>
    <col min="15802" max="15802" width="13.75" style="7" customWidth="1"/>
    <col min="15803" max="15803" width="52.875" style="7" customWidth="1"/>
    <col min="15804" max="15843" width="0" style="7" hidden="1" customWidth="1"/>
    <col min="15844" max="15845" width="14.875" style="7" customWidth="1"/>
    <col min="15846" max="15847" width="0" style="7" hidden="1" customWidth="1"/>
    <col min="15848" max="15848" width="14.875" style="7" customWidth="1"/>
    <col min="15849" max="15850" width="0" style="7" hidden="1" customWidth="1"/>
    <col min="15851" max="15851" width="14.875" style="7" customWidth="1"/>
    <col min="15852" max="15853" width="0" style="7" hidden="1" customWidth="1"/>
    <col min="15854" max="15854" width="14.875" style="7" customWidth="1"/>
    <col min="15855" max="15856" width="0" style="7" hidden="1" customWidth="1"/>
    <col min="15857" max="15857" width="14.875" style="7" customWidth="1"/>
    <col min="15858" max="15859" width="0" style="7" hidden="1" customWidth="1"/>
    <col min="15860" max="15861" width="14.875" style="7" customWidth="1"/>
    <col min="15862" max="15862" width="44.375" style="7" customWidth="1"/>
    <col min="15863" max="15867" width="14.875" style="7" customWidth="1"/>
    <col min="15868" max="15868" width="63.875" style="7" customWidth="1"/>
    <col min="15869" max="15869" width="13.25" style="7" customWidth="1"/>
    <col min="15870" max="16055" width="9" style="7"/>
    <col min="16056" max="16057" width="0" style="7" hidden="1" customWidth="1"/>
    <col min="16058" max="16058" width="13.75" style="7" customWidth="1"/>
    <col min="16059" max="16059" width="52.875" style="7" customWidth="1"/>
    <col min="16060" max="16099" width="0" style="7" hidden="1" customWidth="1"/>
    <col min="16100" max="16101" width="14.875" style="7" customWidth="1"/>
    <col min="16102" max="16103" width="0" style="7" hidden="1" customWidth="1"/>
    <col min="16104" max="16104" width="14.875" style="7" customWidth="1"/>
    <col min="16105" max="16106" width="0" style="7" hidden="1" customWidth="1"/>
    <col min="16107" max="16107" width="14.875" style="7" customWidth="1"/>
    <col min="16108" max="16109" width="0" style="7" hidden="1" customWidth="1"/>
    <col min="16110" max="16110" width="14.875" style="7" customWidth="1"/>
    <col min="16111" max="16112" width="0" style="7" hidden="1" customWidth="1"/>
    <col min="16113" max="16113" width="14.875" style="7" customWidth="1"/>
    <col min="16114" max="16115" width="0" style="7" hidden="1" customWidth="1"/>
    <col min="16116" max="16117" width="14.875" style="7" customWidth="1"/>
    <col min="16118" max="16118" width="44.375" style="7" customWidth="1"/>
    <col min="16119" max="16123" width="14.875" style="7" customWidth="1"/>
    <col min="16124" max="16124" width="63.875" style="7" customWidth="1"/>
    <col min="16125" max="16125" width="13.25" style="7" customWidth="1"/>
    <col min="16126" max="16324" width="9" style="7"/>
    <col min="16325" max="16357" width="9.125" style="7" customWidth="1"/>
    <col min="16358" max="16365" width="9.125" style="7"/>
    <col min="16366" max="16366" width="9.125" style="7" customWidth="1"/>
    <col min="16367" max="16384" width="9.125" style="7"/>
  </cols>
  <sheetData>
    <row r="1" spans="1:17" ht="24.6" outlineLevel="1" x14ac:dyDescent="0.4">
      <c r="C1" s="61" t="s">
        <v>361</v>
      </c>
      <c r="D1" s="260"/>
      <c r="E1" s="126"/>
      <c r="F1" s="126"/>
      <c r="G1" s="8"/>
      <c r="H1" s="324"/>
      <c r="I1" s="126"/>
      <c r="J1" s="8"/>
      <c r="K1" s="324"/>
      <c r="L1" s="126"/>
      <c r="M1" s="8"/>
      <c r="N1" s="324"/>
      <c r="O1" s="306"/>
      <c r="P1" s="460"/>
      <c r="Q1" s="8"/>
    </row>
    <row r="2" spans="1:17" ht="24.6" outlineLevel="1" x14ac:dyDescent="0.4">
      <c r="C2" s="539" t="s">
        <v>1308</v>
      </c>
      <c r="D2" s="539"/>
      <c r="G2" s="45"/>
      <c r="H2" s="325"/>
      <c r="J2" s="45"/>
      <c r="K2" s="325"/>
      <c r="M2" s="45"/>
      <c r="N2" s="325"/>
      <c r="O2" s="99"/>
      <c r="P2" s="461"/>
      <c r="Q2" s="45"/>
    </row>
    <row r="3" spans="1:17" ht="20.399999999999999" outlineLevel="1" x14ac:dyDescent="0.35">
      <c r="C3" s="537" t="s">
        <v>0</v>
      </c>
      <c r="D3" s="537"/>
      <c r="E3" s="119">
        <v>37257977</v>
      </c>
      <c r="F3" s="119">
        <v>37259477</v>
      </c>
      <c r="G3" s="49"/>
      <c r="I3" s="119">
        <f>I104-I133-I42+I85</f>
        <v>37259477</v>
      </c>
      <c r="J3" s="49"/>
      <c r="L3" s="119">
        <f>L104-L133-L42+L85</f>
        <v>37269477</v>
      </c>
      <c r="M3" s="49"/>
      <c r="O3" s="49"/>
      <c r="P3" s="462"/>
      <c r="Q3" s="49"/>
    </row>
    <row r="4" spans="1:17" ht="14.4" outlineLevel="1" thickBot="1" x14ac:dyDescent="0.3">
      <c r="C4" s="100"/>
      <c r="E4" s="119" t="s">
        <v>1411</v>
      </c>
      <c r="F4" s="119"/>
      <c r="G4" s="1"/>
      <c r="I4" s="119"/>
      <c r="J4" s="1"/>
      <c r="L4" s="119"/>
      <c r="M4" s="1"/>
      <c r="O4" s="119"/>
      <c r="P4" s="101"/>
      <c r="Q4" s="508"/>
    </row>
    <row r="5" spans="1:17" ht="55.2" customHeight="1" thickBot="1" x14ac:dyDescent="0.3">
      <c r="C5" s="11" t="s">
        <v>1</v>
      </c>
      <c r="D5" s="12" t="s">
        <v>2</v>
      </c>
      <c r="E5" s="275" t="s">
        <v>1303</v>
      </c>
      <c r="F5" s="275" t="s">
        <v>1421</v>
      </c>
      <c r="G5" s="50" t="s">
        <v>1422</v>
      </c>
      <c r="H5" s="326" t="s">
        <v>305</v>
      </c>
      <c r="I5" s="275" t="s">
        <v>1451</v>
      </c>
      <c r="J5" s="50" t="s">
        <v>1452</v>
      </c>
      <c r="K5" s="326" t="s">
        <v>305</v>
      </c>
      <c r="L5" s="275" t="s">
        <v>1471</v>
      </c>
      <c r="M5" s="50" t="s">
        <v>1472</v>
      </c>
      <c r="N5" s="326" t="s">
        <v>305</v>
      </c>
      <c r="O5" s="50" t="s">
        <v>1488</v>
      </c>
      <c r="P5" s="400" t="s">
        <v>1489</v>
      </c>
      <c r="Q5" s="326" t="s">
        <v>4</v>
      </c>
    </row>
    <row r="6" spans="1:17" x14ac:dyDescent="0.25">
      <c r="C6" s="67" t="s">
        <v>5</v>
      </c>
      <c r="D6" s="68" t="s">
        <v>6</v>
      </c>
      <c r="E6" s="58">
        <v>42715458</v>
      </c>
      <c r="F6" s="58">
        <v>42715458</v>
      </c>
      <c r="G6" s="13">
        <f>F6-E6</f>
        <v>0</v>
      </c>
      <c r="H6" s="327"/>
      <c r="I6" s="58">
        <f>ROUND((I7+I10+I13+I16+I19),0)</f>
        <v>41763189</v>
      </c>
      <c r="J6" s="13">
        <f>I6-F6</f>
        <v>-952269</v>
      </c>
      <c r="K6" s="327"/>
      <c r="L6" s="58">
        <f>ROUND((L7+L10+L13+L16+L19),0)</f>
        <v>41763189</v>
      </c>
      <c r="M6" s="13">
        <f>L6-I6</f>
        <v>0</v>
      </c>
      <c r="N6" s="327"/>
      <c r="O6" s="401">
        <f>ROUND((O7+O10+O13+O16+O19),0)</f>
        <v>19982339</v>
      </c>
      <c r="P6" s="429">
        <f t="shared" ref="P6:P38" si="0">O6/L6</f>
        <v>0.4784677482363715</v>
      </c>
      <c r="Q6" s="430"/>
    </row>
    <row r="7" spans="1:17" x14ac:dyDescent="0.25">
      <c r="B7" s="7" t="s">
        <v>7</v>
      </c>
      <c r="C7" s="69" t="s">
        <v>8</v>
      </c>
      <c r="D7" s="70" t="s">
        <v>9</v>
      </c>
      <c r="E7" s="276">
        <v>39439118</v>
      </c>
      <c r="F7" s="276">
        <v>39439118</v>
      </c>
      <c r="G7" s="14">
        <f t="shared" ref="G7:G70" si="1">F7-E7</f>
        <v>0</v>
      </c>
      <c r="H7" s="328"/>
      <c r="I7" s="276">
        <f>SUM(I8:I8)</f>
        <v>38486849</v>
      </c>
      <c r="J7" s="14">
        <f t="shared" ref="J7:J70" si="2">I7-F7</f>
        <v>-952269</v>
      </c>
      <c r="K7" s="328"/>
      <c r="L7" s="276">
        <f>SUM(L8:L8)</f>
        <v>38486849</v>
      </c>
      <c r="M7" s="14">
        <f t="shared" ref="M7:M70" si="3">L7-I7</f>
        <v>0</v>
      </c>
      <c r="N7" s="328"/>
      <c r="O7" s="408">
        <f>SUM(O8:O8)</f>
        <v>17319085.059999999</v>
      </c>
      <c r="P7" s="431">
        <f t="shared" si="0"/>
        <v>0.45000007820853294</v>
      </c>
      <c r="Q7" s="408"/>
    </row>
    <row r="8" spans="1:17" ht="33" customHeight="1" x14ac:dyDescent="0.25">
      <c r="A8" s="7" t="s">
        <v>10</v>
      </c>
      <c r="B8" s="15" t="s">
        <v>12</v>
      </c>
      <c r="C8" s="71" t="s">
        <v>11</v>
      </c>
      <c r="D8" s="72" t="s">
        <v>14</v>
      </c>
      <c r="E8" s="243">
        <v>39439118</v>
      </c>
      <c r="F8" s="243">
        <v>39439118</v>
      </c>
      <c r="G8" s="16">
        <f t="shared" si="1"/>
        <v>0</v>
      </c>
      <c r="H8" s="318"/>
      <c r="I8" s="243">
        <f>ROUND(F8,0)-952269</f>
        <v>38486849</v>
      </c>
      <c r="J8" s="16">
        <f t="shared" si="2"/>
        <v>-952269</v>
      </c>
      <c r="K8" s="316" t="s">
        <v>1455</v>
      </c>
      <c r="L8" s="243">
        <f>ROUND(I8,0)</f>
        <v>38486849</v>
      </c>
      <c r="M8" s="16">
        <f t="shared" si="3"/>
        <v>0</v>
      </c>
      <c r="N8" s="316"/>
      <c r="O8" s="252">
        <v>17319085.059999999</v>
      </c>
      <c r="P8" s="405">
        <f t="shared" si="0"/>
        <v>0.45000007820853294</v>
      </c>
      <c r="Q8" s="252" t="s">
        <v>1441</v>
      </c>
    </row>
    <row r="9" spans="1:17" ht="32.4" customHeight="1" x14ac:dyDescent="0.25">
      <c r="C9" s="67" t="s">
        <v>462</v>
      </c>
      <c r="D9" s="68" t="s">
        <v>463</v>
      </c>
      <c r="E9" s="58">
        <v>3211340</v>
      </c>
      <c r="F9" s="58">
        <v>3211340</v>
      </c>
      <c r="G9" s="13">
        <f t="shared" si="1"/>
        <v>0</v>
      </c>
      <c r="H9" s="327"/>
      <c r="I9" s="58">
        <f>I10+I13+I16</f>
        <v>3211340</v>
      </c>
      <c r="J9" s="13">
        <f t="shared" si="2"/>
        <v>0</v>
      </c>
      <c r="K9" s="327"/>
      <c r="L9" s="58">
        <f>L10+L13+L16</f>
        <v>3211340</v>
      </c>
      <c r="M9" s="13">
        <f t="shared" si="3"/>
        <v>0</v>
      </c>
      <c r="N9" s="327"/>
      <c r="O9" s="401">
        <f>O10+O13+O16</f>
        <v>2609119.04</v>
      </c>
      <c r="P9" s="429">
        <f t="shared" si="0"/>
        <v>0.81247050763855588</v>
      </c>
      <c r="Q9" s="430" t="s">
        <v>765</v>
      </c>
    </row>
    <row r="10" spans="1:17" x14ac:dyDescent="0.25">
      <c r="B10" s="7" t="s">
        <v>15</v>
      </c>
      <c r="C10" s="73" t="s">
        <v>16</v>
      </c>
      <c r="D10" s="74" t="s">
        <v>17</v>
      </c>
      <c r="E10" s="277">
        <v>2082625</v>
      </c>
      <c r="F10" s="277">
        <v>2082625</v>
      </c>
      <c r="G10" s="17">
        <f t="shared" si="1"/>
        <v>0</v>
      </c>
      <c r="H10" s="329"/>
      <c r="I10" s="277">
        <f>SUM(I11:I12)</f>
        <v>2082625</v>
      </c>
      <c r="J10" s="17">
        <f t="shared" si="2"/>
        <v>0</v>
      </c>
      <c r="K10" s="329"/>
      <c r="L10" s="277">
        <f>SUM(L11:L12)</f>
        <v>2082625</v>
      </c>
      <c r="M10" s="17">
        <f t="shared" si="3"/>
        <v>0</v>
      </c>
      <c r="N10" s="329"/>
      <c r="O10" s="258">
        <f>SUM(O11:O12)</f>
        <v>1617740.29</v>
      </c>
      <c r="P10" s="432">
        <f t="shared" si="0"/>
        <v>0.77677944421103173</v>
      </c>
      <c r="Q10" s="258"/>
    </row>
    <row r="11" spans="1:17" x14ac:dyDescent="0.25">
      <c r="A11" s="7" t="s">
        <v>10</v>
      </c>
      <c r="B11" s="15" t="s">
        <v>18</v>
      </c>
      <c r="C11" s="71" t="s">
        <v>19</v>
      </c>
      <c r="D11" s="72" t="s">
        <v>14</v>
      </c>
      <c r="E11" s="243">
        <v>1945625</v>
      </c>
      <c r="F11" s="243">
        <v>1945625</v>
      </c>
      <c r="G11" s="16">
        <f t="shared" si="1"/>
        <v>0</v>
      </c>
      <c r="H11" s="330"/>
      <c r="I11" s="243">
        <f>ROUND(F11,0)</f>
        <v>1945625</v>
      </c>
      <c r="J11" s="16">
        <f t="shared" si="2"/>
        <v>0</v>
      </c>
      <c r="K11" s="330"/>
      <c r="L11" s="243">
        <f>ROUND(I11,0)</f>
        <v>1945625</v>
      </c>
      <c r="M11" s="16">
        <f t="shared" si="3"/>
        <v>0</v>
      </c>
      <c r="N11" s="330"/>
      <c r="O11" s="252">
        <v>1563284.09</v>
      </c>
      <c r="P11" s="405">
        <f t="shared" si="0"/>
        <v>0.80348684355926758</v>
      </c>
      <c r="Q11" s="252"/>
    </row>
    <row r="12" spans="1:17" x14ac:dyDescent="0.25">
      <c r="A12" s="7" t="s">
        <v>10</v>
      </c>
      <c r="B12" s="15" t="s">
        <v>20</v>
      </c>
      <c r="C12" s="71" t="s">
        <v>21</v>
      </c>
      <c r="D12" s="72" t="s">
        <v>22</v>
      </c>
      <c r="E12" s="243">
        <v>137000</v>
      </c>
      <c r="F12" s="243">
        <v>137000</v>
      </c>
      <c r="G12" s="16">
        <f t="shared" si="1"/>
        <v>0</v>
      </c>
      <c r="H12" s="318"/>
      <c r="I12" s="243">
        <f>ROUND(F12,0)</f>
        <v>137000</v>
      </c>
      <c r="J12" s="16">
        <f t="shared" si="2"/>
        <v>0</v>
      </c>
      <c r="K12" s="318"/>
      <c r="L12" s="243">
        <f>ROUND(I12,0)</f>
        <v>137000</v>
      </c>
      <c r="M12" s="16">
        <f t="shared" si="3"/>
        <v>0</v>
      </c>
      <c r="N12" s="318"/>
      <c r="O12" s="252">
        <v>54456.2</v>
      </c>
      <c r="P12" s="405">
        <f t="shared" si="0"/>
        <v>0.39749051094890508</v>
      </c>
      <c r="Q12" s="252"/>
    </row>
    <row r="13" spans="1:17" x14ac:dyDescent="0.25">
      <c r="B13" s="7" t="s">
        <v>23</v>
      </c>
      <c r="C13" s="73" t="s">
        <v>24</v>
      </c>
      <c r="D13" s="74" t="s">
        <v>25</v>
      </c>
      <c r="E13" s="277">
        <v>392228</v>
      </c>
      <c r="F13" s="277">
        <v>392228</v>
      </c>
      <c r="G13" s="17">
        <f t="shared" si="1"/>
        <v>0</v>
      </c>
      <c r="H13" s="329"/>
      <c r="I13" s="277">
        <f>SUM(I14:I15)</f>
        <v>392228</v>
      </c>
      <c r="J13" s="17">
        <f t="shared" si="2"/>
        <v>0</v>
      </c>
      <c r="K13" s="329"/>
      <c r="L13" s="277">
        <f>SUM(L14:L15)</f>
        <v>392228</v>
      </c>
      <c r="M13" s="17">
        <f t="shared" si="3"/>
        <v>0</v>
      </c>
      <c r="N13" s="329"/>
      <c r="O13" s="258">
        <f>SUM(O14:O15)</f>
        <v>389873.94</v>
      </c>
      <c r="P13" s="432">
        <f t="shared" si="0"/>
        <v>0.99399823572004042</v>
      </c>
      <c r="Q13" s="258"/>
    </row>
    <row r="14" spans="1:17" x14ac:dyDescent="0.25">
      <c r="A14" s="7" t="s">
        <v>10</v>
      </c>
      <c r="B14" s="15" t="s">
        <v>26</v>
      </c>
      <c r="C14" s="71" t="s">
        <v>27</v>
      </c>
      <c r="D14" s="72" t="s">
        <v>28</v>
      </c>
      <c r="E14" s="243">
        <v>362228</v>
      </c>
      <c r="F14" s="243">
        <v>362228</v>
      </c>
      <c r="G14" s="16">
        <f t="shared" si="1"/>
        <v>0</v>
      </c>
      <c r="H14" s="331"/>
      <c r="I14" s="243">
        <f>ROUND(F14,0)</f>
        <v>362228</v>
      </c>
      <c r="J14" s="16">
        <f t="shared" si="2"/>
        <v>0</v>
      </c>
      <c r="K14" s="331"/>
      <c r="L14" s="243">
        <f>ROUND(I14,0)</f>
        <v>362228</v>
      </c>
      <c r="M14" s="16">
        <f t="shared" si="3"/>
        <v>0</v>
      </c>
      <c r="N14" s="331"/>
      <c r="O14" s="252">
        <v>371739.24</v>
      </c>
      <c r="P14" s="405">
        <f t="shared" si="0"/>
        <v>1.0262576057069028</v>
      </c>
      <c r="Q14" s="252"/>
    </row>
    <row r="15" spans="1:17" x14ac:dyDescent="0.25">
      <c r="A15" s="7" t="s">
        <v>10</v>
      </c>
      <c r="B15" s="15" t="s">
        <v>29</v>
      </c>
      <c r="C15" s="71" t="s">
        <v>30</v>
      </c>
      <c r="D15" s="72" t="s">
        <v>22</v>
      </c>
      <c r="E15" s="243">
        <v>30000</v>
      </c>
      <c r="F15" s="243">
        <v>30000</v>
      </c>
      <c r="G15" s="16">
        <f t="shared" si="1"/>
        <v>0</v>
      </c>
      <c r="H15" s="318"/>
      <c r="I15" s="243">
        <f>ROUND(F15,0)</f>
        <v>30000</v>
      </c>
      <c r="J15" s="16">
        <f t="shared" si="2"/>
        <v>0</v>
      </c>
      <c r="K15" s="318"/>
      <c r="L15" s="243">
        <f>ROUND(I15,0)</f>
        <v>30000</v>
      </c>
      <c r="M15" s="16">
        <f t="shared" si="3"/>
        <v>0</v>
      </c>
      <c r="N15" s="318"/>
      <c r="O15" s="252">
        <v>18134.7</v>
      </c>
      <c r="P15" s="405">
        <f t="shared" si="0"/>
        <v>0.60448999999999997</v>
      </c>
      <c r="Q15" s="252"/>
    </row>
    <row r="16" spans="1:17" ht="27.6" x14ac:dyDescent="0.25">
      <c r="B16" s="7" t="s">
        <v>31</v>
      </c>
      <c r="C16" s="73" t="s">
        <v>32</v>
      </c>
      <c r="D16" s="74" t="s">
        <v>33</v>
      </c>
      <c r="E16" s="277">
        <v>736487</v>
      </c>
      <c r="F16" s="277">
        <v>736487</v>
      </c>
      <c r="G16" s="17">
        <f t="shared" si="1"/>
        <v>0</v>
      </c>
      <c r="H16" s="329"/>
      <c r="I16" s="277">
        <f>SUM(I17:I18)</f>
        <v>736487</v>
      </c>
      <c r="J16" s="17">
        <f t="shared" si="2"/>
        <v>0</v>
      </c>
      <c r="K16" s="329"/>
      <c r="L16" s="277">
        <f>SUM(L17:L18)</f>
        <v>736487</v>
      </c>
      <c r="M16" s="17">
        <f t="shared" si="3"/>
        <v>0</v>
      </c>
      <c r="N16" s="329"/>
      <c r="O16" s="258">
        <f>SUM(O17:O18)</f>
        <v>601504.81000000006</v>
      </c>
      <c r="P16" s="432">
        <f t="shared" si="0"/>
        <v>0.81672155788221656</v>
      </c>
      <c r="Q16" s="258"/>
    </row>
    <row r="17" spans="1:17" ht="18.75" customHeight="1" x14ac:dyDescent="0.25">
      <c r="A17" s="7" t="s">
        <v>10</v>
      </c>
      <c r="B17" s="15" t="s">
        <v>34</v>
      </c>
      <c r="C17" s="71" t="s">
        <v>35</v>
      </c>
      <c r="D17" s="72" t="s">
        <v>28</v>
      </c>
      <c r="E17" s="243">
        <v>665899</v>
      </c>
      <c r="F17" s="243">
        <v>665899</v>
      </c>
      <c r="G17" s="16">
        <f t="shared" si="1"/>
        <v>0</v>
      </c>
      <c r="H17" s="331"/>
      <c r="I17" s="243">
        <f>ROUND(F17,0)</f>
        <v>665899</v>
      </c>
      <c r="J17" s="16">
        <f t="shared" si="2"/>
        <v>0</v>
      </c>
      <c r="K17" s="331"/>
      <c r="L17" s="243">
        <f>ROUND(I17,0)</f>
        <v>665899</v>
      </c>
      <c r="M17" s="16">
        <f t="shared" si="3"/>
        <v>0</v>
      </c>
      <c r="N17" s="331"/>
      <c r="O17" s="252">
        <v>575373.65</v>
      </c>
      <c r="P17" s="405">
        <f t="shared" si="0"/>
        <v>0.86405543483321046</v>
      </c>
      <c r="Q17" s="252"/>
    </row>
    <row r="18" spans="1:17" x14ac:dyDescent="0.25">
      <c r="A18" s="7" t="s">
        <v>10</v>
      </c>
      <c r="B18" s="15" t="s">
        <v>36</v>
      </c>
      <c r="C18" s="71" t="s">
        <v>37</v>
      </c>
      <c r="D18" s="72" t="s">
        <v>22</v>
      </c>
      <c r="E18" s="243">
        <v>70588</v>
      </c>
      <c r="F18" s="243">
        <v>70588</v>
      </c>
      <c r="G18" s="16">
        <f t="shared" si="1"/>
        <v>0</v>
      </c>
      <c r="H18" s="330"/>
      <c r="I18" s="243">
        <f>ROUND(F18,0)</f>
        <v>70588</v>
      </c>
      <c r="J18" s="16">
        <f t="shared" si="2"/>
        <v>0</v>
      </c>
      <c r="K18" s="330"/>
      <c r="L18" s="243">
        <f>ROUND(I18,0)</f>
        <v>70588</v>
      </c>
      <c r="M18" s="16">
        <f t="shared" si="3"/>
        <v>0</v>
      </c>
      <c r="N18" s="330"/>
      <c r="O18" s="252">
        <v>26131.16</v>
      </c>
      <c r="P18" s="405">
        <f t="shared" si="0"/>
        <v>0.37019266730889105</v>
      </c>
      <c r="Q18" s="252"/>
    </row>
    <row r="19" spans="1:17" ht="28.2" x14ac:dyDescent="0.3">
      <c r="B19" s="59"/>
      <c r="C19" s="73" t="s">
        <v>38</v>
      </c>
      <c r="D19" s="74" t="s">
        <v>412</v>
      </c>
      <c r="E19" s="277">
        <v>65000</v>
      </c>
      <c r="F19" s="277">
        <v>65000</v>
      </c>
      <c r="G19" s="17">
        <f t="shared" si="1"/>
        <v>0</v>
      </c>
      <c r="H19" s="329"/>
      <c r="I19" s="277">
        <f>SUM(I20:I21)</f>
        <v>65000</v>
      </c>
      <c r="J19" s="17">
        <f t="shared" si="2"/>
        <v>0</v>
      </c>
      <c r="K19" s="329"/>
      <c r="L19" s="277">
        <f>SUM(L20:L21)</f>
        <v>65000</v>
      </c>
      <c r="M19" s="17">
        <f t="shared" si="3"/>
        <v>0</v>
      </c>
      <c r="N19" s="329"/>
      <c r="O19" s="258">
        <f>SUM(O20:O21)</f>
        <v>54135.27</v>
      </c>
      <c r="P19" s="432">
        <f t="shared" si="0"/>
        <v>0.83285030769230761</v>
      </c>
      <c r="Q19" s="258"/>
    </row>
    <row r="20" spans="1:17" ht="14.4" customHeight="1" outlineLevel="1" x14ac:dyDescent="0.25">
      <c r="B20" s="15" t="s">
        <v>466</v>
      </c>
      <c r="C20" s="71" t="s">
        <v>161</v>
      </c>
      <c r="D20" s="72" t="s">
        <v>39</v>
      </c>
      <c r="E20" s="243">
        <v>5000</v>
      </c>
      <c r="F20" s="243">
        <v>5000</v>
      </c>
      <c r="G20" s="16">
        <f t="shared" si="1"/>
        <v>0</v>
      </c>
      <c r="H20" s="331"/>
      <c r="I20" s="243">
        <f>ROUND(F20,0)</f>
        <v>5000</v>
      </c>
      <c r="J20" s="16">
        <f t="shared" si="2"/>
        <v>0</v>
      </c>
      <c r="K20" s="331"/>
      <c r="L20" s="243">
        <f>ROUND(I20,0)</f>
        <v>5000</v>
      </c>
      <c r="M20" s="16">
        <f t="shared" si="3"/>
        <v>0</v>
      </c>
      <c r="N20" s="331"/>
      <c r="O20" s="252">
        <v>3670.7</v>
      </c>
      <c r="P20" s="405">
        <f t="shared" si="0"/>
        <v>0.73414000000000001</v>
      </c>
      <c r="Q20" s="252"/>
    </row>
    <row r="21" spans="1:17" ht="15.6" customHeight="1" x14ac:dyDescent="0.25">
      <c r="B21" s="15" t="s">
        <v>465</v>
      </c>
      <c r="C21" s="71" t="s">
        <v>161</v>
      </c>
      <c r="D21" s="72" t="s">
        <v>464</v>
      </c>
      <c r="E21" s="243">
        <v>60000</v>
      </c>
      <c r="F21" s="243">
        <v>60000</v>
      </c>
      <c r="G21" s="16">
        <f t="shared" si="1"/>
        <v>0</v>
      </c>
      <c r="H21" s="332"/>
      <c r="I21" s="243">
        <f>ROUND(F21,0)</f>
        <v>60000</v>
      </c>
      <c r="J21" s="16">
        <f t="shared" si="2"/>
        <v>0</v>
      </c>
      <c r="K21" s="332"/>
      <c r="L21" s="243">
        <f>ROUND(I21,0)</f>
        <v>60000</v>
      </c>
      <c r="M21" s="16">
        <f t="shared" si="3"/>
        <v>0</v>
      </c>
      <c r="N21" s="332"/>
      <c r="O21" s="252">
        <v>50464.57</v>
      </c>
      <c r="P21" s="405">
        <f t="shared" si="0"/>
        <v>0.84107616666666662</v>
      </c>
      <c r="Q21" s="252"/>
    </row>
    <row r="22" spans="1:17" ht="15.75" customHeight="1" x14ac:dyDescent="0.25">
      <c r="B22" s="7" t="s">
        <v>40</v>
      </c>
      <c r="C22" s="73" t="s">
        <v>41</v>
      </c>
      <c r="D22" s="74" t="s">
        <v>42</v>
      </c>
      <c r="E22" s="277">
        <v>144060</v>
      </c>
      <c r="F22" s="277">
        <v>144060</v>
      </c>
      <c r="G22" s="17">
        <f t="shared" si="1"/>
        <v>0</v>
      </c>
      <c r="H22" s="329"/>
      <c r="I22" s="277">
        <f>I23+I27</f>
        <v>144060</v>
      </c>
      <c r="J22" s="17">
        <f t="shared" si="2"/>
        <v>0</v>
      </c>
      <c r="K22" s="329"/>
      <c r="L22" s="277">
        <f>L23+L27</f>
        <v>144060</v>
      </c>
      <c r="M22" s="17">
        <f t="shared" si="3"/>
        <v>0</v>
      </c>
      <c r="N22" s="329"/>
      <c r="O22" s="258">
        <f>O23+O27</f>
        <v>79197.97</v>
      </c>
      <c r="P22" s="432">
        <f t="shared" si="0"/>
        <v>0.54975683742884907</v>
      </c>
      <c r="Q22" s="433"/>
    </row>
    <row r="23" spans="1:17" x14ac:dyDescent="0.25">
      <c r="A23" s="7" t="s">
        <v>10</v>
      </c>
      <c r="B23" s="7" t="s">
        <v>43</v>
      </c>
      <c r="C23" s="71" t="s">
        <v>44</v>
      </c>
      <c r="D23" s="72" t="s">
        <v>45</v>
      </c>
      <c r="E23" s="243">
        <v>6100</v>
      </c>
      <c r="F23" s="243">
        <v>6100</v>
      </c>
      <c r="G23" s="16">
        <f t="shared" si="1"/>
        <v>0</v>
      </c>
      <c r="H23" s="330"/>
      <c r="I23" s="243">
        <f>I24+I25+I26</f>
        <v>6100</v>
      </c>
      <c r="J23" s="16">
        <f t="shared" si="2"/>
        <v>0</v>
      </c>
      <c r="K23" s="330"/>
      <c r="L23" s="243">
        <f>L24+L25+L26</f>
        <v>6100</v>
      </c>
      <c r="M23" s="16">
        <f t="shared" si="3"/>
        <v>0</v>
      </c>
      <c r="N23" s="330"/>
      <c r="O23" s="252">
        <f>O24+O25+O26</f>
        <v>2532.1999999999998</v>
      </c>
      <c r="P23" s="434">
        <f t="shared" si="0"/>
        <v>0.41511475409836063</v>
      </c>
      <c r="Q23" s="252"/>
    </row>
    <row r="24" spans="1:17" ht="26.4" x14ac:dyDescent="0.25">
      <c r="B24" s="15" t="s">
        <v>46</v>
      </c>
      <c r="C24" s="75" t="s">
        <v>47</v>
      </c>
      <c r="D24" s="76" t="s">
        <v>48</v>
      </c>
      <c r="E24" s="243">
        <v>1100</v>
      </c>
      <c r="F24" s="243">
        <v>1100</v>
      </c>
      <c r="G24" s="16">
        <f t="shared" si="1"/>
        <v>0</v>
      </c>
      <c r="H24" s="330"/>
      <c r="I24" s="243">
        <f>ROUND(F24,0)</f>
        <v>1100</v>
      </c>
      <c r="J24" s="16">
        <f t="shared" si="2"/>
        <v>0</v>
      </c>
      <c r="K24" s="330"/>
      <c r="L24" s="243">
        <f>ROUND(I24,0)</f>
        <v>1100</v>
      </c>
      <c r="M24" s="16">
        <f t="shared" si="3"/>
        <v>0</v>
      </c>
      <c r="N24" s="330"/>
      <c r="O24" s="252">
        <v>506.52</v>
      </c>
      <c r="P24" s="405">
        <f t="shared" si="0"/>
        <v>0.46047272727272726</v>
      </c>
      <c r="Q24" s="252"/>
    </row>
    <row r="25" spans="1:17" ht="26.4" x14ac:dyDescent="0.25">
      <c r="B25" s="15" t="s">
        <v>49</v>
      </c>
      <c r="C25" s="75" t="s">
        <v>50</v>
      </c>
      <c r="D25" s="76" t="s">
        <v>325</v>
      </c>
      <c r="E25" s="243">
        <v>4500</v>
      </c>
      <c r="F25" s="243">
        <v>4500</v>
      </c>
      <c r="G25" s="16">
        <f t="shared" si="1"/>
        <v>0</v>
      </c>
      <c r="H25" s="330"/>
      <c r="I25" s="243">
        <f>ROUND(F25,0)</f>
        <v>4500</v>
      </c>
      <c r="J25" s="16">
        <f t="shared" si="2"/>
        <v>0</v>
      </c>
      <c r="K25" s="330"/>
      <c r="L25" s="243">
        <f>ROUND(I25,0)</f>
        <v>4500</v>
      </c>
      <c r="M25" s="16">
        <f t="shared" si="3"/>
        <v>0</v>
      </c>
      <c r="N25" s="330"/>
      <c r="O25" s="252">
        <v>1908.3</v>
      </c>
      <c r="P25" s="405">
        <f t="shared" si="0"/>
        <v>0.42406666666666665</v>
      </c>
      <c r="Q25" s="252"/>
    </row>
    <row r="26" spans="1:17" ht="26.4" x14ac:dyDescent="0.25">
      <c r="B26" s="15" t="s">
        <v>51</v>
      </c>
      <c r="C26" s="75" t="s">
        <v>52</v>
      </c>
      <c r="D26" s="76" t="s">
        <v>326</v>
      </c>
      <c r="E26" s="243">
        <v>500</v>
      </c>
      <c r="F26" s="243">
        <v>500</v>
      </c>
      <c r="G26" s="16">
        <f t="shared" si="1"/>
        <v>0</v>
      </c>
      <c r="H26" s="330"/>
      <c r="I26" s="243">
        <f>ROUND(F26,0)</f>
        <v>500</v>
      </c>
      <c r="J26" s="16">
        <f t="shared" si="2"/>
        <v>0</v>
      </c>
      <c r="K26" s="330"/>
      <c r="L26" s="243">
        <f>ROUND(I26,0)</f>
        <v>500</v>
      </c>
      <c r="M26" s="16">
        <f t="shared" si="3"/>
        <v>0</v>
      </c>
      <c r="N26" s="330"/>
      <c r="O26" s="252">
        <f>91.76+25.62</f>
        <v>117.38000000000001</v>
      </c>
      <c r="P26" s="405">
        <f t="shared" si="0"/>
        <v>0.23476000000000002</v>
      </c>
      <c r="Q26" s="252"/>
    </row>
    <row r="27" spans="1:17" x14ac:dyDescent="0.25">
      <c r="A27" s="7" t="s">
        <v>10</v>
      </c>
      <c r="B27" s="7" t="s">
        <v>53</v>
      </c>
      <c r="C27" s="71" t="s">
        <v>54</v>
      </c>
      <c r="D27" s="72" t="s">
        <v>55</v>
      </c>
      <c r="E27" s="243">
        <v>137960</v>
      </c>
      <c r="F27" s="243">
        <v>137960</v>
      </c>
      <c r="G27" s="16">
        <f t="shared" si="1"/>
        <v>0</v>
      </c>
      <c r="H27" s="330"/>
      <c r="I27" s="243">
        <f>SUM(I28:I33)</f>
        <v>137960</v>
      </c>
      <c r="J27" s="16">
        <f t="shared" si="2"/>
        <v>0</v>
      </c>
      <c r="K27" s="330"/>
      <c r="L27" s="243">
        <f>SUM(L28:L33)</f>
        <v>137960</v>
      </c>
      <c r="M27" s="16">
        <f t="shared" si="3"/>
        <v>0</v>
      </c>
      <c r="N27" s="330"/>
      <c r="O27" s="252">
        <f>SUM(O28:O33)</f>
        <v>76665.77</v>
      </c>
      <c r="P27" s="434">
        <f t="shared" si="0"/>
        <v>0.55571013337199193</v>
      </c>
      <c r="Q27" s="252"/>
    </row>
    <row r="28" spans="1:17" ht="26.4" x14ac:dyDescent="0.25">
      <c r="B28" s="15" t="s">
        <v>56</v>
      </c>
      <c r="C28" s="75" t="s">
        <v>57</v>
      </c>
      <c r="D28" s="76" t="s">
        <v>327</v>
      </c>
      <c r="E28" s="243">
        <v>100</v>
      </c>
      <c r="F28" s="243">
        <v>100</v>
      </c>
      <c r="G28" s="16">
        <f t="shared" si="1"/>
        <v>0</v>
      </c>
      <c r="H28" s="330"/>
      <c r="I28" s="243">
        <f t="shared" ref="I28:I33" si="4">ROUND(F28,0)</f>
        <v>100</v>
      </c>
      <c r="J28" s="16">
        <f t="shared" si="2"/>
        <v>0</v>
      </c>
      <c r="K28" s="330"/>
      <c r="L28" s="243">
        <f t="shared" ref="L28:L33" si="5">ROUND(I28,0)</f>
        <v>100</v>
      </c>
      <c r="M28" s="16">
        <f t="shared" si="3"/>
        <v>0</v>
      </c>
      <c r="N28" s="330"/>
      <c r="O28" s="252">
        <v>28.5</v>
      </c>
      <c r="P28" s="405">
        <f t="shared" si="0"/>
        <v>0.28499999999999998</v>
      </c>
      <c r="Q28" s="252"/>
    </row>
    <row r="29" spans="1:17" ht="26.4" x14ac:dyDescent="0.25">
      <c r="B29" s="64" t="s">
        <v>708</v>
      </c>
      <c r="C29" s="75" t="s">
        <v>59</v>
      </c>
      <c r="D29" s="76" t="s">
        <v>335</v>
      </c>
      <c r="E29" s="243">
        <v>1860</v>
      </c>
      <c r="F29" s="243">
        <v>1860</v>
      </c>
      <c r="G29" s="57">
        <f t="shared" si="1"/>
        <v>0</v>
      </c>
      <c r="H29" s="333"/>
      <c r="I29" s="243">
        <f t="shared" si="4"/>
        <v>1860</v>
      </c>
      <c r="J29" s="57">
        <f t="shared" si="2"/>
        <v>0</v>
      </c>
      <c r="K29" s="333"/>
      <c r="L29" s="243">
        <f t="shared" si="5"/>
        <v>1860</v>
      </c>
      <c r="M29" s="57">
        <f t="shared" si="3"/>
        <v>0</v>
      </c>
      <c r="N29" s="333"/>
      <c r="O29" s="252">
        <v>1287.98</v>
      </c>
      <c r="P29" s="407">
        <f t="shared" si="0"/>
        <v>0.69246236559139784</v>
      </c>
      <c r="Q29" s="252"/>
    </row>
    <row r="30" spans="1:17" ht="25.95" customHeight="1" x14ac:dyDescent="0.25">
      <c r="B30" s="15" t="s">
        <v>58</v>
      </c>
      <c r="C30" s="75" t="s">
        <v>60</v>
      </c>
      <c r="D30" s="76" t="s">
        <v>328</v>
      </c>
      <c r="E30" s="243">
        <v>33000</v>
      </c>
      <c r="F30" s="243">
        <v>33000</v>
      </c>
      <c r="G30" s="16">
        <f t="shared" si="1"/>
        <v>0</v>
      </c>
      <c r="H30" s="330"/>
      <c r="I30" s="243">
        <f t="shared" si="4"/>
        <v>33000</v>
      </c>
      <c r="J30" s="16">
        <f t="shared" si="2"/>
        <v>0</v>
      </c>
      <c r="K30" s="330"/>
      <c r="L30" s="243">
        <f t="shared" si="5"/>
        <v>33000</v>
      </c>
      <c r="M30" s="16">
        <f t="shared" si="3"/>
        <v>0</v>
      </c>
      <c r="N30" s="330"/>
      <c r="O30" s="252">
        <v>15476.1</v>
      </c>
      <c r="P30" s="405">
        <f t="shared" si="0"/>
        <v>0.46897272727272726</v>
      </c>
      <c r="Q30" s="252"/>
    </row>
    <row r="31" spans="1:17" ht="26.4" x14ac:dyDescent="0.25">
      <c r="B31" s="15" t="s">
        <v>61</v>
      </c>
      <c r="C31" s="75" t="s">
        <v>62</v>
      </c>
      <c r="D31" s="76" t="s">
        <v>329</v>
      </c>
      <c r="E31" s="243">
        <v>13000</v>
      </c>
      <c r="F31" s="243">
        <v>13000</v>
      </c>
      <c r="G31" s="16">
        <f t="shared" si="1"/>
        <v>0</v>
      </c>
      <c r="H31" s="330"/>
      <c r="I31" s="243">
        <f t="shared" si="4"/>
        <v>13000</v>
      </c>
      <c r="J31" s="16">
        <f t="shared" si="2"/>
        <v>0</v>
      </c>
      <c r="K31" s="330"/>
      <c r="L31" s="243">
        <f t="shared" si="5"/>
        <v>13000</v>
      </c>
      <c r="M31" s="16">
        <f t="shared" si="3"/>
        <v>0</v>
      </c>
      <c r="N31" s="330"/>
      <c r="O31" s="252">
        <f>15812.4-78.79</f>
        <v>15733.609999999999</v>
      </c>
      <c r="P31" s="405">
        <f t="shared" si="0"/>
        <v>1.2102776923076921</v>
      </c>
      <c r="Q31" s="252"/>
    </row>
    <row r="32" spans="1:17" x14ac:dyDescent="0.25">
      <c r="B32" s="15" t="s">
        <v>63</v>
      </c>
      <c r="C32" s="75" t="s">
        <v>64</v>
      </c>
      <c r="D32" s="76" t="s">
        <v>330</v>
      </c>
      <c r="E32" s="243">
        <v>85000</v>
      </c>
      <c r="F32" s="243">
        <v>85000</v>
      </c>
      <c r="G32" s="16">
        <f t="shared" si="1"/>
        <v>0</v>
      </c>
      <c r="H32" s="330"/>
      <c r="I32" s="243">
        <f t="shared" si="4"/>
        <v>85000</v>
      </c>
      <c r="J32" s="16">
        <f t="shared" si="2"/>
        <v>0</v>
      </c>
      <c r="K32" s="330"/>
      <c r="L32" s="243">
        <f t="shared" si="5"/>
        <v>85000</v>
      </c>
      <c r="M32" s="16">
        <f t="shared" si="3"/>
        <v>0</v>
      </c>
      <c r="N32" s="330"/>
      <c r="O32" s="252">
        <v>42352</v>
      </c>
      <c r="P32" s="405">
        <f t="shared" si="0"/>
        <v>0.49825882352941175</v>
      </c>
      <c r="Q32" s="252"/>
    </row>
    <row r="33" spans="1:18" x14ac:dyDescent="0.25">
      <c r="B33" s="15" t="s">
        <v>65</v>
      </c>
      <c r="C33" s="75" t="s">
        <v>66</v>
      </c>
      <c r="D33" s="76" t="s">
        <v>331</v>
      </c>
      <c r="E33" s="243">
        <v>5000</v>
      </c>
      <c r="F33" s="243">
        <v>5000</v>
      </c>
      <c r="G33" s="16">
        <f t="shared" si="1"/>
        <v>0</v>
      </c>
      <c r="H33" s="330"/>
      <c r="I33" s="243">
        <f t="shared" si="4"/>
        <v>5000</v>
      </c>
      <c r="J33" s="16">
        <f t="shared" si="2"/>
        <v>0</v>
      </c>
      <c r="K33" s="330"/>
      <c r="L33" s="243">
        <f t="shared" si="5"/>
        <v>5000</v>
      </c>
      <c r="M33" s="16">
        <f t="shared" si="3"/>
        <v>0</v>
      </c>
      <c r="N33" s="330"/>
      <c r="O33" s="252">
        <v>1787.58</v>
      </c>
      <c r="P33" s="405">
        <f t="shared" si="0"/>
        <v>0.357516</v>
      </c>
      <c r="Q33" s="252"/>
    </row>
    <row r="34" spans="1:18" ht="18" customHeight="1" x14ac:dyDescent="0.25">
      <c r="B34" s="7" t="s">
        <v>67</v>
      </c>
      <c r="C34" s="73" t="s">
        <v>68</v>
      </c>
      <c r="D34" s="74" t="s">
        <v>69</v>
      </c>
      <c r="E34" s="277">
        <v>130000</v>
      </c>
      <c r="F34" s="277">
        <v>130000</v>
      </c>
      <c r="G34" s="17">
        <f t="shared" si="1"/>
        <v>0</v>
      </c>
      <c r="H34" s="334"/>
      <c r="I34" s="277">
        <f>I35+I36</f>
        <v>130000</v>
      </c>
      <c r="J34" s="17">
        <f t="shared" si="2"/>
        <v>0</v>
      </c>
      <c r="K34" s="334"/>
      <c r="L34" s="277">
        <f>L35+L36</f>
        <v>130000</v>
      </c>
      <c r="M34" s="17">
        <f t="shared" si="3"/>
        <v>0</v>
      </c>
      <c r="N34" s="334"/>
      <c r="O34" s="258">
        <f>O35+O36</f>
        <v>80655.09</v>
      </c>
      <c r="P34" s="432">
        <f t="shared" si="0"/>
        <v>0.62042376923076925</v>
      </c>
      <c r="Q34" s="433"/>
    </row>
    <row r="35" spans="1:18" ht="16.5" customHeight="1" x14ac:dyDescent="0.3">
      <c r="B35" s="59" t="s">
        <v>70</v>
      </c>
      <c r="C35" s="71" t="s">
        <v>71</v>
      </c>
      <c r="D35" s="72" t="s">
        <v>69</v>
      </c>
      <c r="E35" s="243">
        <v>90000</v>
      </c>
      <c r="F35" s="243">
        <v>90000</v>
      </c>
      <c r="G35" s="16">
        <f t="shared" si="1"/>
        <v>0</v>
      </c>
      <c r="H35" s="318"/>
      <c r="I35" s="243">
        <f>ROUND(F35,0)</f>
        <v>90000</v>
      </c>
      <c r="J35" s="16">
        <f t="shared" si="2"/>
        <v>0</v>
      </c>
      <c r="K35" s="318"/>
      <c r="L35" s="243">
        <f>ROUND(I35,0)</f>
        <v>90000</v>
      </c>
      <c r="M35" s="16">
        <f t="shared" si="3"/>
        <v>0</v>
      </c>
      <c r="N35" s="318"/>
      <c r="O35" s="252">
        <f>69333.09+985</f>
        <v>70318.09</v>
      </c>
      <c r="P35" s="405">
        <f t="shared" si="0"/>
        <v>0.7813121111111111</v>
      </c>
      <c r="Q35" s="252"/>
    </row>
    <row r="36" spans="1:18" ht="28.2" x14ac:dyDescent="0.3">
      <c r="B36" s="59" t="s">
        <v>72</v>
      </c>
      <c r="C36" s="71" t="s">
        <v>73</v>
      </c>
      <c r="D36" s="72" t="s">
        <v>74</v>
      </c>
      <c r="E36" s="243">
        <v>40000</v>
      </c>
      <c r="F36" s="243">
        <v>40000</v>
      </c>
      <c r="G36" s="16">
        <f t="shared" si="1"/>
        <v>0</v>
      </c>
      <c r="H36" s="318"/>
      <c r="I36" s="243">
        <f>ROUND(F36,0)</f>
        <v>40000</v>
      </c>
      <c r="J36" s="16">
        <f t="shared" si="2"/>
        <v>0</v>
      </c>
      <c r="K36" s="318"/>
      <c r="L36" s="243">
        <f>ROUND(I36,0)</f>
        <v>40000</v>
      </c>
      <c r="M36" s="16">
        <f t="shared" si="3"/>
        <v>0</v>
      </c>
      <c r="N36" s="318"/>
      <c r="O36" s="252">
        <v>10337</v>
      </c>
      <c r="P36" s="405">
        <f t="shared" si="0"/>
        <v>0.25842500000000002</v>
      </c>
      <c r="Q36" s="252"/>
    </row>
    <row r="37" spans="1:18" ht="15" customHeight="1" x14ac:dyDescent="0.25">
      <c r="B37" s="7" t="s">
        <v>75</v>
      </c>
      <c r="C37" s="73" t="s">
        <v>76</v>
      </c>
      <c r="D37" s="74" t="s">
        <v>77</v>
      </c>
      <c r="E37" s="277">
        <v>35728</v>
      </c>
      <c r="F37" s="277">
        <v>35728</v>
      </c>
      <c r="G37" s="17">
        <f t="shared" si="1"/>
        <v>0</v>
      </c>
      <c r="H37" s="329"/>
      <c r="I37" s="277">
        <f>I38+I39+I40</f>
        <v>35728</v>
      </c>
      <c r="J37" s="17">
        <f t="shared" si="2"/>
        <v>0</v>
      </c>
      <c r="K37" s="329"/>
      <c r="L37" s="277">
        <f>L38+L39+L40</f>
        <v>35728</v>
      </c>
      <c r="M37" s="17">
        <f t="shared" si="3"/>
        <v>0</v>
      </c>
      <c r="N37" s="329"/>
      <c r="O37" s="258">
        <f>O38+O39+O40</f>
        <v>51366.770000000004</v>
      </c>
      <c r="P37" s="432">
        <f t="shared" si="0"/>
        <v>1.4377174764890284</v>
      </c>
      <c r="Q37" s="258"/>
      <c r="R37" s="45"/>
    </row>
    <row r="38" spans="1:18" ht="45.6" customHeight="1" x14ac:dyDescent="0.25">
      <c r="A38" s="7" t="s">
        <v>10</v>
      </c>
      <c r="B38" s="8" t="s">
        <v>1305</v>
      </c>
      <c r="C38" s="71" t="s">
        <v>78</v>
      </c>
      <c r="D38" s="173" t="s">
        <v>79</v>
      </c>
      <c r="E38" s="243">
        <v>25728</v>
      </c>
      <c r="F38" s="243">
        <v>25728</v>
      </c>
      <c r="G38" s="16">
        <f t="shared" si="1"/>
        <v>0</v>
      </c>
      <c r="H38" s="316"/>
      <c r="I38" s="243">
        <f>ROUND(F38,0)</f>
        <v>25728</v>
      </c>
      <c r="J38" s="16">
        <f t="shared" si="2"/>
        <v>0</v>
      </c>
      <c r="K38" s="316"/>
      <c r="L38" s="243">
        <f>ROUND(I38,0)</f>
        <v>25728</v>
      </c>
      <c r="M38" s="16">
        <f t="shared" si="3"/>
        <v>0</v>
      </c>
      <c r="N38" s="316"/>
      <c r="O38" s="252">
        <f>20189+18420+398+223</f>
        <v>39230</v>
      </c>
      <c r="P38" s="405">
        <f t="shared" si="0"/>
        <v>1.5247978855721394</v>
      </c>
      <c r="Q38" s="403" t="s">
        <v>1493</v>
      </c>
    </row>
    <row r="39" spans="1:18" ht="27.75" customHeight="1" x14ac:dyDescent="0.25">
      <c r="B39" s="7" t="s">
        <v>289</v>
      </c>
      <c r="C39" s="71" t="s">
        <v>80</v>
      </c>
      <c r="D39" s="72" t="s">
        <v>288</v>
      </c>
      <c r="E39" s="243">
        <v>0</v>
      </c>
      <c r="F39" s="243">
        <v>0</v>
      </c>
      <c r="G39" s="16">
        <f t="shared" si="1"/>
        <v>0</v>
      </c>
      <c r="H39" s="316"/>
      <c r="I39" s="243">
        <f>ROUND(F39,0)</f>
        <v>0</v>
      </c>
      <c r="J39" s="16">
        <f t="shared" si="2"/>
        <v>0</v>
      </c>
      <c r="K39" s="316"/>
      <c r="L39" s="243">
        <f>ROUND(I39,0)</f>
        <v>0</v>
      </c>
      <c r="M39" s="16">
        <f t="shared" si="3"/>
        <v>0</v>
      </c>
      <c r="N39" s="316"/>
      <c r="O39" s="498"/>
      <c r="P39" s="405"/>
      <c r="Q39" s="506"/>
    </row>
    <row r="40" spans="1:18" x14ac:dyDescent="0.25">
      <c r="B40" s="7" t="s">
        <v>869</v>
      </c>
      <c r="C40" s="71" t="s">
        <v>81</v>
      </c>
      <c r="D40" s="72" t="s">
        <v>356</v>
      </c>
      <c r="E40" s="243">
        <v>10000</v>
      </c>
      <c r="F40" s="243">
        <v>10000</v>
      </c>
      <c r="G40" s="57">
        <f t="shared" si="1"/>
        <v>0</v>
      </c>
      <c r="H40" s="335"/>
      <c r="I40" s="243">
        <f>ROUND(F40,0)</f>
        <v>10000</v>
      </c>
      <c r="J40" s="57">
        <f t="shared" si="2"/>
        <v>0</v>
      </c>
      <c r="K40" s="335"/>
      <c r="L40" s="243">
        <f>ROUND(I40,0)</f>
        <v>10000</v>
      </c>
      <c r="M40" s="57">
        <f t="shared" si="3"/>
        <v>0</v>
      </c>
      <c r="N40" s="335"/>
      <c r="O40" s="252">
        <v>12136.77</v>
      </c>
      <c r="P40" s="407">
        <f>O40/L40</f>
        <v>1.2136770000000001</v>
      </c>
      <c r="Q40" s="252"/>
      <c r="R40" s="45"/>
    </row>
    <row r="41" spans="1:18" ht="26.4" customHeight="1" x14ac:dyDescent="0.25">
      <c r="B41" s="7" t="s">
        <v>274</v>
      </c>
      <c r="C41" s="77" t="s">
        <v>82</v>
      </c>
      <c r="D41" s="74" t="s">
        <v>83</v>
      </c>
      <c r="E41" s="277">
        <v>0</v>
      </c>
      <c r="F41" s="277">
        <v>0</v>
      </c>
      <c r="G41" s="17">
        <f t="shared" si="1"/>
        <v>0</v>
      </c>
      <c r="H41" s="334"/>
      <c r="I41" s="277">
        <f>ROUND(F41,0)</f>
        <v>0</v>
      </c>
      <c r="J41" s="17">
        <f t="shared" si="2"/>
        <v>0</v>
      </c>
      <c r="K41" s="334"/>
      <c r="L41" s="277">
        <f>ROUND(I41,0)</f>
        <v>0</v>
      </c>
      <c r="M41" s="17">
        <f t="shared" si="3"/>
        <v>0</v>
      </c>
      <c r="N41" s="334"/>
      <c r="O41" s="258">
        <v>159278.32999999999</v>
      </c>
      <c r="P41" s="432"/>
      <c r="Q41" s="433"/>
    </row>
    <row r="42" spans="1:18" ht="31.5" customHeight="1" x14ac:dyDescent="0.25">
      <c r="C42" s="77" t="s">
        <v>86</v>
      </c>
      <c r="D42" s="74" t="s">
        <v>293</v>
      </c>
      <c r="E42" s="277">
        <v>17618701</v>
      </c>
      <c r="F42" s="277">
        <v>17672389</v>
      </c>
      <c r="G42" s="17">
        <f t="shared" si="1"/>
        <v>53688</v>
      </c>
      <c r="H42" s="17"/>
      <c r="I42" s="277">
        <f>I43+I66+I85</f>
        <v>18762241</v>
      </c>
      <c r="J42" s="17">
        <f t="shared" si="2"/>
        <v>1089852</v>
      </c>
      <c r="K42" s="17"/>
      <c r="L42" s="277">
        <f>L43+L66+L85</f>
        <v>18904660</v>
      </c>
      <c r="M42" s="17">
        <f t="shared" si="3"/>
        <v>142419</v>
      </c>
      <c r="N42" s="17"/>
      <c r="O42" s="507">
        <f>O43+O66+O85</f>
        <v>7400899.9699999997</v>
      </c>
      <c r="P42" s="432">
        <f>O42/L42</f>
        <v>0.39148548400235705</v>
      </c>
      <c r="Q42" s="258"/>
    </row>
    <row r="43" spans="1:18" ht="17.399999999999999" customHeight="1" x14ac:dyDescent="0.25">
      <c r="B43" s="15"/>
      <c r="C43" s="78" t="s">
        <v>90</v>
      </c>
      <c r="D43" s="175" t="s">
        <v>87</v>
      </c>
      <c r="E43" s="290">
        <v>9758404</v>
      </c>
      <c r="F43" s="290">
        <v>9781664</v>
      </c>
      <c r="G43" s="55">
        <f t="shared" si="1"/>
        <v>23260</v>
      </c>
      <c r="H43" s="55"/>
      <c r="I43" s="290">
        <f>SUM(I44:I47)+I50+SUM(I54:I65)</f>
        <v>9919247</v>
      </c>
      <c r="J43" s="55">
        <f t="shared" si="2"/>
        <v>137583</v>
      </c>
      <c r="K43" s="55"/>
      <c r="L43" s="290">
        <f>SUM(L44:L47)+L50+SUM(L54:L65)</f>
        <v>10023614</v>
      </c>
      <c r="M43" s="55">
        <f t="shared" si="3"/>
        <v>104367</v>
      </c>
      <c r="N43" s="55"/>
      <c r="O43" s="262">
        <f>SUM(O44:O47)+O50+SUM(O54:O65)</f>
        <v>6502618.4199999999</v>
      </c>
      <c r="P43" s="439">
        <f>O43/L43</f>
        <v>0.64872993114060462</v>
      </c>
      <c r="Q43" s="262"/>
    </row>
    <row r="44" spans="1:18" ht="16.95" customHeight="1" x14ac:dyDescent="0.25">
      <c r="A44" s="7" t="s">
        <v>88</v>
      </c>
      <c r="B44" s="7" t="s">
        <v>89</v>
      </c>
      <c r="C44" s="75" t="s">
        <v>471</v>
      </c>
      <c r="D44" s="72" t="s">
        <v>91</v>
      </c>
      <c r="E44" s="243">
        <v>718764</v>
      </c>
      <c r="F44" s="243">
        <v>718764</v>
      </c>
      <c r="G44" s="16">
        <f t="shared" si="1"/>
        <v>0</v>
      </c>
      <c r="H44" s="316"/>
      <c r="I44" s="243">
        <f>ROUND(F44,0)</f>
        <v>718764</v>
      </c>
      <c r="J44" s="16">
        <f t="shared" si="2"/>
        <v>0</v>
      </c>
      <c r="K44" s="316"/>
      <c r="L44" s="243">
        <f>ROUND(I44,0)</f>
        <v>718764</v>
      </c>
      <c r="M44" s="16">
        <f t="shared" si="3"/>
        <v>0</v>
      </c>
      <c r="N44" s="316"/>
      <c r="O44" s="252">
        <v>550412</v>
      </c>
      <c r="P44" s="405">
        <f>O44/L44</f>
        <v>0.7657756927169419</v>
      </c>
      <c r="Q44" s="252"/>
    </row>
    <row r="45" spans="1:18" ht="13.95" customHeight="1" x14ac:dyDescent="0.3">
      <c r="A45" s="7" t="s">
        <v>88</v>
      </c>
      <c r="B45" s="59" t="s">
        <v>92</v>
      </c>
      <c r="C45" s="75" t="s">
        <v>472</v>
      </c>
      <c r="D45" s="72" t="s">
        <v>94</v>
      </c>
      <c r="E45" s="243">
        <v>313180</v>
      </c>
      <c r="F45" s="243">
        <v>313180</v>
      </c>
      <c r="G45" s="16">
        <f t="shared" si="1"/>
        <v>0</v>
      </c>
      <c r="H45" s="318"/>
      <c r="I45" s="243">
        <f>ROUND(F45,0)</f>
        <v>313180</v>
      </c>
      <c r="J45" s="16">
        <f t="shared" si="2"/>
        <v>0</v>
      </c>
      <c r="K45" s="318"/>
      <c r="L45" s="243">
        <f>ROUND(I45,0)</f>
        <v>313180</v>
      </c>
      <c r="M45" s="16">
        <f t="shared" si="3"/>
        <v>0</v>
      </c>
      <c r="N45" s="318"/>
      <c r="O45" s="252">
        <v>169600</v>
      </c>
      <c r="P45" s="405">
        <f>O45/L45</f>
        <v>0.54154160546650487</v>
      </c>
      <c r="Q45" s="252"/>
    </row>
    <row r="46" spans="1:18" ht="14.4" x14ac:dyDescent="0.3">
      <c r="B46" s="54" t="s">
        <v>316</v>
      </c>
      <c r="C46" s="75" t="s">
        <v>473</v>
      </c>
      <c r="D46" s="72" t="s">
        <v>95</v>
      </c>
      <c r="E46" s="243">
        <v>341692</v>
      </c>
      <c r="F46" s="243">
        <v>341692</v>
      </c>
      <c r="G46" s="16">
        <f t="shared" si="1"/>
        <v>0</v>
      </c>
      <c r="H46" s="316"/>
      <c r="I46" s="243">
        <f>ROUND(F46,0)</f>
        <v>341692</v>
      </c>
      <c r="J46" s="16">
        <f t="shared" si="2"/>
        <v>0</v>
      </c>
      <c r="K46" s="316"/>
      <c r="L46" s="243">
        <f>ROUND(I46,0)</f>
        <v>341692</v>
      </c>
      <c r="M46" s="16">
        <f t="shared" si="3"/>
        <v>0</v>
      </c>
      <c r="N46" s="316"/>
      <c r="O46" s="252">
        <v>211729.88999999998</v>
      </c>
      <c r="P46" s="405">
        <f>O46/L46</f>
        <v>0.61965129414794606</v>
      </c>
      <c r="Q46" s="252"/>
    </row>
    <row r="47" spans="1:18" ht="14.25" customHeight="1" x14ac:dyDescent="0.3">
      <c r="A47" s="7" t="s">
        <v>88</v>
      </c>
      <c r="B47" s="59" t="s">
        <v>96</v>
      </c>
      <c r="C47" s="75" t="s">
        <v>474</v>
      </c>
      <c r="D47" s="72" t="s">
        <v>530</v>
      </c>
      <c r="E47" s="16">
        <v>0</v>
      </c>
      <c r="F47" s="243">
        <v>0</v>
      </c>
      <c r="G47" s="16">
        <f t="shared" si="1"/>
        <v>0</v>
      </c>
      <c r="H47" s="16"/>
      <c r="I47" s="243">
        <f>I48+I49</f>
        <v>117542</v>
      </c>
      <c r="J47" s="16">
        <f t="shared" si="2"/>
        <v>117542</v>
      </c>
      <c r="K47" s="16"/>
      <c r="L47" s="243">
        <f>L48+L49</f>
        <v>117542</v>
      </c>
      <c r="M47" s="16">
        <f t="shared" si="3"/>
        <v>0</v>
      </c>
      <c r="N47" s="16"/>
      <c r="O47" s="252">
        <v>121179.72</v>
      </c>
      <c r="P47" s="405"/>
      <c r="Q47" s="252"/>
    </row>
    <row r="48" spans="1:18" ht="14.25" customHeight="1" x14ac:dyDescent="0.3">
      <c r="B48" s="59"/>
      <c r="C48" s="75" t="s">
        <v>527</v>
      </c>
      <c r="D48" s="76" t="s">
        <v>529</v>
      </c>
      <c r="E48" s="243">
        <v>0</v>
      </c>
      <c r="F48" s="278">
        <v>0</v>
      </c>
      <c r="G48" s="96">
        <f t="shared" si="1"/>
        <v>0</v>
      </c>
      <c r="H48" s="321"/>
      <c r="I48" s="278">
        <f>ROUND(F48,0)+117542</f>
        <v>117542</v>
      </c>
      <c r="J48" s="96">
        <f t="shared" si="2"/>
        <v>117542</v>
      </c>
      <c r="K48" s="321" t="s">
        <v>1464</v>
      </c>
      <c r="L48" s="278">
        <f>ROUND(I48,0)</f>
        <v>117542</v>
      </c>
      <c r="M48" s="96">
        <f t="shared" si="3"/>
        <v>0</v>
      </c>
      <c r="N48" s="321"/>
      <c r="O48" s="252">
        <v>121179.72</v>
      </c>
      <c r="P48" s="405"/>
      <c r="Q48" s="252"/>
    </row>
    <row r="49" spans="1:17" ht="29.4" customHeight="1" x14ac:dyDescent="0.3">
      <c r="B49" s="59"/>
      <c r="C49" s="75" t="s">
        <v>528</v>
      </c>
      <c r="D49" s="76" t="s">
        <v>531</v>
      </c>
      <c r="E49" s="243">
        <v>0</v>
      </c>
      <c r="F49" s="278">
        <v>0</v>
      </c>
      <c r="G49" s="96">
        <f t="shared" si="1"/>
        <v>0</v>
      </c>
      <c r="H49" s="321"/>
      <c r="I49" s="278">
        <f>ROUND(F49,0)</f>
        <v>0</v>
      </c>
      <c r="J49" s="96">
        <f t="shared" si="2"/>
        <v>0</v>
      </c>
      <c r="K49" s="321"/>
      <c r="L49" s="278">
        <f>ROUND(I49,0)</f>
        <v>0</v>
      </c>
      <c r="M49" s="96">
        <f t="shared" si="3"/>
        <v>0</v>
      </c>
      <c r="N49" s="321"/>
      <c r="O49" s="252">
        <v>0</v>
      </c>
      <c r="P49" s="405"/>
      <c r="Q49" s="252"/>
    </row>
    <row r="50" spans="1:17" ht="13.95" customHeight="1" x14ac:dyDescent="0.25">
      <c r="B50" s="7" t="s">
        <v>97</v>
      </c>
      <c r="C50" s="75" t="s">
        <v>475</v>
      </c>
      <c r="D50" s="72" t="s">
        <v>98</v>
      </c>
      <c r="E50" s="279">
        <v>7121916</v>
      </c>
      <c r="F50" s="279">
        <v>7137676</v>
      </c>
      <c r="G50" s="51">
        <f t="shared" si="1"/>
        <v>15760</v>
      </c>
      <c r="H50" s="336"/>
      <c r="I50" s="279">
        <f>I51+I52+I53</f>
        <v>7137676</v>
      </c>
      <c r="J50" s="51">
        <f t="shared" si="2"/>
        <v>0</v>
      </c>
      <c r="K50" s="336"/>
      <c r="L50" s="279">
        <f>L51+L52+L53</f>
        <v>7137676</v>
      </c>
      <c r="M50" s="51">
        <f t="shared" si="3"/>
        <v>0</v>
      </c>
      <c r="N50" s="336"/>
      <c r="O50" s="404">
        <f>O51+O52+O53</f>
        <v>4758451</v>
      </c>
      <c r="P50" s="440">
        <f>O50/L50</f>
        <v>0.66666671336720806</v>
      </c>
      <c r="Q50" s="404"/>
    </row>
    <row r="51" spans="1:17" s="20" customFormat="1" ht="14.4" x14ac:dyDescent="0.3">
      <c r="A51" s="7" t="s">
        <v>88</v>
      </c>
      <c r="B51" s="59" t="s">
        <v>99</v>
      </c>
      <c r="C51" s="75" t="s">
        <v>476</v>
      </c>
      <c r="D51" s="76" t="s">
        <v>100</v>
      </c>
      <c r="E51" s="280">
        <v>1065868</v>
      </c>
      <c r="F51" s="280">
        <v>1065868</v>
      </c>
      <c r="G51" s="19">
        <f t="shared" si="1"/>
        <v>0</v>
      </c>
      <c r="H51" s="337"/>
      <c r="I51" s="280">
        <f t="shared" ref="I51:I64" si="6">ROUND(F51,0)</f>
        <v>1065868</v>
      </c>
      <c r="J51" s="19">
        <f t="shared" si="2"/>
        <v>0</v>
      </c>
      <c r="K51" s="337"/>
      <c r="L51" s="280">
        <f t="shared" ref="L51:L64" si="7">ROUND(I51,0)</f>
        <v>1065868</v>
      </c>
      <c r="M51" s="19">
        <f t="shared" si="3"/>
        <v>0</v>
      </c>
      <c r="N51" s="337"/>
      <c r="O51" s="402">
        <v>710579</v>
      </c>
      <c r="P51" s="441">
        <f>O51/L51</f>
        <v>0.66666697940082642</v>
      </c>
      <c r="Q51" s="402"/>
    </row>
    <row r="52" spans="1:17" s="20" customFormat="1" ht="14.4" x14ac:dyDescent="0.3">
      <c r="A52" s="7" t="s">
        <v>88</v>
      </c>
      <c r="B52" s="59" t="s">
        <v>101</v>
      </c>
      <c r="C52" s="75" t="s">
        <v>477</v>
      </c>
      <c r="D52" s="76" t="s">
        <v>332</v>
      </c>
      <c r="E52" s="280">
        <v>5542646</v>
      </c>
      <c r="F52" s="280">
        <v>5542646</v>
      </c>
      <c r="G52" s="19">
        <f t="shared" si="1"/>
        <v>0</v>
      </c>
      <c r="H52" s="337"/>
      <c r="I52" s="280">
        <f t="shared" si="6"/>
        <v>5542646</v>
      </c>
      <c r="J52" s="19">
        <f t="shared" si="2"/>
        <v>0</v>
      </c>
      <c r="K52" s="337"/>
      <c r="L52" s="280">
        <f t="shared" si="7"/>
        <v>5542646</v>
      </c>
      <c r="M52" s="19">
        <f t="shared" si="3"/>
        <v>0</v>
      </c>
      <c r="N52" s="337"/>
      <c r="O52" s="544">
        <v>4047872</v>
      </c>
      <c r="P52" s="546">
        <f>O52/L52</f>
        <v>0.73031400526030343</v>
      </c>
      <c r="Q52" s="402"/>
    </row>
    <row r="53" spans="1:17" s="20" customFormat="1" ht="18" customHeight="1" x14ac:dyDescent="0.25">
      <c r="A53" s="7" t="s">
        <v>88</v>
      </c>
      <c r="B53" s="7"/>
      <c r="C53" s="75" t="s">
        <v>478</v>
      </c>
      <c r="D53" s="76" t="s">
        <v>333</v>
      </c>
      <c r="E53" s="280">
        <v>513402</v>
      </c>
      <c r="F53" s="280">
        <v>529162</v>
      </c>
      <c r="G53" s="19">
        <f t="shared" si="1"/>
        <v>15760</v>
      </c>
      <c r="H53" s="337" t="s">
        <v>1414</v>
      </c>
      <c r="I53" s="280">
        <f t="shared" si="6"/>
        <v>529162</v>
      </c>
      <c r="J53" s="19">
        <f t="shared" si="2"/>
        <v>0</v>
      </c>
      <c r="K53" s="337"/>
      <c r="L53" s="280">
        <f t="shared" si="7"/>
        <v>529162</v>
      </c>
      <c r="M53" s="19">
        <f t="shared" si="3"/>
        <v>0</v>
      </c>
      <c r="N53" s="337"/>
      <c r="O53" s="545"/>
      <c r="P53" s="547">
        <f t="shared" ref="P53:P56" si="8">O53/F53</f>
        <v>0</v>
      </c>
      <c r="Q53" s="402"/>
    </row>
    <row r="54" spans="1:17" ht="31.5" customHeight="1" x14ac:dyDescent="0.25">
      <c r="A54" s="7" t="s">
        <v>88</v>
      </c>
      <c r="B54" s="7" t="s">
        <v>102</v>
      </c>
      <c r="C54" s="75" t="s">
        <v>479</v>
      </c>
      <c r="D54" s="72" t="s">
        <v>307</v>
      </c>
      <c r="E54" s="243">
        <v>26360</v>
      </c>
      <c r="F54" s="243">
        <v>26360</v>
      </c>
      <c r="G54" s="16">
        <f t="shared" si="1"/>
        <v>0</v>
      </c>
      <c r="H54" s="330"/>
      <c r="I54" s="243">
        <f t="shared" si="6"/>
        <v>26360</v>
      </c>
      <c r="J54" s="16">
        <f t="shared" si="2"/>
        <v>0</v>
      </c>
      <c r="K54" s="330"/>
      <c r="L54" s="243">
        <f t="shared" si="7"/>
        <v>26360</v>
      </c>
      <c r="M54" s="16">
        <f t="shared" si="3"/>
        <v>0</v>
      </c>
      <c r="N54" s="330"/>
      <c r="O54" s="252">
        <f>3926.24+2661.76</f>
        <v>6588</v>
      </c>
      <c r="P54" s="405">
        <f>O54/L54</f>
        <v>0.24992412746585735</v>
      </c>
      <c r="Q54" s="252"/>
    </row>
    <row r="55" spans="1:17" ht="19.2" customHeight="1" x14ac:dyDescent="0.3">
      <c r="A55" s="7" t="s">
        <v>88</v>
      </c>
      <c r="B55" s="273" t="s">
        <v>870</v>
      </c>
      <c r="C55" s="75" t="s">
        <v>480</v>
      </c>
      <c r="D55" s="72" t="s">
        <v>348</v>
      </c>
      <c r="E55" s="243">
        <v>37535</v>
      </c>
      <c r="F55" s="243">
        <v>37535</v>
      </c>
      <c r="G55" s="16">
        <f t="shared" si="1"/>
        <v>0</v>
      </c>
      <c r="H55" s="318"/>
      <c r="I55" s="243">
        <f t="shared" si="6"/>
        <v>37535</v>
      </c>
      <c r="J55" s="16">
        <f t="shared" si="2"/>
        <v>0</v>
      </c>
      <c r="K55" s="318"/>
      <c r="L55" s="243">
        <f t="shared" si="7"/>
        <v>37535</v>
      </c>
      <c r="M55" s="16">
        <f t="shared" si="3"/>
        <v>0</v>
      </c>
      <c r="N55" s="318"/>
      <c r="O55" s="548">
        <v>24057.5</v>
      </c>
      <c r="P55" s="540">
        <f>O55/L55</f>
        <v>0.64093512721459966</v>
      </c>
      <c r="Q55" s="259"/>
    </row>
    <row r="56" spans="1:17" ht="19.2" customHeight="1" x14ac:dyDescent="0.3">
      <c r="B56" s="273" t="s">
        <v>870</v>
      </c>
      <c r="C56" s="75" t="s">
        <v>481</v>
      </c>
      <c r="D56" s="72" t="s">
        <v>399</v>
      </c>
      <c r="E56" s="243">
        <v>11142</v>
      </c>
      <c r="F56" s="243">
        <v>11142</v>
      </c>
      <c r="G56" s="96">
        <f t="shared" si="1"/>
        <v>0</v>
      </c>
      <c r="H56" s="318"/>
      <c r="I56" s="243">
        <f t="shared" si="6"/>
        <v>11142</v>
      </c>
      <c r="J56" s="96">
        <f t="shared" si="2"/>
        <v>0</v>
      </c>
      <c r="K56" s="318"/>
      <c r="L56" s="243">
        <f t="shared" si="7"/>
        <v>11142</v>
      </c>
      <c r="M56" s="96">
        <f t="shared" si="3"/>
        <v>0</v>
      </c>
      <c r="N56" s="318"/>
      <c r="O56" s="549"/>
      <c r="P56" s="541">
        <f t="shared" si="8"/>
        <v>0</v>
      </c>
      <c r="Q56" s="259"/>
    </row>
    <row r="57" spans="1:17" ht="30.6" customHeight="1" x14ac:dyDescent="0.25">
      <c r="B57" s="7" t="s">
        <v>103</v>
      </c>
      <c r="C57" s="75" t="s">
        <v>482</v>
      </c>
      <c r="D57" s="72" t="s">
        <v>104</v>
      </c>
      <c r="E57" s="243">
        <v>580000</v>
      </c>
      <c r="F57" s="243">
        <v>580000</v>
      </c>
      <c r="G57" s="16">
        <f t="shared" si="1"/>
        <v>0</v>
      </c>
      <c r="H57" s="316"/>
      <c r="I57" s="243">
        <f t="shared" si="6"/>
        <v>580000</v>
      </c>
      <c r="J57" s="16">
        <f t="shared" si="2"/>
        <v>0</v>
      </c>
      <c r="K57" s="316"/>
      <c r="L57" s="243">
        <f t="shared" si="7"/>
        <v>580000</v>
      </c>
      <c r="M57" s="16">
        <f t="shared" si="3"/>
        <v>0</v>
      </c>
      <c r="N57" s="316"/>
      <c r="O57" s="252">
        <v>312282.53999999998</v>
      </c>
      <c r="P57" s="405">
        <f>O57/L57</f>
        <v>0.53841817241379308</v>
      </c>
      <c r="Q57" s="252"/>
    </row>
    <row r="58" spans="1:17" ht="31.5" customHeight="1" x14ac:dyDescent="0.25">
      <c r="C58" s="75" t="s">
        <v>483</v>
      </c>
      <c r="D58" s="72" t="s">
        <v>300</v>
      </c>
      <c r="E58" s="243">
        <v>0</v>
      </c>
      <c r="F58" s="243">
        <v>0</v>
      </c>
      <c r="G58" s="16">
        <f t="shared" si="1"/>
        <v>0</v>
      </c>
      <c r="H58" s="338"/>
      <c r="I58" s="243">
        <f t="shared" si="6"/>
        <v>0</v>
      </c>
      <c r="J58" s="16">
        <f t="shared" si="2"/>
        <v>0</v>
      </c>
      <c r="K58" s="338"/>
      <c r="L58" s="243">
        <f t="shared" si="7"/>
        <v>0</v>
      </c>
      <c r="M58" s="16">
        <f t="shared" si="3"/>
        <v>0</v>
      </c>
      <c r="N58" s="338"/>
      <c r="O58" s="498"/>
      <c r="P58" s="405"/>
      <c r="Q58" s="252"/>
    </row>
    <row r="59" spans="1:17" ht="31.5" customHeight="1" x14ac:dyDescent="0.25">
      <c r="C59" s="122"/>
      <c r="D59" s="106" t="s">
        <v>821</v>
      </c>
      <c r="E59" s="243">
        <v>0</v>
      </c>
      <c r="F59" s="289">
        <v>0</v>
      </c>
      <c r="G59" s="16">
        <f t="shared" si="1"/>
        <v>0</v>
      </c>
      <c r="H59" s="339"/>
      <c r="I59" s="289">
        <f t="shared" si="6"/>
        <v>0</v>
      </c>
      <c r="J59" s="16">
        <f t="shared" si="2"/>
        <v>0</v>
      </c>
      <c r="K59" s="339"/>
      <c r="L59" s="289">
        <f t="shared" si="7"/>
        <v>0</v>
      </c>
      <c r="M59" s="16">
        <f t="shared" si="3"/>
        <v>0</v>
      </c>
      <c r="N59" s="339"/>
      <c r="O59" s="498"/>
      <c r="P59" s="442"/>
      <c r="Q59" s="252"/>
    </row>
    <row r="60" spans="1:17" ht="28.2" customHeight="1" x14ac:dyDescent="0.25">
      <c r="B60" s="62" t="s">
        <v>501</v>
      </c>
      <c r="C60" s="75" t="s">
        <v>484</v>
      </c>
      <c r="D60" s="179" t="s">
        <v>319</v>
      </c>
      <c r="E60" s="243">
        <v>406576</v>
      </c>
      <c r="F60" s="281">
        <v>406576</v>
      </c>
      <c r="G60" s="16">
        <f t="shared" si="1"/>
        <v>0</v>
      </c>
      <c r="H60" s="340"/>
      <c r="I60" s="281">
        <f t="shared" si="6"/>
        <v>406576</v>
      </c>
      <c r="J60" s="16">
        <f t="shared" si="2"/>
        <v>0</v>
      </c>
      <c r="K60" s="340"/>
      <c r="L60" s="281">
        <f t="shared" si="7"/>
        <v>406576</v>
      </c>
      <c r="M60" s="16">
        <f t="shared" si="3"/>
        <v>0</v>
      </c>
      <c r="N60" s="340"/>
      <c r="O60" s="252">
        <v>206074.88</v>
      </c>
      <c r="P60" s="435">
        <f>O60/L60</f>
        <v>0.50685451182558738</v>
      </c>
      <c r="Q60" s="252" t="s">
        <v>727</v>
      </c>
    </row>
    <row r="61" spans="1:17" ht="58.95" customHeight="1" x14ac:dyDescent="0.25">
      <c r="C61" s="75"/>
      <c r="D61" s="197" t="s">
        <v>817</v>
      </c>
      <c r="E61" s="243">
        <v>0</v>
      </c>
      <c r="F61" s="278">
        <v>0</v>
      </c>
      <c r="G61" s="96">
        <f t="shared" si="1"/>
        <v>0</v>
      </c>
      <c r="H61" s="321"/>
      <c r="I61" s="278">
        <f t="shared" si="6"/>
        <v>0</v>
      </c>
      <c r="J61" s="96">
        <f t="shared" si="2"/>
        <v>0</v>
      </c>
      <c r="K61" s="321"/>
      <c r="L61" s="278">
        <f t="shared" si="7"/>
        <v>0</v>
      </c>
      <c r="M61" s="96">
        <f t="shared" si="3"/>
        <v>0</v>
      </c>
      <c r="N61" s="321"/>
      <c r="O61" s="252"/>
      <c r="P61" s="436"/>
      <c r="Q61" s="259"/>
    </row>
    <row r="62" spans="1:17" ht="33.75" customHeight="1" x14ac:dyDescent="0.25">
      <c r="B62" s="7" t="s">
        <v>871</v>
      </c>
      <c r="C62" s="75" t="s">
        <v>723</v>
      </c>
      <c r="D62" s="181" t="s">
        <v>526</v>
      </c>
      <c r="E62" s="243">
        <v>70000</v>
      </c>
      <c r="F62" s="278">
        <v>70000</v>
      </c>
      <c r="G62" s="96">
        <f t="shared" si="1"/>
        <v>0</v>
      </c>
      <c r="H62" s="321"/>
      <c r="I62" s="278">
        <f t="shared" si="6"/>
        <v>70000</v>
      </c>
      <c r="J62" s="96">
        <f t="shared" si="2"/>
        <v>0</v>
      </c>
      <c r="K62" s="321"/>
      <c r="L62" s="278">
        <f t="shared" si="7"/>
        <v>70000</v>
      </c>
      <c r="M62" s="96">
        <f t="shared" si="3"/>
        <v>0</v>
      </c>
      <c r="N62" s="321"/>
      <c r="O62" s="252">
        <v>22576.62</v>
      </c>
      <c r="P62" s="436">
        <f>O62/L62</f>
        <v>0.32252314285714284</v>
      </c>
      <c r="Q62" s="259" t="s">
        <v>766</v>
      </c>
    </row>
    <row r="63" spans="1:17" ht="17.399999999999999" customHeight="1" x14ac:dyDescent="0.25">
      <c r="B63" s="7" t="s">
        <v>97</v>
      </c>
      <c r="C63" s="102" t="s">
        <v>724</v>
      </c>
      <c r="D63" s="106" t="s">
        <v>680</v>
      </c>
      <c r="E63" s="243">
        <v>0</v>
      </c>
      <c r="F63" s="278">
        <v>0</v>
      </c>
      <c r="G63" s="96">
        <f t="shared" si="1"/>
        <v>0</v>
      </c>
      <c r="H63" s="321"/>
      <c r="I63" s="278">
        <f t="shared" si="6"/>
        <v>0</v>
      </c>
      <c r="J63" s="96">
        <f t="shared" si="2"/>
        <v>0</v>
      </c>
      <c r="K63" s="321"/>
      <c r="L63" s="278">
        <f t="shared" si="7"/>
        <v>0</v>
      </c>
      <c r="M63" s="96">
        <f t="shared" si="3"/>
        <v>0</v>
      </c>
      <c r="N63" s="321"/>
      <c r="O63" s="252"/>
      <c r="P63" s="436"/>
      <c r="Q63" s="259"/>
    </row>
    <row r="64" spans="1:17" ht="14.4" x14ac:dyDescent="0.3">
      <c r="A64" s="7" t="s">
        <v>88</v>
      </c>
      <c r="B64" s="53" t="s">
        <v>309</v>
      </c>
      <c r="C64" s="75" t="s">
        <v>725</v>
      </c>
      <c r="D64" s="189" t="s">
        <v>691</v>
      </c>
      <c r="E64" s="243">
        <v>12607</v>
      </c>
      <c r="F64" s="243">
        <v>12607</v>
      </c>
      <c r="G64" s="16">
        <f t="shared" si="1"/>
        <v>0</v>
      </c>
      <c r="H64" s="341"/>
      <c r="I64" s="243">
        <f t="shared" si="6"/>
        <v>12607</v>
      </c>
      <c r="J64" s="16">
        <f t="shared" si="2"/>
        <v>0</v>
      </c>
      <c r="K64" s="341"/>
      <c r="L64" s="243">
        <f t="shared" si="7"/>
        <v>12607</v>
      </c>
      <c r="M64" s="16">
        <f t="shared" si="3"/>
        <v>0</v>
      </c>
      <c r="N64" s="341"/>
      <c r="O64" s="252"/>
      <c r="P64" s="405">
        <f>O64/L64</f>
        <v>0</v>
      </c>
      <c r="Q64" s="252"/>
    </row>
    <row r="65" spans="1:18" ht="188.25" customHeight="1" x14ac:dyDescent="0.25">
      <c r="A65" s="62" t="s">
        <v>252</v>
      </c>
      <c r="B65" s="7" t="s">
        <v>1407</v>
      </c>
      <c r="C65" s="75" t="s">
        <v>824</v>
      </c>
      <c r="D65" s="72" t="s">
        <v>105</v>
      </c>
      <c r="E65" s="243">
        <v>118632</v>
      </c>
      <c r="F65" s="243">
        <v>126132</v>
      </c>
      <c r="G65" s="16">
        <f t="shared" si="1"/>
        <v>7500</v>
      </c>
      <c r="H65" s="341" t="s">
        <v>1432</v>
      </c>
      <c r="I65" s="243">
        <f>ROUND(F65,0)+15586+4455</f>
        <v>146173</v>
      </c>
      <c r="J65" s="16">
        <f t="shared" si="2"/>
        <v>20041</v>
      </c>
      <c r="K65" s="341" t="s">
        <v>1467</v>
      </c>
      <c r="L65" s="243">
        <f>ROUND(I65,0)+35581+8781+38003+5643+16359</f>
        <v>250540</v>
      </c>
      <c r="M65" s="16">
        <f t="shared" si="3"/>
        <v>104367</v>
      </c>
      <c r="N65" s="341" t="s">
        <v>1487</v>
      </c>
      <c r="O65" s="252">
        <f>115499.27+4167</f>
        <v>119666.27</v>
      </c>
      <c r="P65" s="405">
        <f>O65/L65</f>
        <v>0.47763339187355314</v>
      </c>
      <c r="Q65" s="403" t="s">
        <v>1490</v>
      </c>
    </row>
    <row r="66" spans="1:18" ht="33" customHeight="1" x14ac:dyDescent="0.25">
      <c r="C66" s="78" t="s">
        <v>93</v>
      </c>
      <c r="D66" s="175" t="s">
        <v>292</v>
      </c>
      <c r="E66" s="42">
        <v>7860297</v>
      </c>
      <c r="F66" s="42">
        <v>7890725</v>
      </c>
      <c r="G66" s="22">
        <f t="shared" si="1"/>
        <v>30428</v>
      </c>
      <c r="H66" s="342"/>
      <c r="I66" s="42">
        <f>SUM(I67:I84)</f>
        <v>7890725</v>
      </c>
      <c r="J66" s="22">
        <f t="shared" si="2"/>
        <v>0</v>
      </c>
      <c r="K66" s="342"/>
      <c r="L66" s="42">
        <f>SUM(L67:L84)</f>
        <v>7928777</v>
      </c>
      <c r="M66" s="22">
        <f t="shared" si="3"/>
        <v>38052</v>
      </c>
      <c r="N66" s="342"/>
      <c r="O66" s="257">
        <f>SUM(O67:O84)</f>
        <v>422145.55</v>
      </c>
      <c r="P66" s="418">
        <f>O66/L66</f>
        <v>5.3242202422895735E-2</v>
      </c>
      <c r="Q66" s="257" t="s">
        <v>1442</v>
      </c>
      <c r="R66" s="425"/>
    </row>
    <row r="67" spans="1:18" x14ac:dyDescent="0.25">
      <c r="A67" s="7" t="s">
        <v>498</v>
      </c>
      <c r="B67" s="7" t="s">
        <v>106</v>
      </c>
      <c r="C67" s="75" t="s">
        <v>485</v>
      </c>
      <c r="D67" s="189" t="s">
        <v>690</v>
      </c>
      <c r="E67" s="243">
        <v>0</v>
      </c>
      <c r="F67" s="243">
        <v>0</v>
      </c>
      <c r="G67" s="16">
        <f t="shared" si="1"/>
        <v>0</v>
      </c>
      <c r="H67" s="331"/>
      <c r="I67" s="243">
        <f t="shared" ref="I67:I83" si="9">ROUND(F67,0)</f>
        <v>0</v>
      </c>
      <c r="J67" s="16">
        <f t="shared" si="2"/>
        <v>0</v>
      </c>
      <c r="K67" s="331"/>
      <c r="L67" s="243">
        <f t="shared" ref="L67:L83" si="10">ROUND(I67,0)</f>
        <v>0</v>
      </c>
      <c r="M67" s="16">
        <f t="shared" si="3"/>
        <v>0</v>
      </c>
      <c r="N67" s="331"/>
      <c r="O67" s="252">
        <v>0</v>
      </c>
      <c r="P67" s="405"/>
      <c r="Q67" s="252"/>
    </row>
    <row r="68" spans="1:18" ht="28.5" customHeight="1" x14ac:dyDescent="0.25">
      <c r="B68" s="62" t="s">
        <v>684</v>
      </c>
      <c r="C68" s="75" t="s">
        <v>486</v>
      </c>
      <c r="D68" s="485" t="s">
        <v>682</v>
      </c>
      <c r="E68" s="243">
        <v>0</v>
      </c>
      <c r="F68" s="243">
        <v>0</v>
      </c>
      <c r="G68" s="16">
        <f t="shared" si="1"/>
        <v>0</v>
      </c>
      <c r="H68" s="316"/>
      <c r="I68" s="243">
        <f t="shared" si="9"/>
        <v>0</v>
      </c>
      <c r="J68" s="16">
        <f t="shared" si="2"/>
        <v>0</v>
      </c>
      <c r="K68" s="316"/>
      <c r="L68" s="243">
        <f t="shared" si="10"/>
        <v>0</v>
      </c>
      <c r="M68" s="16">
        <f t="shared" si="3"/>
        <v>0</v>
      </c>
      <c r="N68" s="316"/>
      <c r="O68" s="252">
        <v>0</v>
      </c>
      <c r="P68" s="405"/>
      <c r="Q68" s="252"/>
    </row>
    <row r="69" spans="1:18" ht="30" customHeight="1" x14ac:dyDescent="0.25">
      <c r="B69" s="7" t="s">
        <v>1390</v>
      </c>
      <c r="C69" s="75" t="s">
        <v>487</v>
      </c>
      <c r="D69" s="487" t="s">
        <v>1391</v>
      </c>
      <c r="E69" s="243">
        <v>638646</v>
      </c>
      <c r="F69" s="243">
        <v>638646</v>
      </c>
      <c r="G69" s="16">
        <f t="shared" si="1"/>
        <v>0</v>
      </c>
      <c r="H69" s="343"/>
      <c r="I69" s="243">
        <f t="shared" si="9"/>
        <v>638646</v>
      </c>
      <c r="J69" s="16">
        <f t="shared" si="2"/>
        <v>0</v>
      </c>
      <c r="K69" s="343"/>
      <c r="L69" s="243">
        <f t="shared" si="10"/>
        <v>638646</v>
      </c>
      <c r="M69" s="16">
        <f t="shared" si="3"/>
        <v>0</v>
      </c>
      <c r="N69" s="343"/>
      <c r="O69" s="252">
        <v>0</v>
      </c>
      <c r="P69" s="405">
        <f>O69/L69</f>
        <v>0</v>
      </c>
      <c r="Q69" s="252"/>
    </row>
    <row r="70" spans="1:18" ht="27.6" x14ac:dyDescent="0.25">
      <c r="B70" s="7" t="s">
        <v>1301</v>
      </c>
      <c r="C70" s="75" t="s">
        <v>485</v>
      </c>
      <c r="D70" s="491" t="s">
        <v>815</v>
      </c>
      <c r="E70" s="243">
        <v>103070</v>
      </c>
      <c r="F70" s="243">
        <v>103070</v>
      </c>
      <c r="G70" s="16">
        <f t="shared" si="1"/>
        <v>0</v>
      </c>
      <c r="H70" s="344"/>
      <c r="I70" s="243">
        <f t="shared" si="9"/>
        <v>103070</v>
      </c>
      <c r="J70" s="16">
        <f t="shared" si="2"/>
        <v>0</v>
      </c>
      <c r="K70" s="344"/>
      <c r="L70" s="243">
        <f t="shared" si="10"/>
        <v>103070</v>
      </c>
      <c r="M70" s="16">
        <f t="shared" si="3"/>
        <v>0</v>
      </c>
      <c r="N70" s="344"/>
      <c r="O70" s="252">
        <v>44889.26</v>
      </c>
      <c r="P70" s="442">
        <f>O70/L70</f>
        <v>0.43552207237799556</v>
      </c>
      <c r="Q70" s="252"/>
    </row>
    <row r="71" spans="1:18" hidden="1" outlineLevel="1" x14ac:dyDescent="0.25">
      <c r="B71" s="21"/>
      <c r="C71" s="75" t="s">
        <v>488</v>
      </c>
      <c r="D71" s="191" t="s">
        <v>679</v>
      </c>
      <c r="E71" s="243">
        <v>0</v>
      </c>
      <c r="F71" s="243">
        <v>0</v>
      </c>
      <c r="G71" s="16">
        <f t="shared" ref="G71:G119" si="11">F71-E71</f>
        <v>0</v>
      </c>
      <c r="H71" s="344"/>
      <c r="I71" s="243">
        <f t="shared" si="9"/>
        <v>0</v>
      </c>
      <c r="J71" s="16">
        <f t="shared" ref="J71:J119" si="12">I71-F71</f>
        <v>0</v>
      </c>
      <c r="K71" s="344"/>
      <c r="L71" s="243">
        <f t="shared" si="10"/>
        <v>0</v>
      </c>
      <c r="M71" s="16">
        <f t="shared" ref="M71:M119" si="13">L71-I71</f>
        <v>0</v>
      </c>
      <c r="N71" s="344"/>
      <c r="O71" s="498"/>
      <c r="P71" s="442"/>
      <c r="Q71" s="252"/>
    </row>
    <row r="72" spans="1:18" ht="55.2" hidden="1" outlineLevel="1" x14ac:dyDescent="0.25">
      <c r="B72" s="7" t="s">
        <v>252</v>
      </c>
      <c r="C72" s="75" t="s">
        <v>489</v>
      </c>
      <c r="D72" s="191" t="s">
        <v>819</v>
      </c>
      <c r="E72" s="243">
        <v>0</v>
      </c>
      <c r="F72" s="243">
        <v>0</v>
      </c>
      <c r="G72" s="16">
        <f t="shared" si="11"/>
        <v>0</v>
      </c>
      <c r="H72" s="344"/>
      <c r="I72" s="243">
        <f t="shared" si="9"/>
        <v>0</v>
      </c>
      <c r="J72" s="16">
        <f t="shared" si="12"/>
        <v>0</v>
      </c>
      <c r="K72" s="344"/>
      <c r="L72" s="243">
        <f t="shared" si="10"/>
        <v>0</v>
      </c>
      <c r="M72" s="16">
        <f t="shared" si="13"/>
        <v>0</v>
      </c>
      <c r="N72" s="344"/>
      <c r="O72" s="498"/>
      <c r="P72" s="442"/>
      <c r="Q72" s="252"/>
    </row>
    <row r="73" spans="1:18" ht="41.4" hidden="1" outlineLevel="1" x14ac:dyDescent="0.25">
      <c r="B73" s="21"/>
      <c r="C73" s="75" t="s">
        <v>860</v>
      </c>
      <c r="D73" s="191" t="s">
        <v>818</v>
      </c>
      <c r="E73" s="243">
        <v>0</v>
      </c>
      <c r="F73" s="243">
        <v>0</v>
      </c>
      <c r="G73" s="16">
        <f t="shared" si="11"/>
        <v>0</v>
      </c>
      <c r="H73" s="344"/>
      <c r="I73" s="243">
        <f t="shared" si="9"/>
        <v>0</v>
      </c>
      <c r="J73" s="16">
        <f t="shared" si="12"/>
        <v>0</v>
      </c>
      <c r="K73" s="344"/>
      <c r="L73" s="243">
        <f t="shared" si="10"/>
        <v>0</v>
      </c>
      <c r="M73" s="16">
        <f t="shared" si="13"/>
        <v>0</v>
      </c>
      <c r="N73" s="344"/>
      <c r="O73" s="498"/>
      <c r="P73" s="442"/>
      <c r="Q73" s="252"/>
    </row>
    <row r="74" spans="1:18" collapsed="1" x14ac:dyDescent="0.25">
      <c r="A74" s="62" t="s">
        <v>808</v>
      </c>
      <c r="B74" s="21"/>
      <c r="C74" s="75" t="s">
        <v>490</v>
      </c>
      <c r="D74" s="491" t="s">
        <v>809</v>
      </c>
      <c r="E74" s="243">
        <v>267455</v>
      </c>
      <c r="F74" s="243">
        <v>267455</v>
      </c>
      <c r="G74" s="16">
        <f t="shared" si="11"/>
        <v>0</v>
      </c>
      <c r="H74" s="344"/>
      <c r="I74" s="243">
        <f t="shared" si="9"/>
        <v>267455</v>
      </c>
      <c r="J74" s="16">
        <f t="shared" si="12"/>
        <v>0</v>
      </c>
      <c r="K74" s="344"/>
      <c r="L74" s="243">
        <f t="shared" si="10"/>
        <v>267455</v>
      </c>
      <c r="M74" s="16">
        <f t="shared" si="13"/>
        <v>0</v>
      </c>
      <c r="N74" s="344"/>
      <c r="O74" s="252">
        <v>0</v>
      </c>
      <c r="P74" s="442">
        <f>O74/L74</f>
        <v>0</v>
      </c>
      <c r="Q74" s="252"/>
    </row>
    <row r="75" spans="1:18" ht="58.2" hidden="1" customHeight="1" outlineLevel="1" x14ac:dyDescent="0.25">
      <c r="A75" s="62" t="s">
        <v>252</v>
      </c>
      <c r="B75" s="21"/>
      <c r="C75" s="75" t="s">
        <v>692</v>
      </c>
      <c r="D75" s="191" t="s">
        <v>864</v>
      </c>
      <c r="E75" s="243">
        <v>0</v>
      </c>
      <c r="F75" s="243">
        <v>0</v>
      </c>
      <c r="G75" s="16">
        <f t="shared" si="11"/>
        <v>0</v>
      </c>
      <c r="H75" s="344"/>
      <c r="I75" s="243">
        <f t="shared" si="9"/>
        <v>0</v>
      </c>
      <c r="J75" s="16">
        <f t="shared" si="12"/>
        <v>0</v>
      </c>
      <c r="K75" s="344"/>
      <c r="L75" s="243">
        <f t="shared" si="10"/>
        <v>0</v>
      </c>
      <c r="M75" s="16">
        <f t="shared" si="13"/>
        <v>0</v>
      </c>
      <c r="N75" s="344"/>
      <c r="O75" s="498">
        <v>0</v>
      </c>
      <c r="P75" s="442"/>
      <c r="Q75" s="252"/>
    </row>
    <row r="76" spans="1:18" ht="41.4" hidden="1" outlineLevel="1" x14ac:dyDescent="0.25">
      <c r="B76" s="7" t="s">
        <v>303</v>
      </c>
      <c r="C76" s="75" t="s">
        <v>491</v>
      </c>
      <c r="D76" s="189" t="s">
        <v>277</v>
      </c>
      <c r="E76" s="243">
        <v>0</v>
      </c>
      <c r="F76" s="243">
        <v>0</v>
      </c>
      <c r="G76" s="16">
        <f t="shared" si="11"/>
        <v>0</v>
      </c>
      <c r="H76" s="345"/>
      <c r="I76" s="243">
        <f t="shared" si="9"/>
        <v>0</v>
      </c>
      <c r="J76" s="16">
        <f t="shared" si="12"/>
        <v>0</v>
      </c>
      <c r="K76" s="345"/>
      <c r="L76" s="243">
        <f t="shared" si="10"/>
        <v>0</v>
      </c>
      <c r="M76" s="16">
        <f t="shared" si="13"/>
        <v>0</v>
      </c>
      <c r="N76" s="345"/>
      <c r="O76" s="498">
        <v>0</v>
      </c>
      <c r="P76" s="405"/>
      <c r="Q76" s="252"/>
    </row>
    <row r="77" spans="1:18" ht="42" collapsed="1" x14ac:dyDescent="0.3">
      <c r="B77" s="59" t="s">
        <v>1286</v>
      </c>
      <c r="C77" s="75" t="s">
        <v>492</v>
      </c>
      <c r="D77" s="189" t="s">
        <v>1287</v>
      </c>
      <c r="E77" s="243">
        <v>217332</v>
      </c>
      <c r="F77" s="243">
        <v>217332</v>
      </c>
      <c r="G77" s="16">
        <f t="shared" si="11"/>
        <v>0</v>
      </c>
      <c r="H77" s="346"/>
      <c r="I77" s="243">
        <f t="shared" si="9"/>
        <v>217332</v>
      </c>
      <c r="J77" s="16">
        <f t="shared" si="12"/>
        <v>0</v>
      </c>
      <c r="K77" s="346"/>
      <c r="L77" s="243">
        <f t="shared" si="10"/>
        <v>217332</v>
      </c>
      <c r="M77" s="16">
        <f t="shared" si="13"/>
        <v>0</v>
      </c>
      <c r="N77" s="346"/>
      <c r="O77" s="252">
        <v>0</v>
      </c>
      <c r="P77" s="405">
        <f>O77/L77</f>
        <v>0</v>
      </c>
      <c r="Q77" s="252"/>
    </row>
    <row r="78" spans="1:18" ht="14.4" x14ac:dyDescent="0.3">
      <c r="B78" s="59" t="s">
        <v>1285</v>
      </c>
      <c r="C78" s="75" t="s">
        <v>693</v>
      </c>
      <c r="D78" s="189" t="s">
        <v>810</v>
      </c>
      <c r="E78" s="243">
        <v>308659</v>
      </c>
      <c r="F78" s="243">
        <v>308659</v>
      </c>
      <c r="G78" s="16">
        <f t="shared" si="11"/>
        <v>0</v>
      </c>
      <c r="H78" s="347"/>
      <c r="I78" s="243">
        <f t="shared" si="9"/>
        <v>308659</v>
      </c>
      <c r="J78" s="16">
        <f t="shared" si="12"/>
        <v>0</v>
      </c>
      <c r="K78" s="347"/>
      <c r="L78" s="243">
        <f t="shared" si="10"/>
        <v>308659</v>
      </c>
      <c r="M78" s="16">
        <f t="shared" si="13"/>
        <v>0</v>
      </c>
      <c r="N78" s="347"/>
      <c r="O78" s="252">
        <v>0</v>
      </c>
      <c r="P78" s="405">
        <f>O78/L78</f>
        <v>0</v>
      </c>
      <c r="Q78" s="252"/>
    </row>
    <row r="79" spans="1:18" ht="14.4" outlineLevel="1" x14ac:dyDescent="0.3">
      <c r="B79" s="59"/>
      <c r="C79" s="75" t="s">
        <v>511</v>
      </c>
      <c r="D79" s="189" t="s">
        <v>1409</v>
      </c>
      <c r="E79" s="243">
        <v>0</v>
      </c>
      <c r="F79" s="243">
        <v>0</v>
      </c>
      <c r="G79" s="48">
        <f t="shared" si="11"/>
        <v>0</v>
      </c>
      <c r="H79" s="348"/>
      <c r="I79" s="243">
        <f t="shared" si="9"/>
        <v>0</v>
      </c>
      <c r="J79" s="48">
        <f t="shared" si="12"/>
        <v>0</v>
      </c>
      <c r="K79" s="348"/>
      <c r="L79" s="243">
        <f>ROUND(I79,0)+38052</f>
        <v>38052</v>
      </c>
      <c r="M79" s="48">
        <f t="shared" si="13"/>
        <v>38052</v>
      </c>
      <c r="N79" s="348" t="s">
        <v>1485</v>
      </c>
      <c r="O79" s="252">
        <v>38051.64</v>
      </c>
      <c r="P79" s="405"/>
      <c r="Q79" s="252"/>
    </row>
    <row r="80" spans="1:18" ht="28.2" x14ac:dyDescent="0.3">
      <c r="B80" s="59" t="s">
        <v>868</v>
      </c>
      <c r="C80" s="75" t="s">
        <v>512</v>
      </c>
      <c r="D80" s="485" t="s">
        <v>866</v>
      </c>
      <c r="E80" s="243">
        <v>2500000</v>
      </c>
      <c r="F80" s="282">
        <v>2500000</v>
      </c>
      <c r="G80" s="57">
        <f t="shared" si="11"/>
        <v>0</v>
      </c>
      <c r="H80" s="348"/>
      <c r="I80" s="282">
        <f t="shared" si="9"/>
        <v>2500000</v>
      </c>
      <c r="J80" s="57">
        <f t="shared" si="12"/>
        <v>0</v>
      </c>
      <c r="K80" s="348"/>
      <c r="L80" s="282">
        <f t="shared" si="10"/>
        <v>2500000</v>
      </c>
      <c r="M80" s="57">
        <f t="shared" si="13"/>
        <v>0</v>
      </c>
      <c r="N80" s="348"/>
      <c r="O80" s="498"/>
      <c r="P80" s="407">
        <f t="shared" ref="P80:P87" si="14">O80/L80</f>
        <v>0</v>
      </c>
      <c r="Q80" s="252"/>
    </row>
    <row r="81" spans="1:17" ht="30.75" customHeight="1" x14ac:dyDescent="0.3">
      <c r="B81" s="397" t="s">
        <v>386</v>
      </c>
      <c r="C81" s="75" t="s">
        <v>533</v>
      </c>
      <c r="D81" s="189" t="s">
        <v>1424</v>
      </c>
      <c r="E81" s="243">
        <v>0</v>
      </c>
      <c r="F81" s="282">
        <v>30428</v>
      </c>
      <c r="G81" s="57">
        <f t="shared" si="11"/>
        <v>30428</v>
      </c>
      <c r="H81" s="396" t="s">
        <v>1425</v>
      </c>
      <c r="I81" s="282">
        <f t="shared" si="9"/>
        <v>30428</v>
      </c>
      <c r="J81" s="57">
        <f t="shared" si="12"/>
        <v>0</v>
      </c>
      <c r="K81" s="396"/>
      <c r="L81" s="282">
        <f t="shared" si="10"/>
        <v>30428</v>
      </c>
      <c r="M81" s="57">
        <f t="shared" si="13"/>
        <v>0</v>
      </c>
      <c r="N81" s="396"/>
      <c r="O81" s="252">
        <v>10142.27</v>
      </c>
      <c r="P81" s="407">
        <f t="shared" si="14"/>
        <v>0.33332029709478112</v>
      </c>
      <c r="Q81" s="403"/>
    </row>
    <row r="82" spans="1:17" ht="48.6" customHeight="1" x14ac:dyDescent="0.3">
      <c r="B82" s="59" t="s">
        <v>677</v>
      </c>
      <c r="C82" s="75" t="s">
        <v>694</v>
      </c>
      <c r="D82" s="485" t="s">
        <v>678</v>
      </c>
      <c r="E82" s="243">
        <v>830550</v>
      </c>
      <c r="F82" s="282">
        <v>830550</v>
      </c>
      <c r="G82" s="57">
        <f t="shared" si="11"/>
        <v>0</v>
      </c>
      <c r="H82" s="349"/>
      <c r="I82" s="282">
        <f t="shared" si="9"/>
        <v>830550</v>
      </c>
      <c r="J82" s="57">
        <f t="shared" si="12"/>
        <v>0</v>
      </c>
      <c r="K82" s="490"/>
      <c r="L82" s="282">
        <f t="shared" si="10"/>
        <v>830550</v>
      </c>
      <c r="M82" s="57">
        <f t="shared" si="13"/>
        <v>0</v>
      </c>
      <c r="N82" s="490"/>
      <c r="O82" s="252">
        <v>329062.38</v>
      </c>
      <c r="P82" s="420">
        <f t="shared" si="14"/>
        <v>0.39619815784720969</v>
      </c>
      <c r="Q82" s="403"/>
    </row>
    <row r="83" spans="1:17" ht="28.2" x14ac:dyDescent="0.3">
      <c r="B83" s="264" t="s">
        <v>458</v>
      </c>
      <c r="C83" s="75" t="s">
        <v>695</v>
      </c>
      <c r="D83" s="485" t="s">
        <v>408</v>
      </c>
      <c r="E83" s="243">
        <v>2661252</v>
      </c>
      <c r="F83" s="282">
        <v>2661252</v>
      </c>
      <c r="G83" s="57">
        <f t="shared" si="11"/>
        <v>0</v>
      </c>
      <c r="H83" s="349"/>
      <c r="I83" s="282">
        <f t="shared" si="9"/>
        <v>2661252</v>
      </c>
      <c r="J83" s="57">
        <f t="shared" si="12"/>
        <v>0</v>
      </c>
      <c r="K83" s="349"/>
      <c r="L83" s="282">
        <f t="shared" si="10"/>
        <v>2661252</v>
      </c>
      <c r="M83" s="57">
        <f t="shared" si="13"/>
        <v>0</v>
      </c>
      <c r="N83" s="349"/>
      <c r="O83" s="252">
        <v>0</v>
      </c>
      <c r="P83" s="420">
        <f t="shared" si="14"/>
        <v>0</v>
      </c>
      <c r="Q83" s="403"/>
    </row>
    <row r="84" spans="1:17" ht="27.6" x14ac:dyDescent="0.25">
      <c r="B84" s="62" t="s">
        <v>252</v>
      </c>
      <c r="C84" s="75" t="s">
        <v>714</v>
      </c>
      <c r="D84" s="189" t="s">
        <v>1397</v>
      </c>
      <c r="E84" s="243">
        <v>333333</v>
      </c>
      <c r="F84" s="282">
        <v>333333</v>
      </c>
      <c r="G84" s="57">
        <f t="shared" si="11"/>
        <v>0</v>
      </c>
      <c r="H84" s="350"/>
      <c r="I84" s="282">
        <f>ROUND(F84,0)</f>
        <v>333333</v>
      </c>
      <c r="J84" s="57">
        <f t="shared" si="12"/>
        <v>0</v>
      </c>
      <c r="K84" s="350"/>
      <c r="L84" s="282">
        <f>ROUND(I84,0)</f>
        <v>333333</v>
      </c>
      <c r="M84" s="57">
        <f t="shared" si="13"/>
        <v>0</v>
      </c>
      <c r="N84" s="350"/>
      <c r="O84" s="252">
        <v>0</v>
      </c>
      <c r="P84" s="420">
        <f t="shared" si="14"/>
        <v>0</v>
      </c>
      <c r="Q84" s="403"/>
    </row>
    <row r="85" spans="1:17" ht="27.6" x14ac:dyDescent="0.25">
      <c r="B85" s="15" t="s">
        <v>493</v>
      </c>
      <c r="C85" s="78" t="s">
        <v>495</v>
      </c>
      <c r="D85" s="175" t="s">
        <v>494</v>
      </c>
      <c r="E85" s="42">
        <v>0</v>
      </c>
      <c r="F85" s="42">
        <v>0</v>
      </c>
      <c r="G85" s="22">
        <f t="shared" si="11"/>
        <v>0</v>
      </c>
      <c r="H85" s="342"/>
      <c r="I85" s="42">
        <f>ROUND(F85,0)+952269</f>
        <v>952269</v>
      </c>
      <c r="J85" s="22">
        <f t="shared" si="12"/>
        <v>952269</v>
      </c>
      <c r="K85" s="342" t="s">
        <v>1455</v>
      </c>
      <c r="L85" s="42">
        <f>ROUND(I85,0)</f>
        <v>952269</v>
      </c>
      <c r="M85" s="22">
        <f t="shared" si="13"/>
        <v>0</v>
      </c>
      <c r="N85" s="342"/>
      <c r="O85" s="257">
        <v>476136</v>
      </c>
      <c r="P85" s="418">
        <f t="shared" si="14"/>
        <v>0.50000157518516297</v>
      </c>
      <c r="Q85" s="257"/>
    </row>
    <row r="86" spans="1:17" x14ac:dyDescent="0.25">
      <c r="C86" s="77" t="s">
        <v>107</v>
      </c>
      <c r="D86" s="74" t="s">
        <v>108</v>
      </c>
      <c r="E86" s="277">
        <v>350000</v>
      </c>
      <c r="F86" s="277">
        <v>350000</v>
      </c>
      <c r="G86" s="17">
        <f t="shared" si="11"/>
        <v>0</v>
      </c>
      <c r="H86" s="329"/>
      <c r="I86" s="277">
        <f>I87+I88</f>
        <v>350000</v>
      </c>
      <c r="J86" s="17">
        <f t="shared" si="12"/>
        <v>0</v>
      </c>
      <c r="K86" s="329"/>
      <c r="L86" s="277">
        <f>L87+L88</f>
        <v>350000</v>
      </c>
      <c r="M86" s="17">
        <f t="shared" si="13"/>
        <v>0</v>
      </c>
      <c r="N86" s="329"/>
      <c r="O86" s="258">
        <f>O87+O88</f>
        <v>118603.2</v>
      </c>
      <c r="P86" s="432">
        <f t="shared" si="14"/>
        <v>0.33886628571428573</v>
      </c>
      <c r="Q86" s="258"/>
    </row>
    <row r="87" spans="1:17" ht="32.25" customHeight="1" x14ac:dyDescent="0.25">
      <c r="B87" s="7" t="s">
        <v>109</v>
      </c>
      <c r="C87" s="71" t="s">
        <v>110</v>
      </c>
      <c r="D87" s="72" t="s">
        <v>111</v>
      </c>
      <c r="E87" s="243">
        <v>350000</v>
      </c>
      <c r="F87" s="243">
        <v>350000</v>
      </c>
      <c r="G87" s="16">
        <f t="shared" si="11"/>
        <v>0</v>
      </c>
      <c r="H87" s="316"/>
      <c r="I87" s="243">
        <f>ROUND(F87,0)</f>
        <v>350000</v>
      </c>
      <c r="J87" s="16">
        <f t="shared" si="12"/>
        <v>0</v>
      </c>
      <c r="K87" s="316"/>
      <c r="L87" s="243">
        <f>ROUND(I87,0)</f>
        <v>350000</v>
      </c>
      <c r="M87" s="16">
        <f t="shared" si="13"/>
        <v>0</v>
      </c>
      <c r="N87" s="316"/>
      <c r="O87" s="252">
        <v>118603.2</v>
      </c>
      <c r="P87" s="405">
        <f t="shared" si="14"/>
        <v>0.33886628571428573</v>
      </c>
      <c r="Q87" s="252" t="s">
        <v>1491</v>
      </c>
    </row>
    <row r="88" spans="1:17" ht="16.2" customHeight="1" x14ac:dyDescent="0.25">
      <c r="B88" s="7" t="s">
        <v>290</v>
      </c>
      <c r="C88" s="71" t="s">
        <v>112</v>
      </c>
      <c r="D88" s="72" t="s">
        <v>291</v>
      </c>
      <c r="E88" s="243">
        <v>0</v>
      </c>
      <c r="F88" s="243">
        <v>0</v>
      </c>
      <c r="G88" s="16">
        <f t="shared" si="11"/>
        <v>0</v>
      </c>
      <c r="H88" s="318"/>
      <c r="I88" s="243">
        <f>ROUND(F88,0)</f>
        <v>0</v>
      </c>
      <c r="J88" s="16">
        <f t="shared" si="12"/>
        <v>0</v>
      </c>
      <c r="K88" s="318"/>
      <c r="L88" s="243">
        <f>ROUND(I88,0)</f>
        <v>0</v>
      </c>
      <c r="M88" s="16">
        <f t="shared" si="13"/>
        <v>0</v>
      </c>
      <c r="N88" s="318"/>
      <c r="O88" s="252">
        <v>0</v>
      </c>
      <c r="P88" s="405"/>
      <c r="Q88" s="252"/>
    </row>
    <row r="89" spans="1:17" ht="35.4" customHeight="1" x14ac:dyDescent="0.25">
      <c r="C89" s="77" t="s">
        <v>113</v>
      </c>
      <c r="D89" s="74" t="s">
        <v>114</v>
      </c>
      <c r="E89" s="277">
        <v>800455</v>
      </c>
      <c r="F89" s="277">
        <v>801955</v>
      </c>
      <c r="G89" s="17">
        <f t="shared" si="11"/>
        <v>1500</v>
      </c>
      <c r="H89" s="406"/>
      <c r="I89" s="277">
        <f>I90+I93+I96+I100+I103</f>
        <v>801955</v>
      </c>
      <c r="J89" s="17">
        <f t="shared" si="12"/>
        <v>0</v>
      </c>
      <c r="K89" s="406"/>
      <c r="L89" s="277">
        <f>L90+L93+L96+L100+L103</f>
        <v>811955</v>
      </c>
      <c r="M89" s="17">
        <f t="shared" si="13"/>
        <v>10000</v>
      </c>
      <c r="N89" s="406"/>
      <c r="O89" s="258">
        <f>O90+O93+O96+O100+O103</f>
        <v>564016.32999999996</v>
      </c>
      <c r="P89" s="432">
        <f t="shared" ref="P89:P94" si="15">O89/L89</f>
        <v>0.69463988767850426</v>
      </c>
      <c r="Q89" s="463"/>
    </row>
    <row r="90" spans="1:17" x14ac:dyDescent="0.25">
      <c r="A90" s="7" t="s">
        <v>10</v>
      </c>
      <c r="B90" s="7" t="s">
        <v>115</v>
      </c>
      <c r="C90" s="71" t="s">
        <v>116</v>
      </c>
      <c r="D90" s="72" t="s">
        <v>705</v>
      </c>
      <c r="E90" s="243">
        <v>219800</v>
      </c>
      <c r="F90" s="243">
        <v>219800</v>
      </c>
      <c r="G90" s="16">
        <f t="shared" si="11"/>
        <v>0</v>
      </c>
      <c r="H90" s="318"/>
      <c r="I90" s="243">
        <f>SUM(I91:I92)</f>
        <v>219800</v>
      </c>
      <c r="J90" s="16">
        <f t="shared" si="12"/>
        <v>0</v>
      </c>
      <c r="K90" s="318"/>
      <c r="L90" s="243">
        <f>SUM(L91:L92)</f>
        <v>219800</v>
      </c>
      <c r="M90" s="16">
        <f t="shared" si="13"/>
        <v>0</v>
      </c>
      <c r="N90" s="318"/>
      <c r="O90" s="252">
        <v>145559.07999999999</v>
      </c>
      <c r="P90" s="405">
        <f t="shared" si="15"/>
        <v>0.66223421292083706</v>
      </c>
      <c r="Q90" s="252"/>
    </row>
    <row r="91" spans="1:17" ht="14.25" customHeight="1" x14ac:dyDescent="0.25">
      <c r="B91" s="7" t="s">
        <v>118</v>
      </c>
      <c r="C91" s="79" t="s">
        <v>117</v>
      </c>
      <c r="D91" s="80" t="s">
        <v>700</v>
      </c>
      <c r="E91" s="243">
        <v>61000</v>
      </c>
      <c r="F91" s="243">
        <v>61000</v>
      </c>
      <c r="G91" s="16">
        <f t="shared" si="11"/>
        <v>0</v>
      </c>
      <c r="H91" s="330"/>
      <c r="I91" s="243">
        <f>ROUND(F91,0)</f>
        <v>61000</v>
      </c>
      <c r="J91" s="16">
        <f t="shared" si="12"/>
        <v>0</v>
      </c>
      <c r="K91" s="330"/>
      <c r="L91" s="243">
        <f>ROUND(I91,0)</f>
        <v>61000</v>
      </c>
      <c r="M91" s="16">
        <f t="shared" si="13"/>
        <v>0</v>
      </c>
      <c r="N91" s="330"/>
      <c r="O91" s="252">
        <v>38930.22</v>
      </c>
      <c r="P91" s="405">
        <f t="shared" si="15"/>
        <v>0.6382003278688525</v>
      </c>
      <c r="Q91" s="252"/>
    </row>
    <row r="92" spans="1:17" ht="30" customHeight="1" x14ac:dyDescent="0.25">
      <c r="B92" s="7" t="s">
        <v>120</v>
      </c>
      <c r="C92" s="79" t="s">
        <v>119</v>
      </c>
      <c r="D92" s="116" t="s">
        <v>701</v>
      </c>
      <c r="E92" s="243">
        <v>158800</v>
      </c>
      <c r="F92" s="243">
        <v>158800</v>
      </c>
      <c r="G92" s="16">
        <f t="shared" si="11"/>
        <v>0</v>
      </c>
      <c r="H92" s="330"/>
      <c r="I92" s="243">
        <f>ROUND(F92,0)</f>
        <v>158800</v>
      </c>
      <c r="J92" s="16">
        <f t="shared" si="12"/>
        <v>0</v>
      </c>
      <c r="K92" s="330"/>
      <c r="L92" s="243">
        <f>ROUND(I92,0)</f>
        <v>158800</v>
      </c>
      <c r="M92" s="16">
        <f t="shared" si="13"/>
        <v>0</v>
      </c>
      <c r="N92" s="330"/>
      <c r="O92" s="252">
        <v>106628.86</v>
      </c>
      <c r="P92" s="405">
        <f t="shared" si="15"/>
        <v>0.67146637279596977</v>
      </c>
      <c r="Q92" s="252"/>
    </row>
    <row r="93" spans="1:17" ht="13.95" customHeight="1" x14ac:dyDescent="0.25">
      <c r="C93" s="71" t="s">
        <v>122</v>
      </c>
      <c r="D93" s="72" t="s">
        <v>1306</v>
      </c>
      <c r="E93" s="282">
        <v>59312</v>
      </c>
      <c r="F93" s="282">
        <v>60812</v>
      </c>
      <c r="G93" s="57">
        <f t="shared" si="11"/>
        <v>1500</v>
      </c>
      <c r="H93" s="351"/>
      <c r="I93" s="282">
        <f>I94+I95</f>
        <v>60812</v>
      </c>
      <c r="J93" s="57">
        <f t="shared" si="12"/>
        <v>0</v>
      </c>
      <c r="K93" s="351"/>
      <c r="L93" s="282">
        <f>L94+L95</f>
        <v>60812</v>
      </c>
      <c r="M93" s="57">
        <f t="shared" si="13"/>
        <v>0</v>
      </c>
      <c r="N93" s="351"/>
      <c r="O93" s="252">
        <f>O94+O95</f>
        <v>61954</v>
      </c>
      <c r="P93" s="407">
        <f t="shared" si="15"/>
        <v>1.0187791883180952</v>
      </c>
      <c r="Q93" s="252"/>
    </row>
    <row r="94" spans="1:17" ht="27.6" x14ac:dyDescent="0.25">
      <c r="B94" s="7" t="s">
        <v>1304</v>
      </c>
      <c r="C94" s="79" t="s">
        <v>125</v>
      </c>
      <c r="D94" s="80" t="s">
        <v>363</v>
      </c>
      <c r="E94" s="243">
        <v>59312</v>
      </c>
      <c r="F94" s="243">
        <v>60812</v>
      </c>
      <c r="G94" s="57">
        <f>F94-E94</f>
        <v>1500</v>
      </c>
      <c r="H94" s="341" t="s">
        <v>1416</v>
      </c>
      <c r="I94" s="243">
        <f>ROUND(F94,0)</f>
        <v>60812</v>
      </c>
      <c r="J94" s="57">
        <f t="shared" si="12"/>
        <v>0</v>
      </c>
      <c r="K94" s="341"/>
      <c r="L94" s="243">
        <f>ROUND(I94,0)</f>
        <v>60812</v>
      </c>
      <c r="M94" s="57">
        <f t="shared" si="13"/>
        <v>0</v>
      </c>
      <c r="N94" s="341"/>
      <c r="O94" s="252">
        <f>26400+35554</f>
        <v>61954</v>
      </c>
      <c r="P94" s="407">
        <f t="shared" si="15"/>
        <v>1.0187791883180952</v>
      </c>
      <c r="Q94" s="252"/>
    </row>
    <row r="95" spans="1:17" ht="15.75" customHeight="1" x14ac:dyDescent="0.25">
      <c r="B95" s="266" t="s">
        <v>513</v>
      </c>
      <c r="C95" s="79" t="s">
        <v>127</v>
      </c>
      <c r="D95" s="189" t="s">
        <v>1389</v>
      </c>
      <c r="E95" s="243">
        <v>0</v>
      </c>
      <c r="F95" s="243">
        <v>0</v>
      </c>
      <c r="G95" s="57">
        <f t="shared" si="11"/>
        <v>0</v>
      </c>
      <c r="H95" s="333"/>
      <c r="I95" s="243">
        <f>ROUND(F95,0)</f>
        <v>0</v>
      </c>
      <c r="J95" s="57">
        <f t="shared" si="12"/>
        <v>0</v>
      </c>
      <c r="K95" s="333"/>
      <c r="L95" s="243">
        <f>ROUND(I95,0)</f>
        <v>0</v>
      </c>
      <c r="M95" s="57">
        <f t="shared" si="13"/>
        <v>0</v>
      </c>
      <c r="N95" s="333"/>
      <c r="O95" s="498"/>
      <c r="P95" s="407"/>
      <c r="Q95" s="252"/>
    </row>
    <row r="96" spans="1:17" x14ac:dyDescent="0.25">
      <c r="A96" s="7" t="s">
        <v>10</v>
      </c>
      <c r="B96" s="7" t="s">
        <v>121</v>
      </c>
      <c r="C96" s="71" t="s">
        <v>129</v>
      </c>
      <c r="D96" s="72" t="s">
        <v>123</v>
      </c>
      <c r="E96" s="243">
        <v>322370</v>
      </c>
      <c r="F96" s="243">
        <v>322370</v>
      </c>
      <c r="G96" s="16">
        <f t="shared" si="11"/>
        <v>0</v>
      </c>
      <c r="H96" s="318"/>
      <c r="I96" s="243">
        <f>SUM(I97:I99)</f>
        <v>322370</v>
      </c>
      <c r="J96" s="16">
        <f t="shared" si="12"/>
        <v>0</v>
      </c>
      <c r="K96" s="318"/>
      <c r="L96" s="243">
        <f>SUM(L97:L99)</f>
        <v>332370</v>
      </c>
      <c r="M96" s="16">
        <f t="shared" si="13"/>
        <v>10000</v>
      </c>
      <c r="N96" s="318"/>
      <c r="O96" s="252">
        <f>SUM(O97:O99)</f>
        <v>199398.59999999998</v>
      </c>
      <c r="P96" s="405">
        <f>O96/L96</f>
        <v>0.59992959653398314</v>
      </c>
      <c r="Q96" s="252"/>
    </row>
    <row r="97" spans="1:17" ht="16.5" customHeight="1" x14ac:dyDescent="0.25">
      <c r="B97" s="7" t="s">
        <v>124</v>
      </c>
      <c r="C97" s="79" t="s">
        <v>350</v>
      </c>
      <c r="D97" s="80" t="s">
        <v>352</v>
      </c>
      <c r="E97" s="243">
        <v>236370</v>
      </c>
      <c r="F97" s="243">
        <v>236370</v>
      </c>
      <c r="G97" s="16">
        <f t="shared" si="11"/>
        <v>0</v>
      </c>
      <c r="H97" s="316"/>
      <c r="I97" s="243">
        <f>ROUND(F97,0)</f>
        <v>236370</v>
      </c>
      <c r="J97" s="16">
        <f t="shared" si="12"/>
        <v>0</v>
      </c>
      <c r="K97" s="316"/>
      <c r="L97" s="243">
        <f>ROUND(I97,0)</f>
        <v>236370</v>
      </c>
      <c r="M97" s="16">
        <f t="shared" si="13"/>
        <v>0</v>
      </c>
      <c r="N97" s="316"/>
      <c r="O97" s="252">
        <f>152897.9+83</f>
        <v>152980.9</v>
      </c>
      <c r="P97" s="405">
        <f>O97/L97</f>
        <v>0.64720945974531452</v>
      </c>
      <c r="Q97" s="252"/>
    </row>
    <row r="98" spans="1:17" x14ac:dyDescent="0.25">
      <c r="B98" s="7" t="s">
        <v>126</v>
      </c>
      <c r="C98" s="79" t="s">
        <v>351</v>
      </c>
      <c r="D98" s="80" t="s">
        <v>353</v>
      </c>
      <c r="E98" s="243">
        <v>86000</v>
      </c>
      <c r="F98" s="243">
        <v>86000</v>
      </c>
      <c r="G98" s="16">
        <f t="shared" si="11"/>
        <v>0</v>
      </c>
      <c r="H98" s="318"/>
      <c r="I98" s="243">
        <f>ROUND(F98,0)</f>
        <v>86000</v>
      </c>
      <c r="J98" s="16">
        <f t="shared" si="12"/>
        <v>0</v>
      </c>
      <c r="K98" s="318"/>
      <c r="L98" s="243">
        <f>ROUND(I98,0)+10000</f>
        <v>96000</v>
      </c>
      <c r="M98" s="16">
        <f t="shared" si="13"/>
        <v>10000</v>
      </c>
      <c r="N98" s="318" t="s">
        <v>1483</v>
      </c>
      <c r="O98" s="252">
        <v>46417.7</v>
      </c>
      <c r="P98" s="405">
        <f>O98/L98</f>
        <v>0.4835177083333333</v>
      </c>
      <c r="Q98" s="252"/>
    </row>
    <row r="99" spans="1:17" x14ac:dyDescent="0.25">
      <c r="B99" s="7" t="s">
        <v>535</v>
      </c>
      <c r="C99" s="79" t="s">
        <v>354</v>
      </c>
      <c r="D99" s="189" t="s">
        <v>355</v>
      </c>
      <c r="E99" s="243">
        <v>0</v>
      </c>
      <c r="F99" s="243">
        <v>0</v>
      </c>
      <c r="G99" s="57">
        <f t="shared" si="11"/>
        <v>0</v>
      </c>
      <c r="H99" s="335"/>
      <c r="I99" s="243">
        <f>ROUND(F99,0)</f>
        <v>0</v>
      </c>
      <c r="J99" s="57">
        <f t="shared" si="12"/>
        <v>0</v>
      </c>
      <c r="K99" s="335"/>
      <c r="L99" s="243">
        <f>ROUND(I99,0)</f>
        <v>0</v>
      </c>
      <c r="M99" s="57">
        <f t="shared" si="13"/>
        <v>0</v>
      </c>
      <c r="N99" s="335"/>
      <c r="O99" s="498"/>
      <c r="P99" s="407"/>
      <c r="Q99" s="252"/>
    </row>
    <row r="100" spans="1:17" ht="25.2" customHeight="1" x14ac:dyDescent="0.25">
      <c r="A100" s="7" t="s">
        <v>10</v>
      </c>
      <c r="B100" s="7" t="s">
        <v>128</v>
      </c>
      <c r="C100" s="71" t="s">
        <v>131</v>
      </c>
      <c r="D100" s="72" t="s">
        <v>130</v>
      </c>
      <c r="E100" s="243">
        <v>98350</v>
      </c>
      <c r="F100" s="243">
        <v>98350</v>
      </c>
      <c r="G100" s="16">
        <f t="shared" si="11"/>
        <v>0</v>
      </c>
      <c r="H100" s="352"/>
      <c r="I100" s="243">
        <f>SUM(I101:I102)</f>
        <v>98350</v>
      </c>
      <c r="J100" s="16">
        <f t="shared" si="12"/>
        <v>0</v>
      </c>
      <c r="K100" s="352"/>
      <c r="L100" s="243">
        <f>SUM(L101:L102)</f>
        <v>98350</v>
      </c>
      <c r="M100" s="16">
        <f t="shared" si="13"/>
        <v>0</v>
      </c>
      <c r="N100" s="352"/>
      <c r="O100" s="252">
        <f>SUM(O101:O102)</f>
        <v>34978.54</v>
      </c>
      <c r="P100" s="405">
        <f>O100/L100</f>
        <v>0.35565368581596341</v>
      </c>
      <c r="Q100" s="252"/>
    </row>
    <row r="101" spans="1:17" ht="28.2" customHeight="1" x14ac:dyDescent="0.25">
      <c r="A101" s="62" t="s">
        <v>253</v>
      </c>
      <c r="C101" s="79" t="s">
        <v>336</v>
      </c>
      <c r="D101" s="80" t="s">
        <v>130</v>
      </c>
      <c r="E101" s="243">
        <v>98350</v>
      </c>
      <c r="F101" s="243">
        <v>98350</v>
      </c>
      <c r="G101" s="57">
        <f t="shared" si="11"/>
        <v>0</v>
      </c>
      <c r="H101" s="335"/>
      <c r="I101" s="243">
        <f>ROUND(F101,0)</f>
        <v>98350</v>
      </c>
      <c r="J101" s="57">
        <f t="shared" si="12"/>
        <v>0</v>
      </c>
      <c r="K101" s="335"/>
      <c r="L101" s="243">
        <f>ROUND(I101,0)</f>
        <v>98350</v>
      </c>
      <c r="M101" s="57">
        <f t="shared" si="13"/>
        <v>0</v>
      </c>
      <c r="N101" s="335"/>
      <c r="O101" s="252">
        <f>33975.23+504+483.31+36-20</f>
        <v>34978.54</v>
      </c>
      <c r="P101" s="407">
        <f>O101/L101</f>
        <v>0.35565368581596341</v>
      </c>
      <c r="Q101" s="252"/>
    </row>
    <row r="102" spans="1:17" ht="16.5" customHeight="1" x14ac:dyDescent="0.25">
      <c r="B102" s="7" t="s">
        <v>702</v>
      </c>
      <c r="C102" s="79" t="s">
        <v>337</v>
      </c>
      <c r="D102" s="80" t="s">
        <v>703</v>
      </c>
      <c r="E102" s="243">
        <v>0</v>
      </c>
      <c r="F102" s="243">
        <v>0</v>
      </c>
      <c r="G102" s="57">
        <f t="shared" si="11"/>
        <v>0</v>
      </c>
      <c r="H102" s="335"/>
      <c r="I102" s="243">
        <f>ROUND(F102,0)</f>
        <v>0</v>
      </c>
      <c r="J102" s="57">
        <f t="shared" si="12"/>
        <v>0</v>
      </c>
      <c r="K102" s="335"/>
      <c r="L102" s="243">
        <f>ROUND(I102,0)</f>
        <v>0</v>
      </c>
      <c r="M102" s="57">
        <f t="shared" si="13"/>
        <v>0</v>
      </c>
      <c r="N102" s="335"/>
      <c r="O102" s="252">
        <v>0</v>
      </c>
      <c r="P102" s="407"/>
      <c r="Q102" s="252"/>
    </row>
    <row r="103" spans="1:17" ht="78" customHeight="1" thickBot="1" x14ac:dyDescent="0.35">
      <c r="A103" s="7" t="s">
        <v>10</v>
      </c>
      <c r="B103" s="273" t="s">
        <v>820</v>
      </c>
      <c r="C103" s="71" t="s">
        <v>338</v>
      </c>
      <c r="D103" s="72" t="s">
        <v>706</v>
      </c>
      <c r="E103" s="243">
        <v>100623</v>
      </c>
      <c r="F103" s="243">
        <v>100623</v>
      </c>
      <c r="G103" s="16">
        <f t="shared" si="11"/>
        <v>0</v>
      </c>
      <c r="H103" s="316"/>
      <c r="I103" s="243">
        <f>ROUND(F103,0)</f>
        <v>100623</v>
      </c>
      <c r="J103" s="16">
        <f t="shared" si="12"/>
        <v>0</v>
      </c>
      <c r="K103" s="316"/>
      <c r="L103" s="243">
        <f>ROUND(I103,0)</f>
        <v>100623</v>
      </c>
      <c r="M103" s="16">
        <f t="shared" si="13"/>
        <v>0</v>
      </c>
      <c r="N103" s="316"/>
      <c r="O103" s="252">
        <f>93791.11+10879+17456</f>
        <v>122126.11</v>
      </c>
      <c r="P103" s="405">
        <f t="shared" ref="P103:P119" si="16">O103/L103</f>
        <v>1.2136997505540483</v>
      </c>
      <c r="Q103" s="403" t="s">
        <v>1494</v>
      </c>
    </row>
    <row r="104" spans="1:17" ht="15" customHeight="1" thickBot="1" x14ac:dyDescent="0.3">
      <c r="C104" s="24"/>
      <c r="D104" s="25" t="s">
        <v>132</v>
      </c>
      <c r="E104" s="283">
        <v>61794402</v>
      </c>
      <c r="F104" s="283">
        <v>61849590</v>
      </c>
      <c r="G104" s="46">
        <f t="shared" si="11"/>
        <v>55188</v>
      </c>
      <c r="H104" s="353"/>
      <c r="I104" s="283">
        <f>I7+I10+I13+I16+I19+I22+I34+I37+I41+I42+I86+I89</f>
        <v>61987173</v>
      </c>
      <c r="J104" s="46">
        <f t="shared" si="12"/>
        <v>137583</v>
      </c>
      <c r="K104" s="353"/>
      <c r="L104" s="283">
        <f>L7+L10+L13+L16+L19+L22+L34+L37+L41+L42+L86+L89</f>
        <v>62139592</v>
      </c>
      <c r="M104" s="46">
        <f t="shared" si="13"/>
        <v>152419</v>
      </c>
      <c r="N104" s="353"/>
      <c r="O104" s="46">
        <f>O7+O10+O13+O16+O19+O22+O34+O37+O41+O42+O86+O89</f>
        <v>28436357.02999999</v>
      </c>
      <c r="P104" s="443">
        <f t="shared" si="16"/>
        <v>0.45762059445127978</v>
      </c>
      <c r="Q104" s="464"/>
    </row>
    <row r="105" spans="1:17" ht="14.4" thickBot="1" x14ac:dyDescent="0.3">
      <c r="C105" s="81" t="s">
        <v>133</v>
      </c>
      <c r="D105" s="244" t="s">
        <v>134</v>
      </c>
      <c r="E105" s="284">
        <v>6694243.2000000002</v>
      </c>
      <c r="F105" s="284">
        <v>6694243</v>
      </c>
      <c r="G105" s="47">
        <f t="shared" si="11"/>
        <v>-0.20000000018626451</v>
      </c>
      <c r="H105" s="354"/>
      <c r="I105" s="284">
        <f>SUM(I106:I107)</f>
        <v>6694243</v>
      </c>
      <c r="J105" s="47">
        <f t="shared" si="12"/>
        <v>0</v>
      </c>
      <c r="K105" s="354"/>
      <c r="L105" s="284">
        <f>SUM(L106:L107)</f>
        <v>6694243</v>
      </c>
      <c r="M105" s="47">
        <f t="shared" si="13"/>
        <v>0</v>
      </c>
      <c r="N105" s="354"/>
      <c r="O105" s="47">
        <f>SUM(O106:O107)</f>
        <v>6694243</v>
      </c>
      <c r="P105" s="409">
        <f t="shared" si="16"/>
        <v>1</v>
      </c>
      <c r="Q105" s="47"/>
    </row>
    <row r="106" spans="1:17" ht="14.4" customHeight="1" x14ac:dyDescent="0.25">
      <c r="C106" s="71" t="s">
        <v>135</v>
      </c>
      <c r="D106" s="72" t="s">
        <v>136</v>
      </c>
      <c r="E106" s="243">
        <v>1040957</v>
      </c>
      <c r="F106" s="243">
        <v>1040957</v>
      </c>
      <c r="G106" s="16">
        <f t="shared" si="11"/>
        <v>0</v>
      </c>
      <c r="H106" s="314"/>
      <c r="I106" s="243">
        <f>ROUND(F106,0)</f>
        <v>1040957</v>
      </c>
      <c r="J106" s="16">
        <f t="shared" si="12"/>
        <v>0</v>
      </c>
      <c r="K106" s="314"/>
      <c r="L106" s="243">
        <f>ROUND(I106,0)</f>
        <v>1040957</v>
      </c>
      <c r="M106" s="16">
        <f t="shared" si="13"/>
        <v>0</v>
      </c>
      <c r="N106" s="314"/>
      <c r="O106" s="252">
        <v>1040957</v>
      </c>
      <c r="P106" s="405">
        <f t="shared" si="16"/>
        <v>1</v>
      </c>
      <c r="Q106" s="252"/>
    </row>
    <row r="107" spans="1:17" x14ac:dyDescent="0.25">
      <c r="C107" s="71" t="s">
        <v>137</v>
      </c>
      <c r="D107" s="72" t="s">
        <v>138</v>
      </c>
      <c r="E107" s="243">
        <v>5653286</v>
      </c>
      <c r="F107" s="243">
        <v>5653286</v>
      </c>
      <c r="G107" s="16">
        <f t="shared" si="11"/>
        <v>0</v>
      </c>
      <c r="H107" s="318"/>
      <c r="I107" s="243">
        <f>ROUND(F107,0)</f>
        <v>5653286</v>
      </c>
      <c r="J107" s="16">
        <f t="shared" si="12"/>
        <v>0</v>
      </c>
      <c r="K107" s="318"/>
      <c r="L107" s="243">
        <f>ROUND(I107,0)</f>
        <v>5653286</v>
      </c>
      <c r="M107" s="16">
        <f t="shared" si="13"/>
        <v>0</v>
      </c>
      <c r="N107" s="318"/>
      <c r="O107" s="252">
        <v>5653286</v>
      </c>
      <c r="P107" s="405">
        <f t="shared" si="16"/>
        <v>1</v>
      </c>
      <c r="Q107" s="252"/>
    </row>
    <row r="108" spans="1:17" x14ac:dyDescent="0.25">
      <c r="C108" s="77" t="s">
        <v>139</v>
      </c>
      <c r="D108" s="204" t="s">
        <v>140</v>
      </c>
      <c r="E108" s="285">
        <v>6608118</v>
      </c>
      <c r="F108" s="285">
        <v>6608118</v>
      </c>
      <c r="G108" s="17">
        <f t="shared" si="11"/>
        <v>0</v>
      </c>
      <c r="H108" s="329"/>
      <c r="I108" s="285">
        <f>SUM(I109:I118)</f>
        <v>6668106</v>
      </c>
      <c r="J108" s="17">
        <f t="shared" si="12"/>
        <v>59988</v>
      </c>
      <c r="K108" s="329"/>
      <c r="L108" s="285">
        <f>SUM(L109:L118)</f>
        <v>6668106</v>
      </c>
      <c r="M108" s="17">
        <f t="shared" si="13"/>
        <v>0</v>
      </c>
      <c r="N108" s="329"/>
      <c r="O108" s="410">
        <f>SUM(O109:O118)</f>
        <v>347156</v>
      </c>
      <c r="P108" s="411">
        <f t="shared" si="16"/>
        <v>5.2062159779703562E-2</v>
      </c>
      <c r="Q108" s="410" t="s">
        <v>767</v>
      </c>
    </row>
    <row r="109" spans="1:17" outlineLevel="1" x14ac:dyDescent="0.25">
      <c r="A109" s="62"/>
      <c r="B109" s="62"/>
      <c r="C109" s="114" t="s">
        <v>685</v>
      </c>
      <c r="D109" s="193" t="s">
        <v>1450</v>
      </c>
      <c r="E109" s="300">
        <v>85000</v>
      </c>
      <c r="F109" s="473">
        <v>85000</v>
      </c>
      <c r="G109" s="355">
        <f t="shared" si="11"/>
        <v>0</v>
      </c>
      <c r="H109" s="356"/>
      <c r="I109" s="473">
        <f t="shared" ref="I109:I118" si="17">ROUND(F109,0)</f>
        <v>85000</v>
      </c>
      <c r="J109" s="355">
        <f t="shared" si="12"/>
        <v>0</v>
      </c>
      <c r="K109" s="356"/>
      <c r="L109" s="473">
        <f t="shared" ref="L109:L116" si="18">ROUND(I109,0)</f>
        <v>85000</v>
      </c>
      <c r="M109" s="355">
        <f t="shared" si="13"/>
        <v>0</v>
      </c>
      <c r="N109" s="356"/>
      <c r="O109" s="96">
        <f>ROUND(H109,0)</f>
        <v>0</v>
      </c>
      <c r="P109" s="412">
        <f t="shared" si="16"/>
        <v>0</v>
      </c>
      <c r="Q109" s="465"/>
    </row>
    <row r="110" spans="1:17" ht="30" customHeight="1" x14ac:dyDescent="0.25">
      <c r="A110" s="62" t="s">
        <v>868</v>
      </c>
      <c r="B110" s="62"/>
      <c r="C110" s="114" t="s">
        <v>686</v>
      </c>
      <c r="D110" s="193" t="s">
        <v>866</v>
      </c>
      <c r="E110" s="300">
        <v>3100179</v>
      </c>
      <c r="F110" s="473">
        <v>3100179</v>
      </c>
      <c r="G110" s="355">
        <f t="shared" si="11"/>
        <v>0</v>
      </c>
      <c r="H110" s="356"/>
      <c r="I110" s="473">
        <f t="shared" si="17"/>
        <v>3100179</v>
      </c>
      <c r="J110" s="355">
        <f t="shared" si="12"/>
        <v>0</v>
      </c>
      <c r="K110" s="356"/>
      <c r="L110" s="473">
        <f t="shared" si="18"/>
        <v>3100179</v>
      </c>
      <c r="M110" s="355">
        <f t="shared" si="13"/>
        <v>0</v>
      </c>
      <c r="N110" s="356"/>
      <c r="O110" s="252">
        <v>0</v>
      </c>
      <c r="P110" s="412">
        <f t="shared" si="16"/>
        <v>0</v>
      </c>
      <c r="Q110" s="465"/>
    </row>
    <row r="111" spans="1:17" x14ac:dyDescent="0.25">
      <c r="A111" s="62" t="s">
        <v>498</v>
      </c>
      <c r="B111" s="62" t="s">
        <v>502</v>
      </c>
      <c r="C111" s="114" t="s">
        <v>1475</v>
      </c>
      <c r="D111" s="271" t="s">
        <v>1298</v>
      </c>
      <c r="E111" s="300">
        <v>85000</v>
      </c>
      <c r="F111" s="477">
        <v>85000</v>
      </c>
      <c r="G111" s="357">
        <f t="shared" si="11"/>
        <v>0</v>
      </c>
      <c r="H111" s="358"/>
      <c r="I111" s="477">
        <f t="shared" si="17"/>
        <v>85000</v>
      </c>
      <c r="J111" s="357">
        <f t="shared" si="12"/>
        <v>0</v>
      </c>
      <c r="K111" s="358"/>
      <c r="L111" s="477">
        <f t="shared" si="18"/>
        <v>85000</v>
      </c>
      <c r="M111" s="357">
        <f t="shared" si="13"/>
        <v>0</v>
      </c>
      <c r="N111" s="358"/>
      <c r="O111" s="252">
        <v>0</v>
      </c>
      <c r="P111" s="413">
        <f t="shared" si="16"/>
        <v>0</v>
      </c>
      <c r="Q111" s="466"/>
    </row>
    <row r="112" spans="1:17" ht="32.4" customHeight="1" x14ac:dyDescent="0.25">
      <c r="A112" s="62"/>
      <c r="B112" s="62"/>
      <c r="C112" s="114" t="s">
        <v>687</v>
      </c>
      <c r="D112" s="271" t="s">
        <v>1299</v>
      </c>
      <c r="E112" s="300">
        <v>255000</v>
      </c>
      <c r="F112" s="473">
        <v>255000</v>
      </c>
      <c r="G112" s="355">
        <f t="shared" si="11"/>
        <v>0</v>
      </c>
      <c r="H112" s="359"/>
      <c r="I112" s="473">
        <f t="shared" si="17"/>
        <v>255000</v>
      </c>
      <c r="J112" s="355">
        <f t="shared" si="12"/>
        <v>0</v>
      </c>
      <c r="K112" s="359"/>
      <c r="L112" s="473">
        <f t="shared" si="18"/>
        <v>255000</v>
      </c>
      <c r="M112" s="355">
        <f t="shared" si="13"/>
        <v>0</v>
      </c>
      <c r="N112" s="359"/>
      <c r="O112" s="252">
        <v>0</v>
      </c>
      <c r="P112" s="413">
        <f t="shared" si="16"/>
        <v>0</v>
      </c>
      <c r="Q112" s="466"/>
    </row>
    <row r="113" spans="1:18" ht="67.95" customHeight="1" x14ac:dyDescent="0.25">
      <c r="A113" s="62"/>
      <c r="B113" s="62"/>
      <c r="C113" s="114" t="s">
        <v>688</v>
      </c>
      <c r="D113" s="194" t="s">
        <v>806</v>
      </c>
      <c r="E113" s="304">
        <v>474147</v>
      </c>
      <c r="F113" s="476">
        <v>474147</v>
      </c>
      <c r="G113" s="360">
        <f t="shared" si="11"/>
        <v>0</v>
      </c>
      <c r="H113" s="344"/>
      <c r="I113" s="476">
        <f t="shared" si="17"/>
        <v>474147</v>
      </c>
      <c r="J113" s="360">
        <f t="shared" si="12"/>
        <v>0</v>
      </c>
      <c r="K113" s="344"/>
      <c r="L113" s="476">
        <f t="shared" si="18"/>
        <v>474147</v>
      </c>
      <c r="M113" s="360">
        <f t="shared" si="13"/>
        <v>0</v>
      </c>
      <c r="N113" s="489"/>
      <c r="O113" s="252">
        <v>347156</v>
      </c>
      <c r="P113" s="413">
        <f t="shared" si="16"/>
        <v>0.73216955922952165</v>
      </c>
      <c r="Q113" s="125"/>
    </row>
    <row r="114" spans="1:18" ht="16.95" customHeight="1" x14ac:dyDescent="0.25">
      <c r="B114" s="62"/>
      <c r="C114" s="114" t="s">
        <v>689</v>
      </c>
      <c r="D114" s="271" t="s">
        <v>1406</v>
      </c>
      <c r="E114" s="300">
        <v>510000</v>
      </c>
      <c r="F114" s="475">
        <v>510000</v>
      </c>
      <c r="G114" s="361">
        <f t="shared" si="11"/>
        <v>0</v>
      </c>
      <c r="H114" s="344"/>
      <c r="I114" s="475">
        <f t="shared" si="17"/>
        <v>510000</v>
      </c>
      <c r="J114" s="361">
        <f t="shared" si="12"/>
        <v>0</v>
      </c>
      <c r="K114" s="344"/>
      <c r="L114" s="475">
        <f t="shared" si="18"/>
        <v>510000</v>
      </c>
      <c r="M114" s="361">
        <f t="shared" si="13"/>
        <v>0</v>
      </c>
      <c r="N114" s="344"/>
      <c r="O114" s="498"/>
      <c r="P114" s="413">
        <f t="shared" si="16"/>
        <v>0</v>
      </c>
      <c r="Q114" s="466"/>
      <c r="R114" s="425"/>
    </row>
    <row r="115" spans="1:18" ht="29.25" customHeight="1" x14ac:dyDescent="0.25">
      <c r="B115" s="62" t="s">
        <v>1390</v>
      </c>
      <c r="C115" s="114" t="s">
        <v>1476</v>
      </c>
      <c r="D115" s="194" t="s">
        <v>1391</v>
      </c>
      <c r="E115" s="304">
        <v>295238</v>
      </c>
      <c r="F115" s="476">
        <v>295238</v>
      </c>
      <c r="G115" s="123">
        <f t="shared" si="11"/>
        <v>0</v>
      </c>
      <c r="H115" s="362"/>
      <c r="I115" s="476">
        <f t="shared" si="17"/>
        <v>295238</v>
      </c>
      <c r="J115" s="123">
        <f t="shared" si="12"/>
        <v>0</v>
      </c>
      <c r="K115" s="362"/>
      <c r="L115" s="476">
        <f t="shared" si="18"/>
        <v>295238</v>
      </c>
      <c r="M115" s="123">
        <f t="shared" si="13"/>
        <v>0</v>
      </c>
      <c r="N115" s="362"/>
      <c r="O115" s="252">
        <v>0</v>
      </c>
      <c r="P115" s="413">
        <f t="shared" si="16"/>
        <v>0</v>
      </c>
      <c r="Q115" s="125"/>
    </row>
    <row r="116" spans="1:18" ht="18.600000000000001" customHeight="1" outlineLevel="1" x14ac:dyDescent="0.25">
      <c r="B116" s="62" t="s">
        <v>1285</v>
      </c>
      <c r="C116" s="120" t="s">
        <v>1477</v>
      </c>
      <c r="D116" s="194" t="s">
        <v>810</v>
      </c>
      <c r="E116" s="304">
        <v>70622</v>
      </c>
      <c r="F116" s="272">
        <v>70622</v>
      </c>
      <c r="G116" s="363">
        <f t="shared" si="11"/>
        <v>0</v>
      </c>
      <c r="H116" s="344"/>
      <c r="I116" s="272">
        <f t="shared" si="17"/>
        <v>70622</v>
      </c>
      <c r="J116" s="363">
        <f t="shared" si="12"/>
        <v>0</v>
      </c>
      <c r="K116" s="344"/>
      <c r="L116" s="272">
        <f t="shared" si="18"/>
        <v>70622</v>
      </c>
      <c r="M116" s="363">
        <f t="shared" si="13"/>
        <v>0</v>
      </c>
      <c r="N116" s="344"/>
      <c r="O116" s="16">
        <f>ROUND(H116,0)</f>
        <v>0</v>
      </c>
      <c r="P116" s="413">
        <f t="shared" si="16"/>
        <v>0</v>
      </c>
      <c r="Q116" s="466"/>
    </row>
    <row r="117" spans="1:18" ht="27.6" customHeight="1" outlineLevel="1" x14ac:dyDescent="0.25">
      <c r="B117" s="62" t="s">
        <v>677</v>
      </c>
      <c r="C117" s="124" t="s">
        <v>1478</v>
      </c>
      <c r="D117" s="194" t="s">
        <v>678</v>
      </c>
      <c r="E117" s="304">
        <v>123536</v>
      </c>
      <c r="F117" s="474">
        <v>123536</v>
      </c>
      <c r="G117" s="361">
        <f t="shared" si="11"/>
        <v>0</v>
      </c>
      <c r="H117" s="344"/>
      <c r="I117" s="474">
        <f>ROUND(F117,0)+59988</f>
        <v>183524</v>
      </c>
      <c r="J117" s="361">
        <f t="shared" si="12"/>
        <v>59988</v>
      </c>
      <c r="K117" s="489" t="s">
        <v>1465</v>
      </c>
      <c r="L117" s="474">
        <f>ROUND(I117,0)</f>
        <v>183524</v>
      </c>
      <c r="M117" s="361">
        <f t="shared" si="13"/>
        <v>0</v>
      </c>
      <c r="N117" s="489"/>
      <c r="O117" s="16">
        <f>ROUND(H117,0)</f>
        <v>0</v>
      </c>
      <c r="P117" s="413">
        <f t="shared" si="16"/>
        <v>0</v>
      </c>
      <c r="Q117" s="466"/>
    </row>
    <row r="118" spans="1:18" ht="26.4" customHeight="1" outlineLevel="1" x14ac:dyDescent="0.25">
      <c r="B118" s="62" t="s">
        <v>458</v>
      </c>
      <c r="C118" s="124" t="s">
        <v>715</v>
      </c>
      <c r="D118" s="261" t="s">
        <v>408</v>
      </c>
      <c r="E118" s="304">
        <v>1609396</v>
      </c>
      <c r="F118" s="474">
        <v>1609396</v>
      </c>
      <c r="G118" s="252">
        <f t="shared" si="11"/>
        <v>0</v>
      </c>
      <c r="H118" s="362"/>
      <c r="I118" s="474">
        <f t="shared" si="17"/>
        <v>1609396</v>
      </c>
      <c r="J118" s="252">
        <f t="shared" si="12"/>
        <v>0</v>
      </c>
      <c r="K118" s="362"/>
      <c r="L118" s="474">
        <f t="shared" ref="L118" si="19">ROUND(I118,0)</f>
        <v>1609396</v>
      </c>
      <c r="M118" s="252">
        <f t="shared" si="13"/>
        <v>0</v>
      </c>
      <c r="N118" s="362"/>
      <c r="O118" s="16">
        <f>ROUND(H118,0)</f>
        <v>0</v>
      </c>
      <c r="P118" s="413">
        <f t="shared" si="16"/>
        <v>0</v>
      </c>
      <c r="Q118" s="466"/>
    </row>
    <row r="119" spans="1:18" ht="14.4" thickBot="1" x14ac:dyDescent="0.3">
      <c r="C119" s="60"/>
      <c r="D119" s="210" t="s">
        <v>141</v>
      </c>
      <c r="E119" s="284">
        <v>75096763.200000003</v>
      </c>
      <c r="F119" s="284">
        <v>75151951</v>
      </c>
      <c r="G119" s="47">
        <f t="shared" si="11"/>
        <v>55187.79999999702</v>
      </c>
      <c r="H119" s="364"/>
      <c r="I119" s="284">
        <f>I104+I105+I108</f>
        <v>75349522</v>
      </c>
      <c r="J119" s="47">
        <f t="shared" si="12"/>
        <v>197571</v>
      </c>
      <c r="K119" s="364"/>
      <c r="L119" s="284">
        <f>L104+L105+L108</f>
        <v>75501941</v>
      </c>
      <c r="M119" s="47">
        <f t="shared" si="13"/>
        <v>152419</v>
      </c>
      <c r="N119" s="364"/>
      <c r="O119" s="47">
        <f>O104+O105+O108</f>
        <v>35477756.029999986</v>
      </c>
      <c r="P119" s="414">
        <f t="shared" si="16"/>
        <v>0.46989197310834679</v>
      </c>
      <c r="Q119" s="47"/>
    </row>
    <row r="120" spans="1:18" x14ac:dyDescent="0.25">
      <c r="O120" s="502"/>
    </row>
    <row r="121" spans="1:18" x14ac:dyDescent="0.25">
      <c r="G121" s="45"/>
      <c r="J121" s="45"/>
      <c r="M121" s="45"/>
      <c r="O121" s="503"/>
      <c r="Q121" s="45"/>
    </row>
    <row r="122" spans="1:18" ht="20.399999999999999" x14ac:dyDescent="0.35">
      <c r="C122" s="537" t="s">
        <v>142</v>
      </c>
      <c r="D122" s="537"/>
      <c r="G122" s="45"/>
      <c r="J122" s="45"/>
      <c r="M122" s="45"/>
      <c r="O122" s="503"/>
      <c r="Q122" s="45"/>
    </row>
    <row r="123" spans="1:18" ht="15" thickBot="1" x14ac:dyDescent="0.35">
      <c r="C123" s="538"/>
      <c r="D123" s="538"/>
      <c r="G123" s="52"/>
      <c r="J123" s="52"/>
      <c r="M123" s="52"/>
      <c r="O123" s="504"/>
      <c r="Q123" s="52"/>
    </row>
    <row r="124" spans="1:18" ht="57" customHeight="1" thickBot="1" x14ac:dyDescent="0.3">
      <c r="C124" s="11" t="s">
        <v>1</v>
      </c>
      <c r="D124" s="12" t="s">
        <v>2</v>
      </c>
      <c r="E124" s="275" t="s">
        <v>825</v>
      </c>
      <c r="F124" s="275" t="s">
        <v>1421</v>
      </c>
      <c r="G124" s="50" t="s">
        <v>726</v>
      </c>
      <c r="H124" s="326" t="s">
        <v>3</v>
      </c>
      <c r="I124" s="275" t="str">
        <f>I5</f>
        <v>29.05.2025. grozījumi</v>
      </c>
      <c r="J124" s="50" t="str">
        <f>J5</f>
        <v>Izmaiņa 29.05.2025. - 27.03.2025.</v>
      </c>
      <c r="K124" s="326" t="s">
        <v>3</v>
      </c>
      <c r="L124" s="275" t="str">
        <f>L5</f>
        <v>26.06.2025. grozījumi</v>
      </c>
      <c r="M124" s="50" t="str">
        <f>M5</f>
        <v>Izmaiņa 26.06.2025. - 29.05.2025.</v>
      </c>
      <c r="N124" s="326" t="s">
        <v>3</v>
      </c>
      <c r="O124" s="50" t="str">
        <f>O5</f>
        <v>30.06.2025. fakts</v>
      </c>
      <c r="P124" s="400" t="str">
        <f>P5</f>
        <v>30.06.2025. fakts (%) pret 2025. plānu</v>
      </c>
      <c r="Q124" s="326" t="s">
        <v>4</v>
      </c>
    </row>
    <row r="125" spans="1:18" x14ac:dyDescent="0.25">
      <c r="C125" s="82" t="s">
        <v>8</v>
      </c>
      <c r="D125" s="202" t="s">
        <v>143</v>
      </c>
      <c r="E125" s="286">
        <v>12264534</v>
      </c>
      <c r="F125" s="286">
        <v>12264534</v>
      </c>
      <c r="G125" s="27">
        <f t="shared" ref="G125:G188" si="20">F125-E125</f>
        <v>0</v>
      </c>
      <c r="H125" s="365"/>
      <c r="I125" s="286">
        <f>SUM(I126:I134)</f>
        <v>12263884</v>
      </c>
      <c r="J125" s="27">
        <f t="shared" ref="J125:J188" si="21">I125-F125</f>
        <v>-650</v>
      </c>
      <c r="K125" s="365"/>
      <c r="L125" s="286">
        <f>SUM(L126:L134)</f>
        <v>12213884</v>
      </c>
      <c r="M125" s="27">
        <f t="shared" ref="M125:M188" si="22">L125-I125</f>
        <v>-50000</v>
      </c>
      <c r="N125" s="365"/>
      <c r="O125" s="27">
        <f>SUM(O126:O134)</f>
        <v>5363227.6599999992</v>
      </c>
      <c r="P125" s="444">
        <f t="shared" ref="P125:P149" si="23">O125/L125</f>
        <v>0.43910910403275477</v>
      </c>
      <c r="Q125" s="27"/>
    </row>
    <row r="126" spans="1:18" ht="31.5" customHeight="1" x14ac:dyDescent="0.25">
      <c r="B126" s="62" t="s">
        <v>243</v>
      </c>
      <c r="C126" s="83" t="s">
        <v>11</v>
      </c>
      <c r="D126" s="178" t="s">
        <v>144</v>
      </c>
      <c r="E126" s="42">
        <v>2120144</v>
      </c>
      <c r="F126" s="42">
        <v>2120144</v>
      </c>
      <c r="G126" s="22">
        <f t="shared" si="20"/>
        <v>0</v>
      </c>
      <c r="H126" s="342"/>
      <c r="I126" s="42">
        <f>ROUND(F126,0)-650</f>
        <v>2119494</v>
      </c>
      <c r="J126" s="22">
        <f t="shared" si="21"/>
        <v>-650</v>
      </c>
      <c r="K126" s="342" t="s">
        <v>1463</v>
      </c>
      <c r="L126" s="42">
        <f>ROUND(I126,0)</f>
        <v>2119494</v>
      </c>
      <c r="M126" s="22">
        <f t="shared" si="22"/>
        <v>0</v>
      </c>
      <c r="N126" s="342"/>
      <c r="O126" s="257">
        <f>4937727.67-O132-O133</f>
        <v>879997.29</v>
      </c>
      <c r="P126" s="418">
        <f t="shared" si="23"/>
        <v>0.41519215907192947</v>
      </c>
      <c r="Q126" s="22"/>
    </row>
    <row r="127" spans="1:18" x14ac:dyDescent="0.25">
      <c r="B127" s="62" t="s">
        <v>244</v>
      </c>
      <c r="C127" s="83" t="s">
        <v>13</v>
      </c>
      <c r="D127" s="178" t="s">
        <v>145</v>
      </c>
      <c r="E127" s="42">
        <v>377185</v>
      </c>
      <c r="F127" s="42">
        <v>377185</v>
      </c>
      <c r="G127" s="22">
        <f t="shared" si="20"/>
        <v>0</v>
      </c>
      <c r="H127" s="315"/>
      <c r="I127" s="42">
        <f t="shared" ref="I127:I134" si="24">ROUND(F127,0)</f>
        <v>377185</v>
      </c>
      <c r="J127" s="22">
        <f t="shared" si="21"/>
        <v>0</v>
      </c>
      <c r="K127" s="315"/>
      <c r="L127" s="42">
        <f t="shared" ref="L127:L134" si="25">ROUND(I127,0)</f>
        <v>377185</v>
      </c>
      <c r="M127" s="22">
        <f t="shared" si="22"/>
        <v>0</v>
      </c>
      <c r="N127" s="315"/>
      <c r="O127" s="257">
        <v>137636.67000000001</v>
      </c>
      <c r="P127" s="418">
        <f t="shared" si="23"/>
        <v>0.36490494054641626</v>
      </c>
      <c r="Q127" s="22"/>
    </row>
    <row r="128" spans="1:18" ht="13.2" customHeight="1" x14ac:dyDescent="0.25">
      <c r="B128" s="62" t="s">
        <v>246</v>
      </c>
      <c r="C128" s="83" t="s">
        <v>146</v>
      </c>
      <c r="D128" s="178" t="s">
        <v>147</v>
      </c>
      <c r="E128" s="42">
        <v>62822</v>
      </c>
      <c r="F128" s="42">
        <v>62822</v>
      </c>
      <c r="G128" s="22">
        <f t="shared" si="20"/>
        <v>0</v>
      </c>
      <c r="H128" s="342"/>
      <c r="I128" s="42">
        <f t="shared" si="24"/>
        <v>62822</v>
      </c>
      <c r="J128" s="22">
        <f t="shared" si="21"/>
        <v>0</v>
      </c>
      <c r="K128" s="342"/>
      <c r="L128" s="42">
        <f t="shared" si="25"/>
        <v>62822</v>
      </c>
      <c r="M128" s="22">
        <f t="shared" si="22"/>
        <v>0</v>
      </c>
      <c r="N128" s="342"/>
      <c r="O128" s="257">
        <v>17515.5</v>
      </c>
      <c r="P128" s="418">
        <f t="shared" si="23"/>
        <v>0.27881156282830855</v>
      </c>
      <c r="Q128" s="22"/>
    </row>
    <row r="129" spans="2:17" ht="14.4" customHeight="1" x14ac:dyDescent="0.25">
      <c r="B129" s="62" t="s">
        <v>247</v>
      </c>
      <c r="C129" s="83" t="s">
        <v>148</v>
      </c>
      <c r="D129" s="178" t="s">
        <v>149</v>
      </c>
      <c r="E129" s="42">
        <v>45177</v>
      </c>
      <c r="F129" s="42">
        <v>45177</v>
      </c>
      <c r="G129" s="22">
        <f t="shared" si="20"/>
        <v>0</v>
      </c>
      <c r="H129" s="342"/>
      <c r="I129" s="42">
        <f t="shared" si="24"/>
        <v>45177</v>
      </c>
      <c r="J129" s="22">
        <f t="shared" si="21"/>
        <v>0</v>
      </c>
      <c r="K129" s="342"/>
      <c r="L129" s="42">
        <f t="shared" si="25"/>
        <v>45177</v>
      </c>
      <c r="M129" s="22">
        <f t="shared" si="22"/>
        <v>0</v>
      </c>
      <c r="N129" s="342"/>
      <c r="O129" s="257">
        <v>11124.85</v>
      </c>
      <c r="P129" s="418">
        <f t="shared" si="23"/>
        <v>0.24625030435841247</v>
      </c>
      <c r="Q129" s="22"/>
    </row>
    <row r="130" spans="2:17" ht="15.6" customHeight="1" x14ac:dyDescent="0.25">
      <c r="B130" s="62" t="s">
        <v>245</v>
      </c>
      <c r="C130" s="83" t="s">
        <v>150</v>
      </c>
      <c r="D130" s="178" t="s">
        <v>151</v>
      </c>
      <c r="E130" s="42">
        <v>88097</v>
      </c>
      <c r="F130" s="42">
        <v>88097</v>
      </c>
      <c r="G130" s="22">
        <f t="shared" si="20"/>
        <v>0</v>
      </c>
      <c r="H130" s="342"/>
      <c r="I130" s="42">
        <f t="shared" si="24"/>
        <v>88097</v>
      </c>
      <c r="J130" s="22">
        <f t="shared" si="21"/>
        <v>0</v>
      </c>
      <c r="K130" s="342"/>
      <c r="L130" s="42">
        <f t="shared" si="25"/>
        <v>88097</v>
      </c>
      <c r="M130" s="22">
        <f t="shared" si="22"/>
        <v>0</v>
      </c>
      <c r="N130" s="342"/>
      <c r="O130" s="257">
        <v>34772.1</v>
      </c>
      <c r="P130" s="418">
        <f t="shared" si="23"/>
        <v>0.39470243027571877</v>
      </c>
      <c r="Q130" s="22"/>
    </row>
    <row r="131" spans="2:17" ht="14.4" customHeight="1" x14ac:dyDescent="0.25">
      <c r="B131" s="62" t="s">
        <v>248</v>
      </c>
      <c r="C131" s="83" t="s">
        <v>152</v>
      </c>
      <c r="D131" s="178" t="s">
        <v>270</v>
      </c>
      <c r="E131" s="42">
        <v>33489</v>
      </c>
      <c r="F131" s="42">
        <v>33489</v>
      </c>
      <c r="G131" s="22">
        <f t="shared" si="20"/>
        <v>0</v>
      </c>
      <c r="H131" s="315"/>
      <c r="I131" s="42">
        <f t="shared" si="24"/>
        <v>33489</v>
      </c>
      <c r="J131" s="22">
        <f t="shared" si="21"/>
        <v>0</v>
      </c>
      <c r="K131" s="315"/>
      <c r="L131" s="42">
        <f t="shared" si="25"/>
        <v>33489</v>
      </c>
      <c r="M131" s="22">
        <f t="shared" si="22"/>
        <v>0</v>
      </c>
      <c r="N131" s="315"/>
      <c r="O131" s="257">
        <v>4611.24</v>
      </c>
      <c r="P131" s="418">
        <f t="shared" si="23"/>
        <v>0.1376941682343456</v>
      </c>
      <c r="Q131" s="22"/>
    </row>
    <row r="132" spans="2:17" ht="54" customHeight="1" x14ac:dyDescent="0.25">
      <c r="B132" s="62" t="s">
        <v>243</v>
      </c>
      <c r="C132" s="83" t="s">
        <v>153</v>
      </c>
      <c r="D132" s="178" t="s">
        <v>155</v>
      </c>
      <c r="E132" s="42">
        <v>2102431</v>
      </c>
      <c r="F132" s="42">
        <v>2102431</v>
      </c>
      <c r="G132" s="22">
        <f t="shared" si="20"/>
        <v>0</v>
      </c>
      <c r="H132" s="366"/>
      <c r="I132" s="42">
        <f t="shared" si="24"/>
        <v>2102431</v>
      </c>
      <c r="J132" s="22">
        <f t="shared" si="21"/>
        <v>0</v>
      </c>
      <c r="K132" s="366"/>
      <c r="L132" s="42">
        <f>ROUND(I132,0)-50000</f>
        <v>2052431</v>
      </c>
      <c r="M132" s="22">
        <f t="shared" si="22"/>
        <v>-50000</v>
      </c>
      <c r="N132" s="366" t="s">
        <v>1473</v>
      </c>
      <c r="O132" s="257">
        <v>944754.58</v>
      </c>
      <c r="P132" s="418">
        <f t="shared" si="23"/>
        <v>0.46031003234700701</v>
      </c>
      <c r="Q132" s="22"/>
    </row>
    <row r="133" spans="2:17" ht="13.95" customHeight="1" x14ac:dyDescent="0.25">
      <c r="B133" s="62" t="s">
        <v>243</v>
      </c>
      <c r="C133" s="83" t="s">
        <v>154</v>
      </c>
      <c r="D133" s="178" t="s">
        <v>156</v>
      </c>
      <c r="E133" s="42">
        <v>6917724</v>
      </c>
      <c r="F133" s="42">
        <v>6917724</v>
      </c>
      <c r="G133" s="22">
        <f t="shared" si="20"/>
        <v>0</v>
      </c>
      <c r="H133" s="315"/>
      <c r="I133" s="42">
        <f t="shared" si="24"/>
        <v>6917724</v>
      </c>
      <c r="J133" s="22">
        <f t="shared" si="21"/>
        <v>0</v>
      </c>
      <c r="K133" s="315"/>
      <c r="L133" s="42">
        <f t="shared" si="25"/>
        <v>6917724</v>
      </c>
      <c r="M133" s="22">
        <f t="shared" si="22"/>
        <v>0</v>
      </c>
      <c r="N133" s="315"/>
      <c r="O133" s="257">
        <v>3112975.8</v>
      </c>
      <c r="P133" s="418">
        <f t="shared" si="23"/>
        <v>0.44999999999999996</v>
      </c>
      <c r="Q133" s="22"/>
    </row>
    <row r="134" spans="2:17" ht="42" customHeight="1" x14ac:dyDescent="0.25">
      <c r="B134" s="62" t="s">
        <v>396</v>
      </c>
      <c r="C134" s="83" t="s">
        <v>339</v>
      </c>
      <c r="D134" s="178" t="s">
        <v>357</v>
      </c>
      <c r="E134" s="42">
        <v>517465</v>
      </c>
      <c r="F134" s="42">
        <v>517465</v>
      </c>
      <c r="G134" s="367">
        <f t="shared" si="20"/>
        <v>0</v>
      </c>
      <c r="H134" s="368"/>
      <c r="I134" s="42">
        <f t="shared" si="24"/>
        <v>517465</v>
      </c>
      <c r="J134" s="367">
        <f t="shared" si="21"/>
        <v>0</v>
      </c>
      <c r="K134" s="368"/>
      <c r="L134" s="42">
        <f t="shared" si="25"/>
        <v>517465</v>
      </c>
      <c r="M134" s="367">
        <f t="shared" si="22"/>
        <v>0</v>
      </c>
      <c r="N134" s="368"/>
      <c r="O134" s="257">
        <v>219839.63</v>
      </c>
      <c r="P134" s="418">
        <f t="shared" si="23"/>
        <v>0.42483961234093126</v>
      </c>
      <c r="Q134" s="22"/>
    </row>
    <row r="135" spans="2:17" ht="33.6" customHeight="1" collapsed="1" x14ac:dyDescent="0.25">
      <c r="B135" s="62" t="s">
        <v>250</v>
      </c>
      <c r="C135" s="84" t="s">
        <v>16</v>
      </c>
      <c r="D135" s="187" t="s">
        <v>158</v>
      </c>
      <c r="E135" s="277">
        <v>1114238</v>
      </c>
      <c r="F135" s="277">
        <v>1114238</v>
      </c>
      <c r="G135" s="17">
        <f t="shared" si="20"/>
        <v>0</v>
      </c>
      <c r="H135" s="334"/>
      <c r="I135" s="277">
        <f>ROUND(F135,0)+15586</f>
        <v>1129824</v>
      </c>
      <c r="J135" s="17">
        <f t="shared" si="21"/>
        <v>15586</v>
      </c>
      <c r="K135" s="334" t="s">
        <v>1458</v>
      </c>
      <c r="L135" s="277">
        <f>ROUND(I135,0)</f>
        <v>1129824</v>
      </c>
      <c r="M135" s="17">
        <f t="shared" si="22"/>
        <v>0</v>
      </c>
      <c r="N135" s="334"/>
      <c r="O135" s="258">
        <v>436277.61</v>
      </c>
      <c r="P135" s="432">
        <f t="shared" si="23"/>
        <v>0.38614652370634717</v>
      </c>
      <c r="Q135" s="445"/>
    </row>
    <row r="136" spans="2:17" s="23" customFormat="1" ht="16.95" customHeight="1" x14ac:dyDescent="0.25">
      <c r="C136" s="84" t="s">
        <v>24</v>
      </c>
      <c r="D136" s="187" t="s">
        <v>416</v>
      </c>
      <c r="E136" s="277">
        <v>646058</v>
      </c>
      <c r="F136" s="277">
        <v>646058</v>
      </c>
      <c r="G136" s="17">
        <f t="shared" si="20"/>
        <v>0</v>
      </c>
      <c r="H136" s="334"/>
      <c r="I136" s="277">
        <f>I137+I140</f>
        <v>646058</v>
      </c>
      <c r="J136" s="17">
        <f t="shared" si="21"/>
        <v>0</v>
      </c>
      <c r="K136" s="334"/>
      <c r="L136" s="277">
        <f>L137+L140</f>
        <v>646058</v>
      </c>
      <c r="M136" s="17">
        <f t="shared" si="22"/>
        <v>0</v>
      </c>
      <c r="N136" s="334"/>
      <c r="O136" s="258">
        <f>O137+O140</f>
        <v>299589.11</v>
      </c>
      <c r="P136" s="432">
        <f t="shared" si="23"/>
        <v>0.46371859802061111</v>
      </c>
      <c r="Q136" s="17"/>
    </row>
    <row r="137" spans="2:17" x14ac:dyDescent="0.25">
      <c r="B137" s="62" t="s">
        <v>249</v>
      </c>
      <c r="C137" s="83" t="s">
        <v>27</v>
      </c>
      <c r="D137" s="178" t="s">
        <v>159</v>
      </c>
      <c r="E137" s="42">
        <v>200531</v>
      </c>
      <c r="F137" s="42">
        <v>200531</v>
      </c>
      <c r="G137" s="22">
        <f t="shared" si="20"/>
        <v>0</v>
      </c>
      <c r="H137" s="22"/>
      <c r="I137" s="42">
        <f>SUM(I138:I139)</f>
        <v>200531</v>
      </c>
      <c r="J137" s="22">
        <f t="shared" si="21"/>
        <v>0</v>
      </c>
      <c r="K137" s="22"/>
      <c r="L137" s="42">
        <f>SUM(L138:L139)</f>
        <v>200531</v>
      </c>
      <c r="M137" s="22">
        <f t="shared" si="22"/>
        <v>0</v>
      </c>
      <c r="N137" s="22"/>
      <c r="O137" s="257">
        <f>SUM(O138:O139)</f>
        <v>79828.11</v>
      </c>
      <c r="P137" s="418">
        <f t="shared" si="23"/>
        <v>0.39808363794126594</v>
      </c>
      <c r="Q137" s="22"/>
    </row>
    <row r="138" spans="2:17" ht="15.75" customHeight="1" x14ac:dyDescent="0.25">
      <c r="B138" s="62" t="s">
        <v>249</v>
      </c>
      <c r="C138" s="85" t="s">
        <v>1309</v>
      </c>
      <c r="D138" s="176" t="s">
        <v>432</v>
      </c>
      <c r="E138" s="243">
        <v>166223</v>
      </c>
      <c r="F138" s="243">
        <v>166223</v>
      </c>
      <c r="G138" s="57">
        <f t="shared" si="20"/>
        <v>0</v>
      </c>
      <c r="H138" s="335"/>
      <c r="I138" s="243">
        <f>ROUND(F138,0)-587</f>
        <v>165636</v>
      </c>
      <c r="J138" s="57">
        <f t="shared" si="21"/>
        <v>-587</v>
      </c>
      <c r="K138" s="535" t="s">
        <v>1457</v>
      </c>
      <c r="L138" s="243">
        <f>ROUND(I138,0)</f>
        <v>165636</v>
      </c>
      <c r="M138" s="57">
        <f t="shared" si="22"/>
        <v>0</v>
      </c>
      <c r="N138" s="535"/>
      <c r="O138" s="252">
        <v>63004.05</v>
      </c>
      <c r="P138" s="405">
        <f t="shared" si="23"/>
        <v>0.38037654857639647</v>
      </c>
      <c r="Q138" s="16"/>
    </row>
    <row r="139" spans="2:17" ht="15.6" customHeight="1" x14ac:dyDescent="0.25">
      <c r="B139" s="62"/>
      <c r="C139" s="85" t="s">
        <v>1310</v>
      </c>
      <c r="D139" s="203" t="s">
        <v>509</v>
      </c>
      <c r="E139" s="278">
        <v>34308</v>
      </c>
      <c r="F139" s="243">
        <v>34308</v>
      </c>
      <c r="G139" s="57">
        <f t="shared" si="20"/>
        <v>0</v>
      </c>
      <c r="H139" s="323"/>
      <c r="I139" s="243">
        <f>ROUND(F139,0)+587</f>
        <v>34895</v>
      </c>
      <c r="J139" s="57">
        <f t="shared" si="21"/>
        <v>587</v>
      </c>
      <c r="K139" s="536"/>
      <c r="L139" s="243">
        <f>ROUND(I139,0)</f>
        <v>34895</v>
      </c>
      <c r="M139" s="57">
        <f t="shared" si="22"/>
        <v>0</v>
      </c>
      <c r="N139" s="536"/>
      <c r="O139" s="252">
        <v>16824.060000000001</v>
      </c>
      <c r="P139" s="420">
        <f t="shared" si="23"/>
        <v>0.48213383006161342</v>
      </c>
      <c r="Q139" s="96"/>
    </row>
    <row r="140" spans="2:17" x14ac:dyDescent="0.25">
      <c r="B140" s="62" t="s">
        <v>456</v>
      </c>
      <c r="C140" s="83" t="s">
        <v>30</v>
      </c>
      <c r="D140" s="180" t="s">
        <v>340</v>
      </c>
      <c r="E140" s="42">
        <v>445527</v>
      </c>
      <c r="F140" s="42">
        <v>445527</v>
      </c>
      <c r="G140" s="97">
        <f t="shared" si="20"/>
        <v>0</v>
      </c>
      <c r="H140" s="369"/>
      <c r="I140" s="42">
        <f>ROUND(F140,0)</f>
        <v>445527</v>
      </c>
      <c r="J140" s="97">
        <f t="shared" si="21"/>
        <v>0</v>
      </c>
      <c r="K140" s="369"/>
      <c r="L140" s="42">
        <f>ROUND(I140,0)</f>
        <v>445527</v>
      </c>
      <c r="M140" s="97">
        <f t="shared" si="22"/>
        <v>0</v>
      </c>
      <c r="N140" s="369"/>
      <c r="O140" s="257">
        <v>219761</v>
      </c>
      <c r="P140" s="418">
        <f t="shared" si="23"/>
        <v>0.49326079003068274</v>
      </c>
      <c r="Q140" s="22" t="s">
        <v>728</v>
      </c>
    </row>
    <row r="141" spans="2:17" x14ac:dyDescent="0.25">
      <c r="C141" s="84" t="s">
        <v>32</v>
      </c>
      <c r="D141" s="187" t="s">
        <v>427</v>
      </c>
      <c r="E141" s="277">
        <v>225687</v>
      </c>
      <c r="F141" s="277">
        <v>225687</v>
      </c>
      <c r="G141" s="17">
        <f t="shared" si="20"/>
        <v>0</v>
      </c>
      <c r="H141" s="329"/>
      <c r="I141" s="277">
        <f>I142</f>
        <v>225687</v>
      </c>
      <c r="J141" s="17">
        <f t="shared" si="21"/>
        <v>0</v>
      </c>
      <c r="K141" s="329"/>
      <c r="L141" s="277">
        <f>L142</f>
        <v>225687</v>
      </c>
      <c r="M141" s="17">
        <f t="shared" si="22"/>
        <v>0</v>
      </c>
      <c r="N141" s="329"/>
      <c r="O141" s="258">
        <f>O142</f>
        <v>10833.68</v>
      </c>
      <c r="P141" s="432">
        <f t="shared" si="23"/>
        <v>4.8003119364429497E-2</v>
      </c>
      <c r="Q141" s="17"/>
    </row>
    <row r="142" spans="2:17" ht="16.2" customHeight="1" x14ac:dyDescent="0.25">
      <c r="B142" s="62" t="s">
        <v>455</v>
      </c>
      <c r="C142" s="83" t="s">
        <v>35</v>
      </c>
      <c r="D142" s="178" t="s">
        <v>426</v>
      </c>
      <c r="E142" s="42">
        <v>225687</v>
      </c>
      <c r="F142" s="42">
        <v>225687</v>
      </c>
      <c r="G142" s="22">
        <f t="shared" si="20"/>
        <v>0</v>
      </c>
      <c r="H142" s="342"/>
      <c r="I142" s="42">
        <f>ROUND(F142,0)</f>
        <v>225687</v>
      </c>
      <c r="J142" s="22">
        <f t="shared" si="21"/>
        <v>0</v>
      </c>
      <c r="K142" s="342"/>
      <c r="L142" s="42">
        <f>ROUND(I142,0)</f>
        <v>225687</v>
      </c>
      <c r="M142" s="22">
        <f t="shared" si="22"/>
        <v>0</v>
      </c>
      <c r="N142" s="342"/>
      <c r="O142" s="257">
        <v>10833.68</v>
      </c>
      <c r="P142" s="418">
        <f t="shared" si="23"/>
        <v>4.8003119364429497E-2</v>
      </c>
      <c r="Q142" s="22" t="s">
        <v>879</v>
      </c>
    </row>
    <row r="143" spans="2:17" ht="27.6" x14ac:dyDescent="0.25">
      <c r="C143" s="84" t="s">
        <v>38</v>
      </c>
      <c r="D143" s="187" t="s">
        <v>160</v>
      </c>
      <c r="E143" s="277">
        <v>18129422</v>
      </c>
      <c r="F143" s="277">
        <v>18123822</v>
      </c>
      <c r="G143" s="17">
        <f t="shared" si="20"/>
        <v>-5600</v>
      </c>
      <c r="H143" s="17"/>
      <c r="I143" s="277">
        <f>I144+I145+I146+I147+I148+I162</f>
        <v>17992555</v>
      </c>
      <c r="J143" s="17">
        <f t="shared" si="21"/>
        <v>-131267</v>
      </c>
      <c r="K143" s="17"/>
      <c r="L143" s="277">
        <f>L144+L145+L146+L147+L148+L162</f>
        <v>18000055</v>
      </c>
      <c r="M143" s="17">
        <f t="shared" si="22"/>
        <v>7500</v>
      </c>
      <c r="N143" s="17"/>
      <c r="O143" s="258">
        <f>O144+O145+O146+O147+O148+O162</f>
        <v>3141399.7199999997</v>
      </c>
      <c r="P143" s="432">
        <f t="shared" si="23"/>
        <v>0.17452167340599792</v>
      </c>
      <c r="Q143" s="17"/>
    </row>
    <row r="144" spans="2:17" ht="15.6" customHeight="1" x14ac:dyDescent="0.25">
      <c r="B144" s="62" t="s">
        <v>251</v>
      </c>
      <c r="C144" s="83" t="s">
        <v>161</v>
      </c>
      <c r="D144" s="192" t="s">
        <v>157</v>
      </c>
      <c r="E144" s="287">
        <v>70000</v>
      </c>
      <c r="F144" s="42">
        <v>70000</v>
      </c>
      <c r="G144" s="22">
        <f t="shared" si="20"/>
        <v>0</v>
      </c>
      <c r="H144" s="315"/>
      <c r="I144" s="42">
        <f>ROUND(F144,0)</f>
        <v>70000</v>
      </c>
      <c r="J144" s="22">
        <f t="shared" si="21"/>
        <v>0</v>
      </c>
      <c r="K144" s="315"/>
      <c r="L144" s="42">
        <f>ROUND(I144,0)</f>
        <v>70000</v>
      </c>
      <c r="M144" s="22">
        <f t="shared" si="22"/>
        <v>0</v>
      </c>
      <c r="N144" s="315"/>
      <c r="O144" s="257">
        <v>0</v>
      </c>
      <c r="P144" s="418">
        <f t="shared" si="23"/>
        <v>0</v>
      </c>
      <c r="Q144" s="446"/>
    </row>
    <row r="145" spans="2:17" ht="15.6" customHeight="1" x14ac:dyDescent="0.25">
      <c r="B145" s="62" t="s">
        <v>1307</v>
      </c>
      <c r="C145" s="83" t="s">
        <v>163</v>
      </c>
      <c r="D145" s="265" t="s">
        <v>1291</v>
      </c>
      <c r="E145" s="299">
        <v>52568</v>
      </c>
      <c r="F145" s="301">
        <v>52568</v>
      </c>
      <c r="G145" s="257">
        <f t="shared" si="20"/>
        <v>0</v>
      </c>
      <c r="H145" s="370"/>
      <c r="I145" s="301">
        <f>ROUND(F145,0)</f>
        <v>52568</v>
      </c>
      <c r="J145" s="257">
        <f t="shared" si="21"/>
        <v>0</v>
      </c>
      <c r="K145" s="370"/>
      <c r="L145" s="301">
        <f>ROUND(I145,0)</f>
        <v>52568</v>
      </c>
      <c r="M145" s="257">
        <f t="shared" si="22"/>
        <v>0</v>
      </c>
      <c r="N145" s="370"/>
      <c r="O145" s="257">
        <v>0</v>
      </c>
      <c r="P145" s="447">
        <f t="shared" si="23"/>
        <v>0</v>
      </c>
      <c r="Q145" s="448"/>
    </row>
    <row r="146" spans="2:17" ht="15" customHeight="1" x14ac:dyDescent="0.25">
      <c r="B146" s="62" t="s">
        <v>496</v>
      </c>
      <c r="C146" s="83" t="s">
        <v>165</v>
      </c>
      <c r="D146" s="192" t="s">
        <v>162</v>
      </c>
      <c r="E146" s="287">
        <v>333393</v>
      </c>
      <c r="F146" s="287">
        <v>333393</v>
      </c>
      <c r="G146" s="28">
        <f t="shared" si="20"/>
        <v>0</v>
      </c>
      <c r="H146" s="342"/>
      <c r="I146" s="287">
        <f>ROUND(F146,0)</f>
        <v>333393</v>
      </c>
      <c r="J146" s="28">
        <f t="shared" si="21"/>
        <v>0</v>
      </c>
      <c r="K146" s="342"/>
      <c r="L146" s="287">
        <f>ROUND(I146,0)</f>
        <v>333393</v>
      </c>
      <c r="M146" s="28">
        <f t="shared" si="22"/>
        <v>0</v>
      </c>
      <c r="N146" s="342"/>
      <c r="O146" s="415">
        <v>132971.01</v>
      </c>
      <c r="P146" s="449">
        <f t="shared" si="23"/>
        <v>0.39884163734691491</v>
      </c>
      <c r="Q146" s="446"/>
    </row>
    <row r="147" spans="2:17" ht="15" customHeight="1" x14ac:dyDescent="0.25">
      <c r="B147" s="62" t="s">
        <v>508</v>
      </c>
      <c r="C147" s="83" t="s">
        <v>167</v>
      </c>
      <c r="D147" s="192" t="s">
        <v>400</v>
      </c>
      <c r="E147" s="287">
        <v>334779</v>
      </c>
      <c r="F147" s="287">
        <v>334779</v>
      </c>
      <c r="G147" s="108">
        <f t="shared" si="20"/>
        <v>0</v>
      </c>
      <c r="H147" s="371"/>
      <c r="I147" s="287">
        <f>ROUND(F147,0)</f>
        <v>334779</v>
      </c>
      <c r="J147" s="108">
        <f t="shared" si="21"/>
        <v>0</v>
      </c>
      <c r="K147" s="371"/>
      <c r="L147" s="287">
        <f>ROUND(I147,0)</f>
        <v>334779</v>
      </c>
      <c r="M147" s="108">
        <f t="shared" si="22"/>
        <v>0</v>
      </c>
      <c r="N147" s="371"/>
      <c r="O147" s="415">
        <v>137448.12</v>
      </c>
      <c r="P147" s="449">
        <f t="shared" si="23"/>
        <v>0.41056374503777116</v>
      </c>
      <c r="Q147" s="446"/>
    </row>
    <row r="148" spans="2:17" x14ac:dyDescent="0.25">
      <c r="C148" s="83" t="s">
        <v>393</v>
      </c>
      <c r="D148" s="192" t="s">
        <v>401</v>
      </c>
      <c r="E148" s="287">
        <v>8401067</v>
      </c>
      <c r="F148" s="287">
        <v>8401067</v>
      </c>
      <c r="G148" s="28">
        <f t="shared" si="20"/>
        <v>0</v>
      </c>
      <c r="H148" s="28"/>
      <c r="I148" s="287">
        <f>SUM(I149:I161)</f>
        <v>8461055</v>
      </c>
      <c r="J148" s="28">
        <f t="shared" si="21"/>
        <v>59988</v>
      </c>
      <c r="K148" s="28"/>
      <c r="L148" s="287">
        <f>SUM(L149:L161)</f>
        <v>8468555</v>
      </c>
      <c r="M148" s="28">
        <f t="shared" si="22"/>
        <v>7500</v>
      </c>
      <c r="N148" s="28"/>
      <c r="O148" s="415">
        <f>SUM(O149:O161)</f>
        <v>378761.3</v>
      </c>
      <c r="P148" s="449">
        <f t="shared" si="23"/>
        <v>4.4725611394151654E-2</v>
      </c>
      <c r="Q148" s="28"/>
    </row>
    <row r="149" spans="2:17" ht="30.75" customHeight="1" x14ac:dyDescent="0.25">
      <c r="B149" s="62" t="s">
        <v>252</v>
      </c>
      <c r="C149" s="85" t="s">
        <v>1311</v>
      </c>
      <c r="D149" s="174" t="s">
        <v>164</v>
      </c>
      <c r="E149" s="243">
        <v>524909</v>
      </c>
      <c r="F149" s="243">
        <v>522909</v>
      </c>
      <c r="G149" s="16">
        <f t="shared" si="20"/>
        <v>-2000</v>
      </c>
      <c r="H149" s="313" t="s">
        <v>1433</v>
      </c>
      <c r="I149" s="243">
        <f t="shared" ref="I149:I161" si="26">ROUND(F149,0)</f>
        <v>522909</v>
      </c>
      <c r="J149" s="16">
        <f t="shared" si="21"/>
        <v>0</v>
      </c>
      <c r="K149" s="313"/>
      <c r="L149" s="243">
        <f>ROUND(I149,0)+7500</f>
        <v>530409</v>
      </c>
      <c r="M149" s="16">
        <f t="shared" si="22"/>
        <v>7500</v>
      </c>
      <c r="N149" s="313" t="s">
        <v>1482</v>
      </c>
      <c r="O149" s="252">
        <f>163663.3+423-O158</f>
        <v>163886.29999999999</v>
      </c>
      <c r="P149" s="434">
        <f t="shared" si="23"/>
        <v>0.30898099391224504</v>
      </c>
      <c r="Q149" s="450"/>
    </row>
    <row r="150" spans="2:17" ht="18.600000000000001" customHeight="1" x14ac:dyDescent="0.25">
      <c r="B150" s="62" t="s">
        <v>514</v>
      </c>
      <c r="C150" s="85" t="s">
        <v>1312</v>
      </c>
      <c r="D150" s="174" t="s">
        <v>342</v>
      </c>
      <c r="E150" s="282">
        <v>40000</v>
      </c>
      <c r="F150" s="282">
        <v>40000</v>
      </c>
      <c r="G150" s="57">
        <f t="shared" si="20"/>
        <v>0</v>
      </c>
      <c r="H150" s="372"/>
      <c r="I150" s="282">
        <f t="shared" si="26"/>
        <v>40000</v>
      </c>
      <c r="J150" s="57">
        <f t="shared" si="21"/>
        <v>0</v>
      </c>
      <c r="K150" s="372"/>
      <c r="L150" s="282">
        <f t="shared" ref="L150:L152" si="27">ROUND(I150,0)</f>
        <v>40000</v>
      </c>
      <c r="M150" s="57">
        <f t="shared" si="22"/>
        <v>0</v>
      </c>
      <c r="N150" s="372"/>
      <c r="O150" s="550">
        <v>49380.32</v>
      </c>
      <c r="P150" s="542">
        <f>O150/(L150+L151)</f>
        <v>0.92472509363295885</v>
      </c>
      <c r="Q150" s="57"/>
    </row>
    <row r="151" spans="2:17" ht="30" customHeight="1" x14ac:dyDescent="0.25">
      <c r="B151" s="62" t="s">
        <v>514</v>
      </c>
      <c r="C151" s="85" t="s">
        <v>1313</v>
      </c>
      <c r="D151" s="198" t="s">
        <v>510</v>
      </c>
      <c r="E151" s="278">
        <v>11400</v>
      </c>
      <c r="F151" s="282">
        <v>13400</v>
      </c>
      <c r="G151" s="57">
        <f t="shared" si="20"/>
        <v>2000</v>
      </c>
      <c r="H151" s="313" t="s">
        <v>1433</v>
      </c>
      <c r="I151" s="282">
        <f t="shared" si="26"/>
        <v>13400</v>
      </c>
      <c r="J151" s="57">
        <f t="shared" si="21"/>
        <v>0</v>
      </c>
      <c r="K151" s="313"/>
      <c r="L151" s="282">
        <f t="shared" si="27"/>
        <v>13400</v>
      </c>
      <c r="M151" s="57">
        <f t="shared" si="22"/>
        <v>0</v>
      </c>
      <c r="N151" s="313"/>
      <c r="O151" s="551"/>
      <c r="P151" s="543">
        <f t="shared" ref="P151" si="28">O151/F151</f>
        <v>0</v>
      </c>
      <c r="Q151" s="96"/>
    </row>
    <row r="152" spans="2:17" ht="28.2" customHeight="1" x14ac:dyDescent="0.25">
      <c r="B152" s="62" t="s">
        <v>684</v>
      </c>
      <c r="C152" s="110" t="s">
        <v>1314</v>
      </c>
      <c r="D152" s="485" t="s">
        <v>682</v>
      </c>
      <c r="E152" s="243">
        <v>49346</v>
      </c>
      <c r="F152" s="243">
        <v>49346</v>
      </c>
      <c r="G152" s="16">
        <f t="shared" si="20"/>
        <v>0</v>
      </c>
      <c r="H152" s="313"/>
      <c r="I152" s="486">
        <f t="shared" si="26"/>
        <v>49346</v>
      </c>
      <c r="J152" s="16">
        <f t="shared" si="21"/>
        <v>0</v>
      </c>
      <c r="K152" s="313"/>
      <c r="L152" s="486">
        <f t="shared" si="27"/>
        <v>49346</v>
      </c>
      <c r="M152" s="16">
        <f t="shared" si="22"/>
        <v>0</v>
      </c>
      <c r="N152" s="313"/>
      <c r="O152" s="252">
        <v>544.5</v>
      </c>
      <c r="P152" s="405">
        <f t="shared" ref="P152:P198" si="29">O152/L152</f>
        <v>1.1034329023629068E-2</v>
      </c>
      <c r="Q152" s="16" t="s">
        <v>729</v>
      </c>
    </row>
    <row r="153" spans="2:17" ht="46.2" customHeight="1" x14ac:dyDescent="0.25">
      <c r="B153" s="62" t="s">
        <v>457</v>
      </c>
      <c r="C153" s="111" t="s">
        <v>1315</v>
      </c>
      <c r="D153" s="487" t="s">
        <v>407</v>
      </c>
      <c r="E153" s="243">
        <v>985558</v>
      </c>
      <c r="F153" s="243">
        <v>985558</v>
      </c>
      <c r="G153" s="96">
        <f t="shared" si="20"/>
        <v>0</v>
      </c>
      <c r="H153" s="373"/>
      <c r="I153" s="486">
        <f>ROUND(F153,0)+59988</f>
        <v>1045546</v>
      </c>
      <c r="J153" s="96">
        <f t="shared" si="21"/>
        <v>59988</v>
      </c>
      <c r="K153" s="488" t="s">
        <v>1465</v>
      </c>
      <c r="L153" s="486">
        <f>ROUND(I153,0)</f>
        <v>1045546</v>
      </c>
      <c r="M153" s="96">
        <f t="shared" si="22"/>
        <v>0</v>
      </c>
      <c r="N153" s="488"/>
      <c r="O153" s="252">
        <v>58031.85</v>
      </c>
      <c r="P153" s="405">
        <f t="shared" si="29"/>
        <v>5.5503870704875731E-2</v>
      </c>
      <c r="Q153" s="16" t="s">
        <v>729</v>
      </c>
    </row>
    <row r="154" spans="2:17" ht="28.95" customHeight="1" x14ac:dyDescent="0.25">
      <c r="B154" s="62" t="s">
        <v>458</v>
      </c>
      <c r="C154" s="110" t="s">
        <v>1316</v>
      </c>
      <c r="D154" s="487" t="s">
        <v>408</v>
      </c>
      <c r="E154" s="243">
        <v>4425220</v>
      </c>
      <c r="F154" s="243">
        <v>4425220</v>
      </c>
      <c r="G154" s="96">
        <f t="shared" si="20"/>
        <v>0</v>
      </c>
      <c r="H154" s="373"/>
      <c r="I154" s="243">
        <f t="shared" si="26"/>
        <v>4425220</v>
      </c>
      <c r="J154" s="96">
        <f t="shared" si="21"/>
        <v>0</v>
      </c>
      <c r="K154" s="373"/>
      <c r="L154" s="243">
        <f t="shared" ref="L154:L161" si="30">ROUND(I154,0)</f>
        <v>4425220</v>
      </c>
      <c r="M154" s="96">
        <f t="shared" si="22"/>
        <v>0</v>
      </c>
      <c r="N154" s="373"/>
      <c r="O154" s="252">
        <v>32025.34</v>
      </c>
      <c r="P154" s="405">
        <f t="shared" si="29"/>
        <v>7.2370051658448616E-3</v>
      </c>
      <c r="Q154" s="16"/>
    </row>
    <row r="155" spans="2:17" ht="42.75" customHeight="1" x14ac:dyDescent="0.25">
      <c r="B155" s="62" t="s">
        <v>881</v>
      </c>
      <c r="C155" s="110" t="s">
        <v>1317</v>
      </c>
      <c r="D155" s="188" t="s">
        <v>1300</v>
      </c>
      <c r="E155" s="243">
        <v>34550</v>
      </c>
      <c r="F155" s="243">
        <v>34550</v>
      </c>
      <c r="G155" s="48">
        <f t="shared" si="20"/>
        <v>0</v>
      </c>
      <c r="H155" s="352"/>
      <c r="I155" s="243">
        <f t="shared" si="26"/>
        <v>34550</v>
      </c>
      <c r="J155" s="48">
        <f t="shared" si="21"/>
        <v>0</v>
      </c>
      <c r="K155" s="352"/>
      <c r="L155" s="243">
        <f t="shared" si="30"/>
        <v>34550</v>
      </c>
      <c r="M155" s="48">
        <f t="shared" si="22"/>
        <v>0</v>
      </c>
      <c r="N155" s="352"/>
      <c r="O155" s="252">
        <v>0</v>
      </c>
      <c r="P155" s="405">
        <f t="shared" si="29"/>
        <v>0</v>
      </c>
      <c r="Q155" s="16" t="s">
        <v>729</v>
      </c>
    </row>
    <row r="156" spans="2:17" ht="33.75" customHeight="1" x14ac:dyDescent="0.25">
      <c r="B156" s="62" t="s">
        <v>1390</v>
      </c>
      <c r="C156" s="110" t="s">
        <v>1318</v>
      </c>
      <c r="D156" s="491" t="s">
        <v>1391</v>
      </c>
      <c r="E156" s="289">
        <v>950824</v>
      </c>
      <c r="F156" s="243">
        <v>950824</v>
      </c>
      <c r="G156" s="48">
        <f t="shared" si="20"/>
        <v>0</v>
      </c>
      <c r="H156" s="314"/>
      <c r="I156" s="243">
        <f t="shared" si="26"/>
        <v>950824</v>
      </c>
      <c r="J156" s="48">
        <f t="shared" si="21"/>
        <v>0</v>
      </c>
      <c r="K156" s="314"/>
      <c r="L156" s="243">
        <f t="shared" si="30"/>
        <v>950824</v>
      </c>
      <c r="M156" s="48">
        <f t="shared" si="22"/>
        <v>0</v>
      </c>
      <c r="N156" s="314"/>
      <c r="O156" s="252">
        <v>15590.85</v>
      </c>
      <c r="P156" s="442">
        <f t="shared" si="29"/>
        <v>1.6397198640337222E-2</v>
      </c>
      <c r="Q156" s="123"/>
    </row>
    <row r="157" spans="2:17" ht="27.75" customHeight="1" x14ac:dyDescent="0.25">
      <c r="B157" s="62" t="s">
        <v>1301</v>
      </c>
      <c r="C157" s="110" t="s">
        <v>1319</v>
      </c>
      <c r="D157" s="491" t="s">
        <v>815</v>
      </c>
      <c r="E157" s="289">
        <v>138477</v>
      </c>
      <c r="F157" s="243">
        <v>138477</v>
      </c>
      <c r="G157" s="48">
        <f t="shared" si="20"/>
        <v>0</v>
      </c>
      <c r="H157" s="314"/>
      <c r="I157" s="243">
        <f t="shared" si="26"/>
        <v>138477</v>
      </c>
      <c r="J157" s="48">
        <f t="shared" si="21"/>
        <v>0</v>
      </c>
      <c r="K157" s="314"/>
      <c r="L157" s="243">
        <f t="shared" si="30"/>
        <v>138477</v>
      </c>
      <c r="M157" s="48">
        <f t="shared" si="22"/>
        <v>0</v>
      </c>
      <c r="N157" s="314"/>
      <c r="O157" s="252">
        <v>33033.120000000003</v>
      </c>
      <c r="P157" s="442">
        <f t="shared" si="29"/>
        <v>0.23854589570831258</v>
      </c>
      <c r="Q157" s="123"/>
    </row>
    <row r="158" spans="2:17" ht="62.25" customHeight="1" x14ac:dyDescent="0.25">
      <c r="B158" s="62" t="s">
        <v>252</v>
      </c>
      <c r="C158" s="110" t="s">
        <v>1320</v>
      </c>
      <c r="D158" s="190" t="s">
        <v>819</v>
      </c>
      <c r="E158" s="289">
        <v>3200</v>
      </c>
      <c r="F158" s="243">
        <v>3200</v>
      </c>
      <c r="G158" s="48">
        <f t="shared" si="20"/>
        <v>0</v>
      </c>
      <c r="H158" s="314"/>
      <c r="I158" s="243">
        <f t="shared" si="26"/>
        <v>3200</v>
      </c>
      <c r="J158" s="48">
        <f t="shared" si="21"/>
        <v>0</v>
      </c>
      <c r="K158" s="314"/>
      <c r="L158" s="243">
        <f t="shared" si="30"/>
        <v>3200</v>
      </c>
      <c r="M158" s="48">
        <f t="shared" si="22"/>
        <v>0</v>
      </c>
      <c r="N158" s="314"/>
      <c r="O158" s="252">
        <v>200</v>
      </c>
      <c r="P158" s="442">
        <f t="shared" si="29"/>
        <v>6.25E-2</v>
      </c>
      <c r="Q158" s="123"/>
    </row>
    <row r="159" spans="2:17" ht="16.95" customHeight="1" x14ac:dyDescent="0.25">
      <c r="B159" s="62" t="s">
        <v>808</v>
      </c>
      <c r="C159" s="110" t="s">
        <v>1321</v>
      </c>
      <c r="D159" s="491" t="s">
        <v>809</v>
      </c>
      <c r="E159" s="289">
        <v>434122</v>
      </c>
      <c r="F159" s="243">
        <v>434122</v>
      </c>
      <c r="G159" s="48">
        <f t="shared" si="20"/>
        <v>0</v>
      </c>
      <c r="H159" s="314"/>
      <c r="I159" s="243">
        <f t="shared" si="26"/>
        <v>434122</v>
      </c>
      <c r="J159" s="48">
        <f t="shared" si="21"/>
        <v>0</v>
      </c>
      <c r="K159" s="314"/>
      <c r="L159" s="243">
        <f t="shared" si="30"/>
        <v>434122</v>
      </c>
      <c r="M159" s="48">
        <f t="shared" si="22"/>
        <v>0</v>
      </c>
      <c r="N159" s="314"/>
      <c r="O159" s="252">
        <v>24254.02</v>
      </c>
      <c r="P159" s="405">
        <f t="shared" si="29"/>
        <v>5.5869133561533398E-2</v>
      </c>
      <c r="Q159" s="123"/>
    </row>
    <row r="160" spans="2:17" ht="30" customHeight="1" x14ac:dyDescent="0.25">
      <c r="B160" s="62" t="s">
        <v>1412</v>
      </c>
      <c r="C160" s="110" t="s">
        <v>1322</v>
      </c>
      <c r="D160" s="190" t="s">
        <v>1396</v>
      </c>
      <c r="E160" s="289">
        <v>416333</v>
      </c>
      <c r="F160" s="243">
        <v>416333</v>
      </c>
      <c r="G160" s="48">
        <f t="shared" si="20"/>
        <v>0</v>
      </c>
      <c r="H160" s="314"/>
      <c r="I160" s="243">
        <f t="shared" si="26"/>
        <v>416333</v>
      </c>
      <c r="J160" s="48">
        <f t="shared" si="21"/>
        <v>0</v>
      </c>
      <c r="K160" s="314"/>
      <c r="L160" s="243">
        <f t="shared" si="30"/>
        <v>416333</v>
      </c>
      <c r="M160" s="48">
        <f t="shared" si="22"/>
        <v>0</v>
      </c>
      <c r="N160" s="314"/>
      <c r="O160" s="252">
        <v>1815</v>
      </c>
      <c r="P160" s="442">
        <f t="shared" si="29"/>
        <v>4.3594910804572303E-3</v>
      </c>
      <c r="Q160" s="123"/>
    </row>
    <row r="161" spans="2:17" ht="16.5" customHeight="1" x14ac:dyDescent="0.25">
      <c r="B161" s="62" t="s">
        <v>1285</v>
      </c>
      <c r="C161" s="110" t="s">
        <v>1323</v>
      </c>
      <c r="D161" s="189" t="s">
        <v>810</v>
      </c>
      <c r="E161" s="282">
        <v>387128</v>
      </c>
      <c r="F161" s="243">
        <v>387128</v>
      </c>
      <c r="G161" s="57">
        <f t="shared" si="20"/>
        <v>0</v>
      </c>
      <c r="H161" s="372"/>
      <c r="I161" s="243">
        <f t="shared" si="26"/>
        <v>387128</v>
      </c>
      <c r="J161" s="57">
        <f t="shared" si="21"/>
        <v>0</v>
      </c>
      <c r="K161" s="372"/>
      <c r="L161" s="243">
        <f t="shared" si="30"/>
        <v>387128</v>
      </c>
      <c r="M161" s="57">
        <f t="shared" si="22"/>
        <v>0</v>
      </c>
      <c r="N161" s="372"/>
      <c r="O161" s="252">
        <v>0</v>
      </c>
      <c r="P161" s="407">
        <f t="shared" si="29"/>
        <v>0</v>
      </c>
      <c r="Q161" s="57"/>
    </row>
    <row r="162" spans="2:17" ht="29.25" customHeight="1" x14ac:dyDescent="0.25">
      <c r="C162" s="83" t="s">
        <v>269</v>
      </c>
      <c r="D162" s="192" t="s">
        <v>166</v>
      </c>
      <c r="E162" s="287">
        <v>8937615</v>
      </c>
      <c r="F162" s="287">
        <v>8932015</v>
      </c>
      <c r="G162" s="28">
        <f t="shared" si="20"/>
        <v>-5600</v>
      </c>
      <c r="H162" s="319"/>
      <c r="I162" s="287">
        <f>SUM(I163:I166,I170:I179)</f>
        <v>8740760</v>
      </c>
      <c r="J162" s="28">
        <f t="shared" si="21"/>
        <v>-191255</v>
      </c>
      <c r="K162" s="319"/>
      <c r="L162" s="287">
        <f>SUM(L163:L166,L170:L179)</f>
        <v>8740760</v>
      </c>
      <c r="M162" s="28">
        <f t="shared" si="22"/>
        <v>0</v>
      </c>
      <c r="N162" s="319"/>
      <c r="O162" s="28">
        <f>SUM(O163:O166,O170:O179)</f>
        <v>2492219.29</v>
      </c>
      <c r="P162" s="449">
        <f t="shared" si="29"/>
        <v>0.28512615493389593</v>
      </c>
      <c r="Q162" s="28"/>
    </row>
    <row r="163" spans="2:17" ht="27.6" customHeight="1" x14ac:dyDescent="0.25">
      <c r="B163" s="62" t="s">
        <v>397</v>
      </c>
      <c r="C163" s="85" t="s">
        <v>1324</v>
      </c>
      <c r="D163" s="188" t="s">
        <v>1408</v>
      </c>
      <c r="E163" s="282">
        <v>242016</v>
      </c>
      <c r="F163" s="282">
        <v>242016</v>
      </c>
      <c r="G163" s="115">
        <f t="shared" si="20"/>
        <v>0</v>
      </c>
      <c r="H163" s="374"/>
      <c r="I163" s="282">
        <f>ROUND(F163,0)-8000</f>
        <v>234016</v>
      </c>
      <c r="J163" s="115">
        <f t="shared" si="21"/>
        <v>-8000</v>
      </c>
      <c r="K163" s="374" t="s">
        <v>1469</v>
      </c>
      <c r="L163" s="282">
        <f>ROUND(I163,0)</f>
        <v>234016</v>
      </c>
      <c r="M163" s="115">
        <f t="shared" si="22"/>
        <v>0</v>
      </c>
      <c r="N163" s="374"/>
      <c r="O163" s="252">
        <v>92778.69</v>
      </c>
      <c r="P163" s="407">
        <f t="shared" si="29"/>
        <v>0.3964630196225899</v>
      </c>
      <c r="Q163" s="451"/>
    </row>
    <row r="164" spans="2:17" ht="45" customHeight="1" x14ac:dyDescent="0.25">
      <c r="B164" s="62" t="s">
        <v>498</v>
      </c>
      <c r="C164" s="85" t="s">
        <v>1325</v>
      </c>
      <c r="D164" s="485" t="s">
        <v>683</v>
      </c>
      <c r="E164" s="282">
        <v>191255</v>
      </c>
      <c r="F164" s="282">
        <v>191255</v>
      </c>
      <c r="G164" s="48">
        <f t="shared" si="20"/>
        <v>0</v>
      </c>
      <c r="H164" s="375"/>
      <c r="I164" s="282">
        <f>ROUND(F164,0)-191255</f>
        <v>0</v>
      </c>
      <c r="J164" s="48">
        <f t="shared" si="21"/>
        <v>-191255</v>
      </c>
      <c r="K164" s="482" t="s">
        <v>1466</v>
      </c>
      <c r="L164" s="282">
        <f>ROUND(I164,0)</f>
        <v>0</v>
      </c>
      <c r="M164" s="48">
        <f t="shared" si="22"/>
        <v>0</v>
      </c>
      <c r="N164" s="482"/>
      <c r="O164" s="252">
        <v>0</v>
      </c>
      <c r="P164" s="407" t="e">
        <f t="shared" si="29"/>
        <v>#DIV/0!</v>
      </c>
      <c r="Q164" s="16"/>
    </row>
    <row r="165" spans="2:17" ht="30" customHeight="1" x14ac:dyDescent="0.25">
      <c r="B165" s="62" t="s">
        <v>1286</v>
      </c>
      <c r="C165" s="85" t="s">
        <v>1326</v>
      </c>
      <c r="D165" s="250" t="s">
        <v>1287</v>
      </c>
      <c r="E165" s="298">
        <v>255685</v>
      </c>
      <c r="F165" s="298">
        <v>255685</v>
      </c>
      <c r="G165" s="48">
        <f t="shared" si="20"/>
        <v>0</v>
      </c>
      <c r="H165" s="376"/>
      <c r="I165" s="298">
        <f>ROUND(F165,0)</f>
        <v>255685</v>
      </c>
      <c r="J165" s="48">
        <f t="shared" si="21"/>
        <v>0</v>
      </c>
      <c r="K165" s="376"/>
      <c r="L165" s="298">
        <f>ROUND(I165,0)</f>
        <v>255685</v>
      </c>
      <c r="M165" s="48">
        <f t="shared" si="22"/>
        <v>0</v>
      </c>
      <c r="N165" s="376"/>
      <c r="O165" s="252">
        <v>23183.599999999999</v>
      </c>
      <c r="P165" s="421">
        <f t="shared" si="29"/>
        <v>9.0672507186577225E-2</v>
      </c>
      <c r="Q165" s="252"/>
    </row>
    <row r="166" spans="2:17" ht="32.25" customHeight="1" x14ac:dyDescent="0.25">
      <c r="B166" s="62" t="s">
        <v>341</v>
      </c>
      <c r="C166" s="85" t="s">
        <v>1327</v>
      </c>
      <c r="D166" s="188" t="s">
        <v>402</v>
      </c>
      <c r="E166" s="307">
        <v>5767122</v>
      </c>
      <c r="F166" s="307">
        <v>5761522</v>
      </c>
      <c r="G166" s="398">
        <f t="shared" si="20"/>
        <v>-5600</v>
      </c>
      <c r="H166" s="313"/>
      <c r="I166" s="307">
        <f>SUM(I167:I169)</f>
        <v>5769522</v>
      </c>
      <c r="J166" s="57">
        <f t="shared" si="21"/>
        <v>8000</v>
      </c>
      <c r="K166" s="313"/>
      <c r="L166" s="307">
        <f>SUM(L167:L169)</f>
        <v>5774573</v>
      </c>
      <c r="M166" s="57">
        <f t="shared" si="22"/>
        <v>5051</v>
      </c>
      <c r="N166" s="313"/>
      <c r="O166" s="511">
        <f>SUM(O167:O169)</f>
        <v>2208534</v>
      </c>
      <c r="P166" s="416">
        <f t="shared" si="29"/>
        <v>0.38245840861306973</v>
      </c>
      <c r="Q166" s="452"/>
    </row>
    <row r="167" spans="2:17" s="201" customFormat="1" ht="35.25" customHeight="1" x14ac:dyDescent="0.25">
      <c r="B167" s="245"/>
      <c r="C167" s="121" t="s">
        <v>1400</v>
      </c>
      <c r="D167" s="200" t="s">
        <v>720</v>
      </c>
      <c r="E167" s="308">
        <v>5037221</v>
      </c>
      <c r="F167" s="308">
        <v>5031621</v>
      </c>
      <c r="G167" s="399">
        <f t="shared" si="20"/>
        <v>-5600</v>
      </c>
      <c r="H167" s="377" t="s">
        <v>1427</v>
      </c>
      <c r="I167" s="308">
        <f>ROUND(F167,0)-5070+8000</f>
        <v>5034551</v>
      </c>
      <c r="J167" s="184">
        <f t="shared" si="21"/>
        <v>2930</v>
      </c>
      <c r="K167" s="377" t="s">
        <v>1470</v>
      </c>
      <c r="L167" s="308">
        <f>ROUND(I167,0)+5051</f>
        <v>5039602</v>
      </c>
      <c r="M167" s="184">
        <f t="shared" si="22"/>
        <v>5051</v>
      </c>
      <c r="N167" s="495" t="s">
        <v>1486</v>
      </c>
      <c r="O167" s="510">
        <v>1942450</v>
      </c>
      <c r="P167" s="419">
        <f t="shared" si="29"/>
        <v>0.38543718333312826</v>
      </c>
      <c r="Q167" s="417" t="s">
        <v>728</v>
      </c>
    </row>
    <row r="168" spans="2:17" s="201" customFormat="1" ht="17.25" customHeight="1" x14ac:dyDescent="0.25">
      <c r="B168" s="245"/>
      <c r="C168" s="121" t="s">
        <v>1401</v>
      </c>
      <c r="D168" s="200" t="s">
        <v>721</v>
      </c>
      <c r="E168" s="308">
        <v>413000</v>
      </c>
      <c r="F168" s="308">
        <v>413000</v>
      </c>
      <c r="G168" s="184">
        <f t="shared" si="20"/>
        <v>0</v>
      </c>
      <c r="H168" s="377"/>
      <c r="I168" s="308">
        <f>ROUND(F168,0)</f>
        <v>413000</v>
      </c>
      <c r="J168" s="184">
        <f t="shared" si="21"/>
        <v>0</v>
      </c>
      <c r="K168" s="377"/>
      <c r="L168" s="308">
        <f t="shared" ref="L168:L171" si="31">ROUND(I168,0)</f>
        <v>413000</v>
      </c>
      <c r="M168" s="184">
        <f t="shared" si="22"/>
        <v>0</v>
      </c>
      <c r="O168" s="510">
        <v>110918</v>
      </c>
      <c r="P168" s="419">
        <f t="shared" si="29"/>
        <v>0.26856658595641647</v>
      </c>
      <c r="Q168" s="417" t="s">
        <v>728</v>
      </c>
    </row>
    <row r="169" spans="2:17" s="201" customFormat="1" ht="16.5" customHeight="1" x14ac:dyDescent="0.25">
      <c r="B169" s="245"/>
      <c r="C169" s="121" t="s">
        <v>1402</v>
      </c>
      <c r="D169" s="200" t="s">
        <v>722</v>
      </c>
      <c r="E169" s="308">
        <v>316901</v>
      </c>
      <c r="F169" s="308">
        <v>316901</v>
      </c>
      <c r="G169" s="184">
        <f t="shared" si="20"/>
        <v>0</v>
      </c>
      <c r="H169" s="377"/>
      <c r="I169" s="308">
        <f>ROUND(F169,0)+5070</f>
        <v>321971</v>
      </c>
      <c r="J169" s="184">
        <f t="shared" si="21"/>
        <v>5070</v>
      </c>
      <c r="K169" s="377" t="s">
        <v>1462</v>
      </c>
      <c r="L169" s="308">
        <f t="shared" si="31"/>
        <v>321971</v>
      </c>
      <c r="M169" s="184">
        <f t="shared" si="22"/>
        <v>0</v>
      </c>
      <c r="N169" s="377"/>
      <c r="O169" s="510">
        <f>157893-2727</f>
        <v>155166</v>
      </c>
      <c r="P169" s="419">
        <f t="shared" si="29"/>
        <v>0.4819253907960655</v>
      </c>
      <c r="Q169" s="417" t="s">
        <v>728</v>
      </c>
    </row>
    <row r="170" spans="2:17" ht="27.6" customHeight="1" x14ac:dyDescent="0.25">
      <c r="B170" s="62" t="s">
        <v>341</v>
      </c>
      <c r="C170" s="110" t="s">
        <v>1403</v>
      </c>
      <c r="D170" s="188" t="s">
        <v>1399</v>
      </c>
      <c r="E170" s="282">
        <v>237443</v>
      </c>
      <c r="F170" s="282">
        <v>237443</v>
      </c>
      <c r="G170" s="57">
        <f t="shared" si="20"/>
        <v>0</v>
      </c>
      <c r="H170" s="372"/>
      <c r="I170" s="282">
        <f>ROUND(F170,0)</f>
        <v>237443</v>
      </c>
      <c r="J170" s="57">
        <f t="shared" si="21"/>
        <v>0</v>
      </c>
      <c r="K170" s="372"/>
      <c r="L170" s="282">
        <f t="shared" si="31"/>
        <v>237443</v>
      </c>
      <c r="M170" s="57">
        <f t="shared" si="22"/>
        <v>0</v>
      </c>
      <c r="N170" s="372"/>
      <c r="O170" s="252">
        <v>8168</v>
      </c>
      <c r="P170" s="407">
        <f t="shared" si="29"/>
        <v>3.4399834907746278E-2</v>
      </c>
      <c r="Q170" s="96" t="s">
        <v>728</v>
      </c>
    </row>
    <row r="171" spans="2:17" ht="28.2" customHeight="1" x14ac:dyDescent="0.25">
      <c r="B171" s="62" t="s">
        <v>341</v>
      </c>
      <c r="C171" s="110" t="s">
        <v>1328</v>
      </c>
      <c r="D171" s="188" t="s">
        <v>1404</v>
      </c>
      <c r="E171" s="278">
        <v>418784</v>
      </c>
      <c r="F171" s="282">
        <v>339942</v>
      </c>
      <c r="G171" s="57">
        <f t="shared" si="20"/>
        <v>-78842</v>
      </c>
      <c r="H171" s="531" t="s">
        <v>1430</v>
      </c>
      <c r="I171" s="282">
        <f>ROUND(F171,0)</f>
        <v>339942</v>
      </c>
      <c r="J171" s="57">
        <f t="shared" si="21"/>
        <v>0</v>
      </c>
      <c r="K171" s="531"/>
      <c r="L171" s="282">
        <f t="shared" si="31"/>
        <v>339942</v>
      </c>
      <c r="M171" s="57">
        <f t="shared" si="22"/>
        <v>0</v>
      </c>
      <c r="N171" s="494"/>
      <c r="O171" s="252">
        <v>28232</v>
      </c>
      <c r="P171" s="420">
        <f t="shared" si="29"/>
        <v>8.304946137870578E-2</v>
      </c>
      <c r="Q171" s="96" t="s">
        <v>728</v>
      </c>
    </row>
    <row r="172" spans="2:17" ht="28.2" customHeight="1" x14ac:dyDescent="0.25">
      <c r="B172" s="62" t="s">
        <v>341</v>
      </c>
      <c r="C172" s="110" t="s">
        <v>1329</v>
      </c>
      <c r="D172" s="188" t="s">
        <v>1405</v>
      </c>
      <c r="E172" s="298">
        <v>1825310</v>
      </c>
      <c r="F172" s="298">
        <v>1904152</v>
      </c>
      <c r="G172" s="57">
        <f t="shared" si="20"/>
        <v>78842</v>
      </c>
      <c r="H172" s="532"/>
      <c r="I172" s="298">
        <f>ROUND(F172,0)</f>
        <v>1904152</v>
      </c>
      <c r="J172" s="57">
        <f t="shared" si="21"/>
        <v>0</v>
      </c>
      <c r="K172" s="532"/>
      <c r="L172" s="496">
        <f>ROUND(I172,0)-5051</f>
        <v>1899101</v>
      </c>
      <c r="M172" s="305">
        <f t="shared" si="22"/>
        <v>-5051</v>
      </c>
      <c r="N172" s="495" t="s">
        <v>1486</v>
      </c>
      <c r="O172" s="524">
        <v>131323</v>
      </c>
      <c r="P172" s="421">
        <f t="shared" si="29"/>
        <v>6.9150087330794946E-2</v>
      </c>
      <c r="Q172" s="96" t="s">
        <v>728</v>
      </c>
    </row>
    <row r="173" spans="2:17" ht="18.600000000000001" hidden="1" customHeight="1" outlineLevel="1" x14ac:dyDescent="0.25">
      <c r="B173" s="62" t="s">
        <v>341</v>
      </c>
      <c r="C173" s="110" t="s">
        <v>1330</v>
      </c>
      <c r="D173" s="195" t="s">
        <v>811</v>
      </c>
      <c r="E173" s="278"/>
      <c r="F173" s="282">
        <v>0</v>
      </c>
      <c r="G173" s="57">
        <f t="shared" si="20"/>
        <v>0</v>
      </c>
      <c r="H173" s="373"/>
      <c r="I173" s="282">
        <f t="shared" ref="I173:I179" si="32">ROUND(G173,0)</f>
        <v>0</v>
      </c>
      <c r="J173" s="57">
        <f t="shared" si="21"/>
        <v>0</v>
      </c>
      <c r="K173" s="373"/>
      <c r="L173" s="282">
        <f t="shared" ref="L173:L179" si="33">ROUND(J173,0)</f>
        <v>0</v>
      </c>
      <c r="M173" s="57">
        <f t="shared" si="22"/>
        <v>0</v>
      </c>
      <c r="N173" s="373"/>
      <c r="O173" s="505"/>
      <c r="P173" s="420" t="e">
        <f t="shared" si="29"/>
        <v>#DIV/0!</v>
      </c>
      <c r="Q173" s="96" t="s">
        <v>730</v>
      </c>
    </row>
    <row r="174" spans="2:17" ht="43.5" hidden="1" customHeight="1" outlineLevel="1" x14ac:dyDescent="0.25">
      <c r="B174" s="62" t="s">
        <v>341</v>
      </c>
      <c r="C174" s="110" t="s">
        <v>1331</v>
      </c>
      <c r="D174" s="195" t="s">
        <v>717</v>
      </c>
      <c r="E174" s="278"/>
      <c r="F174" s="282">
        <v>0</v>
      </c>
      <c r="G174" s="57">
        <f t="shared" si="20"/>
        <v>0</v>
      </c>
      <c r="H174" s="373"/>
      <c r="I174" s="282">
        <f t="shared" si="32"/>
        <v>0</v>
      </c>
      <c r="J174" s="57">
        <f t="shared" si="21"/>
        <v>0</v>
      </c>
      <c r="K174" s="373"/>
      <c r="L174" s="282">
        <f t="shared" si="33"/>
        <v>0</v>
      </c>
      <c r="M174" s="57">
        <f t="shared" si="22"/>
        <v>0</v>
      </c>
      <c r="N174" s="373"/>
      <c r="O174" s="505"/>
      <c r="P174" s="420" t="e">
        <f t="shared" si="29"/>
        <v>#DIV/0!</v>
      </c>
      <c r="Q174" s="96" t="s">
        <v>730</v>
      </c>
    </row>
    <row r="175" spans="2:17" ht="25.95" hidden="1" customHeight="1" outlineLevel="1" x14ac:dyDescent="0.25">
      <c r="B175" s="62" t="s">
        <v>341</v>
      </c>
      <c r="C175" s="110" t="s">
        <v>1332</v>
      </c>
      <c r="D175" s="195" t="s">
        <v>816</v>
      </c>
      <c r="E175" s="278"/>
      <c r="F175" s="282">
        <v>0</v>
      </c>
      <c r="G175" s="57">
        <f t="shared" si="20"/>
        <v>0</v>
      </c>
      <c r="H175" s="373"/>
      <c r="I175" s="282">
        <f t="shared" si="32"/>
        <v>0</v>
      </c>
      <c r="J175" s="57">
        <f t="shared" si="21"/>
        <v>0</v>
      </c>
      <c r="K175" s="373"/>
      <c r="L175" s="282">
        <f t="shared" si="33"/>
        <v>0</v>
      </c>
      <c r="M175" s="57">
        <f t="shared" si="22"/>
        <v>0</v>
      </c>
      <c r="N175" s="373"/>
      <c r="O175" s="505"/>
      <c r="P175" s="420" t="e">
        <f t="shared" si="29"/>
        <v>#DIV/0!</v>
      </c>
      <c r="Q175" s="96" t="s">
        <v>730</v>
      </c>
    </row>
    <row r="176" spans="2:17" ht="45.6" hidden="1" customHeight="1" outlineLevel="1" x14ac:dyDescent="0.25">
      <c r="B176" s="62" t="s">
        <v>341</v>
      </c>
      <c r="C176" s="110" t="s">
        <v>1333</v>
      </c>
      <c r="D176" s="195" t="s">
        <v>827</v>
      </c>
      <c r="E176" s="278"/>
      <c r="F176" s="282">
        <v>0</v>
      </c>
      <c r="G176" s="57">
        <f t="shared" si="20"/>
        <v>0</v>
      </c>
      <c r="H176" s="373"/>
      <c r="I176" s="282">
        <f t="shared" si="32"/>
        <v>0</v>
      </c>
      <c r="J176" s="57">
        <f t="shared" si="21"/>
        <v>0</v>
      </c>
      <c r="K176" s="373"/>
      <c r="L176" s="282">
        <f t="shared" si="33"/>
        <v>0</v>
      </c>
      <c r="M176" s="57">
        <f t="shared" si="22"/>
        <v>0</v>
      </c>
      <c r="N176" s="373"/>
      <c r="O176" s="505"/>
      <c r="P176" s="420" t="e">
        <f t="shared" si="29"/>
        <v>#DIV/0!</v>
      </c>
      <c r="Q176" s="96" t="s">
        <v>730</v>
      </c>
    </row>
    <row r="177" spans="2:19" ht="18.600000000000001" hidden="1" customHeight="1" outlineLevel="1" x14ac:dyDescent="0.25">
      <c r="B177" s="62" t="s">
        <v>789</v>
      </c>
      <c r="C177" s="110" t="s">
        <v>1334</v>
      </c>
      <c r="D177" s="195" t="s">
        <v>716</v>
      </c>
      <c r="E177" s="278"/>
      <c r="F177" s="282">
        <v>0</v>
      </c>
      <c r="G177" s="57">
        <f t="shared" si="20"/>
        <v>0</v>
      </c>
      <c r="H177" s="373"/>
      <c r="I177" s="282">
        <f t="shared" si="32"/>
        <v>0</v>
      </c>
      <c r="J177" s="57">
        <f t="shared" si="21"/>
        <v>0</v>
      </c>
      <c r="K177" s="373"/>
      <c r="L177" s="282">
        <f t="shared" si="33"/>
        <v>0</v>
      </c>
      <c r="M177" s="57">
        <f t="shared" si="22"/>
        <v>0</v>
      </c>
      <c r="N177" s="373"/>
      <c r="O177" s="505"/>
      <c r="P177" s="420" t="e">
        <f t="shared" si="29"/>
        <v>#DIV/0!</v>
      </c>
      <c r="Q177" s="96" t="s">
        <v>730</v>
      </c>
    </row>
    <row r="178" spans="2:19" ht="29.4" hidden="1" customHeight="1" outlineLevel="1" x14ac:dyDescent="0.25">
      <c r="B178" s="62"/>
      <c r="C178" s="110" t="s">
        <v>1335</v>
      </c>
      <c r="D178" s="195" t="s">
        <v>884</v>
      </c>
      <c r="E178" s="278">
        <v>0</v>
      </c>
      <c r="F178" s="282">
        <v>0</v>
      </c>
      <c r="G178" s="57">
        <f t="shared" si="20"/>
        <v>0</v>
      </c>
      <c r="H178" s="373"/>
      <c r="I178" s="282">
        <f t="shared" si="32"/>
        <v>0</v>
      </c>
      <c r="J178" s="57">
        <f t="shared" si="21"/>
        <v>0</v>
      </c>
      <c r="K178" s="373"/>
      <c r="L178" s="282">
        <f t="shared" si="33"/>
        <v>0</v>
      </c>
      <c r="M178" s="57">
        <f t="shared" si="22"/>
        <v>0</v>
      </c>
      <c r="N178" s="373"/>
      <c r="O178" s="505"/>
      <c r="P178" s="420" t="e">
        <f t="shared" si="29"/>
        <v>#DIV/0!</v>
      </c>
      <c r="Q178" s="96" t="s">
        <v>729</v>
      </c>
    </row>
    <row r="179" spans="2:19" ht="29.4" hidden="1" customHeight="1" outlineLevel="1" x14ac:dyDescent="0.25">
      <c r="B179" s="62" t="s">
        <v>497</v>
      </c>
      <c r="C179" s="110" t="s">
        <v>1336</v>
      </c>
      <c r="D179" s="195" t="s">
        <v>885</v>
      </c>
      <c r="E179" s="282">
        <v>0</v>
      </c>
      <c r="F179" s="282">
        <v>0</v>
      </c>
      <c r="G179" s="57">
        <f t="shared" si="20"/>
        <v>0</v>
      </c>
      <c r="H179" s="352"/>
      <c r="I179" s="282">
        <f t="shared" si="32"/>
        <v>0</v>
      </c>
      <c r="J179" s="57">
        <f t="shared" si="21"/>
        <v>0</v>
      </c>
      <c r="K179" s="352"/>
      <c r="L179" s="282">
        <f t="shared" si="33"/>
        <v>0</v>
      </c>
      <c r="M179" s="57">
        <f t="shared" si="22"/>
        <v>0</v>
      </c>
      <c r="N179" s="352"/>
      <c r="O179" s="505"/>
      <c r="P179" s="407" t="e">
        <f t="shared" si="29"/>
        <v>#DIV/0!</v>
      </c>
      <c r="Q179" s="453" t="s">
        <v>730</v>
      </c>
    </row>
    <row r="180" spans="2:19" collapsed="1" x14ac:dyDescent="0.25">
      <c r="C180" s="84" t="s">
        <v>41</v>
      </c>
      <c r="D180" s="187" t="s">
        <v>168</v>
      </c>
      <c r="E180" s="17">
        <v>2552007</v>
      </c>
      <c r="F180" s="277">
        <v>2552007</v>
      </c>
      <c r="G180" s="17">
        <f t="shared" si="20"/>
        <v>0</v>
      </c>
      <c r="H180" s="17"/>
      <c r="I180" s="277">
        <f>SUM(I181,I186:I190)+I193+I194</f>
        <v>2536621</v>
      </c>
      <c r="J180" s="17">
        <f t="shared" si="21"/>
        <v>-15386</v>
      </c>
      <c r="K180" s="17"/>
      <c r="L180" s="277">
        <f>SUM(L181,L186:L190)+L193+L194</f>
        <v>2587421</v>
      </c>
      <c r="M180" s="17">
        <f t="shared" si="22"/>
        <v>50800</v>
      </c>
      <c r="N180" s="17"/>
      <c r="O180" s="258">
        <f>SUM(O181,O186:O190)+O193+O194</f>
        <v>1107127.4000000001</v>
      </c>
      <c r="P180" s="432">
        <f t="shared" si="29"/>
        <v>0.42788838770343141</v>
      </c>
      <c r="Q180" s="258"/>
    </row>
    <row r="181" spans="2:19" ht="23.25" customHeight="1" x14ac:dyDescent="0.25">
      <c r="C181" s="83" t="s">
        <v>44</v>
      </c>
      <c r="D181" s="178" t="s">
        <v>345</v>
      </c>
      <c r="E181" s="42">
        <v>1535520</v>
      </c>
      <c r="F181" s="42">
        <v>1535520</v>
      </c>
      <c r="G181" s="42">
        <f t="shared" si="20"/>
        <v>0</v>
      </c>
      <c r="H181" s="42">
        <f>SUM(H182:H185)</f>
        <v>0</v>
      </c>
      <c r="I181" s="42">
        <f>SUM(I182:I185)</f>
        <v>1535520</v>
      </c>
      <c r="J181" s="42">
        <f t="shared" si="21"/>
        <v>0</v>
      </c>
      <c r="K181" s="42">
        <f>SUM(K182:K185)</f>
        <v>0</v>
      </c>
      <c r="L181" s="42">
        <f>SUM(L182:L185)</f>
        <v>1555520</v>
      </c>
      <c r="M181" s="42">
        <f t="shared" si="22"/>
        <v>20000</v>
      </c>
      <c r="N181" s="42">
        <f>SUM(N182:N185)</f>
        <v>0</v>
      </c>
      <c r="O181" s="257">
        <f>SUM(O182:O185)</f>
        <v>599715.67000000004</v>
      </c>
      <c r="P181" s="418">
        <f t="shared" si="29"/>
        <v>0.38554031449290271</v>
      </c>
      <c r="Q181" s="448"/>
      <c r="S181" s="467"/>
    </row>
    <row r="182" spans="2:19" ht="33" customHeight="1" x14ac:dyDescent="0.25">
      <c r="B182" s="62" t="s">
        <v>459</v>
      </c>
      <c r="C182" s="85" t="s">
        <v>47</v>
      </c>
      <c r="D182" s="176" t="s">
        <v>403</v>
      </c>
      <c r="E182" s="282">
        <v>793277</v>
      </c>
      <c r="F182" s="282">
        <v>793277</v>
      </c>
      <c r="G182" s="57">
        <f t="shared" si="20"/>
        <v>0</v>
      </c>
      <c r="H182" s="372"/>
      <c r="I182" s="282">
        <f>ROUND(F182,0)</f>
        <v>793277</v>
      </c>
      <c r="J182" s="57">
        <f t="shared" si="21"/>
        <v>0</v>
      </c>
      <c r="K182" s="372"/>
      <c r="L182" s="282">
        <f>ROUND(I182,0)+20000</f>
        <v>813277</v>
      </c>
      <c r="M182" s="57">
        <f t="shared" si="22"/>
        <v>20000</v>
      </c>
      <c r="N182" s="372" t="s">
        <v>1484</v>
      </c>
      <c r="O182" s="252">
        <v>384466.72</v>
      </c>
      <c r="P182" s="407">
        <f t="shared" si="29"/>
        <v>0.472737726506467</v>
      </c>
      <c r="Q182" s="252" t="s">
        <v>731</v>
      </c>
    </row>
    <row r="183" spans="2:19" ht="14.25" customHeight="1" x14ac:dyDescent="0.25">
      <c r="B183" s="62" t="s">
        <v>453</v>
      </c>
      <c r="C183" s="85" t="s">
        <v>50</v>
      </c>
      <c r="D183" s="176" t="s">
        <v>358</v>
      </c>
      <c r="E183" s="282">
        <v>526028</v>
      </c>
      <c r="F183" s="282">
        <v>526028</v>
      </c>
      <c r="G183" s="57">
        <f t="shared" si="20"/>
        <v>0</v>
      </c>
      <c r="H183" s="372"/>
      <c r="I183" s="282">
        <f>ROUND(F183,0)</f>
        <v>526028</v>
      </c>
      <c r="J183" s="57">
        <f t="shared" si="21"/>
        <v>0</v>
      </c>
      <c r="K183" s="372"/>
      <c r="L183" s="282">
        <f>ROUND(I183,0)</f>
        <v>526028</v>
      </c>
      <c r="M183" s="57">
        <f t="shared" si="22"/>
        <v>0</v>
      </c>
      <c r="N183" s="372"/>
      <c r="O183" s="252">
        <v>137974.26999999999</v>
      </c>
      <c r="P183" s="407">
        <f t="shared" si="29"/>
        <v>0.26229453565209454</v>
      </c>
      <c r="Q183" s="252" t="s">
        <v>732</v>
      </c>
    </row>
    <row r="184" spans="2:19" ht="24.6" customHeight="1" x14ac:dyDescent="0.25">
      <c r="B184" s="62" t="s">
        <v>452</v>
      </c>
      <c r="C184" s="85" t="s">
        <v>52</v>
      </c>
      <c r="D184" s="176" t="s">
        <v>711</v>
      </c>
      <c r="E184" s="282">
        <v>185916</v>
      </c>
      <c r="F184" s="282">
        <v>185916</v>
      </c>
      <c r="G184" s="57">
        <f t="shared" si="20"/>
        <v>0</v>
      </c>
      <c r="H184" s="352"/>
      <c r="I184" s="282">
        <f>ROUND(F184,0)</f>
        <v>185916</v>
      </c>
      <c r="J184" s="57">
        <f t="shared" si="21"/>
        <v>0</v>
      </c>
      <c r="K184" s="352"/>
      <c r="L184" s="282">
        <f>ROUND(I184,0)</f>
        <v>185916</v>
      </c>
      <c r="M184" s="57">
        <f t="shared" si="22"/>
        <v>0</v>
      </c>
      <c r="N184" s="352"/>
      <c r="O184" s="252">
        <v>67282.81</v>
      </c>
      <c r="P184" s="407">
        <f t="shared" si="29"/>
        <v>0.36189897588158093</v>
      </c>
      <c r="Q184" s="252"/>
    </row>
    <row r="185" spans="2:19" ht="23.25" customHeight="1" x14ac:dyDescent="0.25">
      <c r="B185" s="62" t="s">
        <v>737</v>
      </c>
      <c r="C185" s="85" t="s">
        <v>1337</v>
      </c>
      <c r="D185" s="176" t="s">
        <v>804</v>
      </c>
      <c r="E185" s="309">
        <v>30299</v>
      </c>
      <c r="F185" s="309">
        <v>30299</v>
      </c>
      <c r="G185" s="16">
        <f t="shared" si="20"/>
        <v>0</v>
      </c>
      <c r="H185" s="378"/>
      <c r="I185" s="309">
        <f>ROUND(F185,0)</f>
        <v>30299</v>
      </c>
      <c r="J185" s="16">
        <f t="shared" si="21"/>
        <v>0</v>
      </c>
      <c r="K185" s="378"/>
      <c r="L185" s="309">
        <f>ROUND(I185,0)</f>
        <v>30299</v>
      </c>
      <c r="M185" s="16">
        <f t="shared" si="22"/>
        <v>0</v>
      </c>
      <c r="N185" s="378"/>
      <c r="O185" s="252">
        <v>9991.8700000000008</v>
      </c>
      <c r="P185" s="509">
        <f t="shared" si="29"/>
        <v>0.32977557015083009</v>
      </c>
      <c r="Q185" s="252"/>
    </row>
    <row r="186" spans="2:19" ht="29.4" hidden="1" customHeight="1" outlineLevel="1" x14ac:dyDescent="0.25">
      <c r="B186" s="62" t="s">
        <v>499</v>
      </c>
      <c r="C186" s="112" t="s">
        <v>54</v>
      </c>
      <c r="D186" s="267" t="s">
        <v>359</v>
      </c>
      <c r="E186" s="42"/>
      <c r="F186" s="42">
        <v>0</v>
      </c>
      <c r="G186" s="22">
        <f t="shared" si="20"/>
        <v>0</v>
      </c>
      <c r="H186" s="379" t="s">
        <v>865</v>
      </c>
      <c r="I186" s="42"/>
      <c r="J186" s="22">
        <f t="shared" si="21"/>
        <v>0</v>
      </c>
      <c r="K186" s="342"/>
      <c r="L186" s="42"/>
      <c r="M186" s="22">
        <f t="shared" si="22"/>
        <v>0</v>
      </c>
      <c r="N186" s="342"/>
      <c r="O186" s="501"/>
      <c r="P186" s="418" t="e">
        <f t="shared" si="29"/>
        <v>#DIV/0!</v>
      </c>
      <c r="Q186" s="257" t="s">
        <v>729</v>
      </c>
    </row>
    <row r="187" spans="2:19" ht="27" hidden="1" customHeight="1" outlineLevel="1" x14ac:dyDescent="0.25">
      <c r="B187" s="62" t="s">
        <v>500</v>
      </c>
      <c r="C187" s="112" t="s">
        <v>169</v>
      </c>
      <c r="D187" s="267" t="s">
        <v>360</v>
      </c>
      <c r="E187" s="42"/>
      <c r="F187" s="42">
        <v>0</v>
      </c>
      <c r="G187" s="22">
        <f t="shared" si="20"/>
        <v>0</v>
      </c>
      <c r="H187" s="342"/>
      <c r="I187" s="42"/>
      <c r="J187" s="22">
        <f t="shared" si="21"/>
        <v>0</v>
      </c>
      <c r="K187" s="342"/>
      <c r="L187" s="42"/>
      <c r="M187" s="22">
        <f t="shared" si="22"/>
        <v>0</v>
      </c>
      <c r="N187" s="342"/>
      <c r="O187" s="501"/>
      <c r="P187" s="418" t="e">
        <f t="shared" si="29"/>
        <v>#DIV/0!</v>
      </c>
      <c r="Q187" s="257"/>
    </row>
    <row r="188" spans="2:19" ht="15" customHeight="1" collapsed="1" x14ac:dyDescent="0.25">
      <c r="B188" s="62" t="s">
        <v>254</v>
      </c>
      <c r="C188" s="83" t="s">
        <v>54</v>
      </c>
      <c r="D188" s="178" t="s">
        <v>404</v>
      </c>
      <c r="E188" s="42">
        <v>158076</v>
      </c>
      <c r="F188" s="42">
        <v>158076</v>
      </c>
      <c r="G188" s="22">
        <f t="shared" si="20"/>
        <v>0</v>
      </c>
      <c r="H188" s="380"/>
      <c r="I188" s="42">
        <f>ROUND(F188,0)</f>
        <v>158076</v>
      </c>
      <c r="J188" s="22">
        <f t="shared" si="21"/>
        <v>0</v>
      </c>
      <c r="K188" s="380"/>
      <c r="L188" s="42">
        <f>ROUND(I188,0)</f>
        <v>158076</v>
      </c>
      <c r="M188" s="22">
        <f t="shared" si="22"/>
        <v>0</v>
      </c>
      <c r="N188" s="380"/>
      <c r="O188" s="257">
        <v>70977.460000000006</v>
      </c>
      <c r="P188" s="418">
        <f t="shared" si="29"/>
        <v>0.44900845163086117</v>
      </c>
      <c r="Q188" s="257"/>
    </row>
    <row r="189" spans="2:19" ht="15.6" customHeight="1" x14ac:dyDescent="0.25">
      <c r="B189" s="62" t="s">
        <v>395</v>
      </c>
      <c r="C189" s="83" t="s">
        <v>169</v>
      </c>
      <c r="D189" s="178" t="s">
        <v>405</v>
      </c>
      <c r="E189" s="288">
        <v>73071</v>
      </c>
      <c r="F189" s="288">
        <v>73071</v>
      </c>
      <c r="G189" s="65">
        <f t="shared" ref="G189:G252" si="34">F189-E189</f>
        <v>0</v>
      </c>
      <c r="H189" s="381"/>
      <c r="I189" s="288">
        <f>ROUND(F189,0)</f>
        <v>73071</v>
      </c>
      <c r="J189" s="65">
        <f t="shared" ref="J189:J252" si="35">I189-F189</f>
        <v>0</v>
      </c>
      <c r="K189" s="381"/>
      <c r="L189" s="288">
        <f>ROUND(I189,0)</f>
        <v>73071</v>
      </c>
      <c r="M189" s="65">
        <f t="shared" ref="M189:M252" si="36">L189-I189</f>
        <v>0</v>
      </c>
      <c r="N189" s="381"/>
      <c r="O189" s="257">
        <v>26688.09</v>
      </c>
      <c r="P189" s="454">
        <f t="shared" si="29"/>
        <v>0.36523504536683499</v>
      </c>
      <c r="Q189" s="257"/>
    </row>
    <row r="190" spans="2:19" ht="15" customHeight="1" x14ac:dyDescent="0.25">
      <c r="B190" s="62" t="s">
        <v>253</v>
      </c>
      <c r="C190" s="83" t="s">
        <v>171</v>
      </c>
      <c r="D190" s="178" t="s">
        <v>170</v>
      </c>
      <c r="E190" s="42">
        <v>762112</v>
      </c>
      <c r="F190" s="42">
        <v>762112</v>
      </c>
      <c r="G190" s="22">
        <f t="shared" si="34"/>
        <v>0</v>
      </c>
      <c r="H190" s="342"/>
      <c r="I190" s="42">
        <f>I191+I192</f>
        <v>746726</v>
      </c>
      <c r="J190" s="22">
        <f t="shared" si="35"/>
        <v>-15386</v>
      </c>
      <c r="K190" s="342"/>
      <c r="L190" s="42">
        <f>L191+L192</f>
        <v>777526</v>
      </c>
      <c r="M190" s="22">
        <f t="shared" si="36"/>
        <v>30800</v>
      </c>
      <c r="N190" s="342"/>
      <c r="O190" s="257">
        <f>SUM(O191:O192)</f>
        <v>407108.63</v>
      </c>
      <c r="P190" s="418">
        <f t="shared" si="29"/>
        <v>0.523594876570044</v>
      </c>
      <c r="Q190" s="257"/>
    </row>
    <row r="191" spans="2:19" ht="46.5" customHeight="1" x14ac:dyDescent="0.25">
      <c r="B191" s="62"/>
      <c r="C191" s="199" t="s">
        <v>1453</v>
      </c>
      <c r="D191" s="246" t="s">
        <v>863</v>
      </c>
      <c r="E191" s="310">
        <v>454642</v>
      </c>
      <c r="F191" s="310">
        <v>465101</v>
      </c>
      <c r="G191" s="39">
        <f t="shared" si="34"/>
        <v>10459</v>
      </c>
      <c r="H191" s="533" t="s">
        <v>1419</v>
      </c>
      <c r="I191" s="310">
        <f>ROUND(F191,0)+650</f>
        <v>465751</v>
      </c>
      <c r="J191" s="39">
        <f t="shared" si="35"/>
        <v>650</v>
      </c>
      <c r="K191" s="484" t="s">
        <v>1463</v>
      </c>
      <c r="L191" s="310">
        <f>ROUND(I191,0)+17000+13800</f>
        <v>496551</v>
      </c>
      <c r="M191" s="39">
        <f t="shared" si="36"/>
        <v>30800</v>
      </c>
      <c r="N191" s="484" t="s">
        <v>1480</v>
      </c>
      <c r="O191" s="252">
        <v>271001.63</v>
      </c>
      <c r="P191" s="442">
        <f t="shared" si="29"/>
        <v>0.54576796743939693</v>
      </c>
      <c r="Q191" s="252" t="s">
        <v>882</v>
      </c>
    </row>
    <row r="192" spans="2:19" ht="16.5" customHeight="1" x14ac:dyDescent="0.25">
      <c r="B192" s="62"/>
      <c r="C192" s="199" t="s">
        <v>1454</v>
      </c>
      <c r="D192" s="246" t="s">
        <v>861</v>
      </c>
      <c r="E192" s="310">
        <v>307470</v>
      </c>
      <c r="F192" s="310">
        <v>297011</v>
      </c>
      <c r="G192" s="56">
        <f t="shared" si="34"/>
        <v>-10459</v>
      </c>
      <c r="H192" s="534"/>
      <c r="I192" s="310">
        <f>ROUND(F192,0)-14715-1321</f>
        <v>280975</v>
      </c>
      <c r="J192" s="56">
        <f t="shared" si="35"/>
        <v>-16036</v>
      </c>
      <c r="K192" s="388" t="s">
        <v>1461</v>
      </c>
      <c r="L192" s="310">
        <f>ROUND(I192,0)</f>
        <v>280975</v>
      </c>
      <c r="M192" s="56">
        <f t="shared" si="36"/>
        <v>0</v>
      </c>
      <c r="N192" s="388"/>
      <c r="O192" s="512">
        <v>136107</v>
      </c>
      <c r="P192" s="442">
        <f t="shared" si="29"/>
        <v>0.48440964498620875</v>
      </c>
      <c r="Q192" s="252"/>
    </row>
    <row r="193" spans="2:17" ht="15.6" customHeight="1" x14ac:dyDescent="0.25">
      <c r="B193" s="62" t="s">
        <v>255</v>
      </c>
      <c r="C193" s="83" t="s">
        <v>173</v>
      </c>
      <c r="D193" s="178" t="s">
        <v>172</v>
      </c>
      <c r="E193" s="42">
        <v>4000</v>
      </c>
      <c r="F193" s="42">
        <v>4000</v>
      </c>
      <c r="G193" s="22">
        <f t="shared" si="34"/>
        <v>0</v>
      </c>
      <c r="H193" s="315"/>
      <c r="I193" s="42">
        <f>ROUND(F193,0)</f>
        <v>4000</v>
      </c>
      <c r="J193" s="22">
        <f t="shared" si="35"/>
        <v>0</v>
      </c>
      <c r="K193" s="315"/>
      <c r="L193" s="42">
        <f>ROUND(I193,0)</f>
        <v>4000</v>
      </c>
      <c r="M193" s="22">
        <f t="shared" si="36"/>
        <v>0</v>
      </c>
      <c r="N193" s="315"/>
      <c r="O193" s="257">
        <v>2000</v>
      </c>
      <c r="P193" s="418">
        <f t="shared" si="29"/>
        <v>0.5</v>
      </c>
      <c r="Q193" s="257"/>
    </row>
    <row r="194" spans="2:17" ht="15.6" customHeight="1" x14ac:dyDescent="0.25">
      <c r="B194" s="62" t="s">
        <v>712</v>
      </c>
      <c r="C194" s="83" t="s">
        <v>273</v>
      </c>
      <c r="D194" s="178" t="s">
        <v>279</v>
      </c>
      <c r="E194" s="42">
        <v>19228</v>
      </c>
      <c r="F194" s="42">
        <v>19228</v>
      </c>
      <c r="G194" s="22">
        <f t="shared" si="34"/>
        <v>0</v>
      </c>
      <c r="H194" s="315"/>
      <c r="I194" s="42">
        <f>ROUND(F194,0)</f>
        <v>19228</v>
      </c>
      <c r="J194" s="22">
        <f t="shared" si="35"/>
        <v>0</v>
      </c>
      <c r="K194" s="315"/>
      <c r="L194" s="42">
        <f>ROUND(I194,0)</f>
        <v>19228</v>
      </c>
      <c r="M194" s="22">
        <f t="shared" si="36"/>
        <v>0</v>
      </c>
      <c r="N194" s="315"/>
      <c r="O194" s="257">
        <v>637.54999999999995</v>
      </c>
      <c r="P194" s="418">
        <f t="shared" si="29"/>
        <v>3.3157374661951317E-2</v>
      </c>
      <c r="Q194" s="257"/>
    </row>
    <row r="195" spans="2:17" s="9" customFormat="1" ht="15.6" customHeight="1" x14ac:dyDescent="0.25">
      <c r="C195" s="84" t="s">
        <v>68</v>
      </c>
      <c r="D195" s="187" t="s">
        <v>174</v>
      </c>
      <c r="E195" s="17">
        <v>3538928</v>
      </c>
      <c r="F195" s="17">
        <v>3546428</v>
      </c>
      <c r="G195" s="17">
        <f t="shared" si="34"/>
        <v>7500</v>
      </c>
      <c r="H195" s="17"/>
      <c r="I195" s="17">
        <f>I196+I202+I205+I210+I211+I212+I213+I214</f>
        <v>3546428</v>
      </c>
      <c r="J195" s="17">
        <f t="shared" si="35"/>
        <v>0</v>
      </c>
      <c r="K195" s="17"/>
      <c r="L195" s="17">
        <f>L196+L202+L205+L210+L211+L212+L213+L214</f>
        <v>3546428</v>
      </c>
      <c r="M195" s="17">
        <f t="shared" si="36"/>
        <v>0</v>
      </c>
      <c r="N195" s="17"/>
      <c r="O195" s="258">
        <f>O196+O202+O205+O210+O211+O212+O213+O214</f>
        <v>1440300.2400000002</v>
      </c>
      <c r="P195" s="432">
        <f t="shared" si="29"/>
        <v>0.40612702132963091</v>
      </c>
      <c r="Q195" s="258"/>
    </row>
    <row r="196" spans="2:17" s="9" customFormat="1" ht="15" customHeight="1" x14ac:dyDescent="0.25">
      <c r="C196" s="83" t="s">
        <v>71</v>
      </c>
      <c r="D196" s="178" t="s">
        <v>175</v>
      </c>
      <c r="E196" s="22">
        <v>2760943</v>
      </c>
      <c r="F196" s="22">
        <v>2768443</v>
      </c>
      <c r="G196" s="22">
        <f t="shared" si="34"/>
        <v>7500</v>
      </c>
      <c r="H196" s="22"/>
      <c r="I196" s="22">
        <f>SUM(I197:I201)</f>
        <v>2768443</v>
      </c>
      <c r="J196" s="22">
        <f t="shared" si="35"/>
        <v>0</v>
      </c>
      <c r="K196" s="22"/>
      <c r="L196" s="22">
        <f>SUM(L197:L201)</f>
        <v>2768443</v>
      </c>
      <c r="M196" s="22">
        <f t="shared" si="36"/>
        <v>0</v>
      </c>
      <c r="N196" s="22"/>
      <c r="O196" s="257">
        <f>SUM(O197:O201)</f>
        <v>1214567.5899999999</v>
      </c>
      <c r="P196" s="418">
        <f t="shared" si="29"/>
        <v>0.4387186552152238</v>
      </c>
      <c r="Q196" s="257"/>
    </row>
    <row r="197" spans="2:17" s="38" customFormat="1" ht="18" customHeight="1" outlineLevel="1" x14ac:dyDescent="0.25">
      <c r="B197" s="38" t="s">
        <v>1431</v>
      </c>
      <c r="C197" s="199" t="s">
        <v>263</v>
      </c>
      <c r="D197" s="177" t="s">
        <v>406</v>
      </c>
      <c r="E197" s="43">
        <v>638988</v>
      </c>
      <c r="F197" s="43">
        <v>646488</v>
      </c>
      <c r="G197" s="39">
        <f t="shared" si="34"/>
        <v>7500</v>
      </c>
      <c r="H197" s="341" t="s">
        <v>1432</v>
      </c>
      <c r="I197" s="43">
        <f>ROUND(F197,0)</f>
        <v>646488</v>
      </c>
      <c r="J197" s="39">
        <f t="shared" si="35"/>
        <v>0</v>
      </c>
      <c r="K197" s="341"/>
      <c r="L197" s="43">
        <f>ROUND(I197,0)</f>
        <v>646488</v>
      </c>
      <c r="M197" s="39">
        <f t="shared" si="36"/>
        <v>0</v>
      </c>
      <c r="N197" s="341"/>
      <c r="O197" s="251">
        <f>931845.83+26785+495+2751-O198</f>
        <v>225605.82999999996</v>
      </c>
      <c r="P197" s="455">
        <f t="shared" si="29"/>
        <v>0.3489714116890027</v>
      </c>
      <c r="Q197" s="251"/>
    </row>
    <row r="198" spans="2:17" s="38" customFormat="1" ht="16.5" customHeight="1" outlineLevel="1" x14ac:dyDescent="0.25">
      <c r="B198" s="303" t="s">
        <v>1413</v>
      </c>
      <c r="C198" s="199" t="s">
        <v>265</v>
      </c>
      <c r="D198" s="177" t="s">
        <v>262</v>
      </c>
      <c r="E198" s="43">
        <v>1540233</v>
      </c>
      <c r="F198" s="43">
        <v>1540233</v>
      </c>
      <c r="G198" s="56">
        <f t="shared" si="34"/>
        <v>0</v>
      </c>
      <c r="H198" s="316"/>
      <c r="I198" s="43">
        <f>ROUND(F198,0)</f>
        <v>1540233</v>
      </c>
      <c r="J198" s="56">
        <f t="shared" si="35"/>
        <v>0</v>
      </c>
      <c r="K198" s="316"/>
      <c r="L198" s="43">
        <f>ROUND(I198,0)</f>
        <v>1540233</v>
      </c>
      <c r="M198" s="56">
        <f t="shared" si="36"/>
        <v>0</v>
      </c>
      <c r="N198" s="316"/>
      <c r="O198" s="251">
        <f>706240+26785+495+2751</f>
        <v>736271</v>
      </c>
      <c r="P198" s="455">
        <f t="shared" si="29"/>
        <v>0.47802572727632769</v>
      </c>
      <c r="Q198" s="251"/>
    </row>
    <row r="199" spans="2:17" s="38" customFormat="1" ht="17.399999999999999" customHeight="1" outlineLevel="1" x14ac:dyDescent="0.25">
      <c r="B199" s="38">
        <v>1010</v>
      </c>
      <c r="C199" s="199" t="s">
        <v>347</v>
      </c>
      <c r="D199" s="185" t="s">
        <v>260</v>
      </c>
      <c r="E199" s="43">
        <v>0</v>
      </c>
      <c r="F199" s="43">
        <v>0</v>
      </c>
      <c r="G199" s="95">
        <f t="shared" si="34"/>
        <v>0</v>
      </c>
      <c r="H199" s="383"/>
      <c r="I199" s="43">
        <f>ROUND(F199,0)</f>
        <v>0</v>
      </c>
      <c r="J199" s="95">
        <f t="shared" si="35"/>
        <v>0</v>
      </c>
      <c r="K199" s="383"/>
      <c r="L199" s="43">
        <f>ROUND(I199,0)</f>
        <v>0</v>
      </c>
      <c r="M199" s="95">
        <f t="shared" si="36"/>
        <v>0</v>
      </c>
      <c r="N199" s="383"/>
      <c r="O199" s="252">
        <v>0</v>
      </c>
      <c r="P199" s="455"/>
      <c r="Q199" s="251"/>
    </row>
    <row r="200" spans="2:17" s="38" customFormat="1" outlineLevel="1" x14ac:dyDescent="0.25">
      <c r="B200" s="38">
        <v>1012</v>
      </c>
      <c r="C200" s="199" t="s">
        <v>822</v>
      </c>
      <c r="D200" s="177" t="s">
        <v>264</v>
      </c>
      <c r="E200" s="43">
        <v>580000</v>
      </c>
      <c r="F200" s="43">
        <v>580000</v>
      </c>
      <c r="G200" s="39">
        <f t="shared" si="34"/>
        <v>0</v>
      </c>
      <c r="H200" s="382"/>
      <c r="I200" s="43">
        <f>ROUND(F200,0)</f>
        <v>580000</v>
      </c>
      <c r="J200" s="39">
        <f t="shared" si="35"/>
        <v>0</v>
      </c>
      <c r="K200" s="382"/>
      <c r="L200" s="43">
        <f>ROUND(I200,0)</f>
        <v>580000</v>
      </c>
      <c r="M200" s="39">
        <f t="shared" si="36"/>
        <v>0</v>
      </c>
      <c r="N200" s="382"/>
      <c r="O200" s="251">
        <v>251946.76</v>
      </c>
      <c r="P200" s="455">
        <f t="shared" ref="P200:P207" si="37">O200/L200</f>
        <v>0.43439096551724138</v>
      </c>
      <c r="Q200" s="251"/>
    </row>
    <row r="201" spans="2:17" s="38" customFormat="1" outlineLevel="1" x14ac:dyDescent="0.25">
      <c r="C201" s="199" t="s">
        <v>1338</v>
      </c>
      <c r="D201" s="256" t="s">
        <v>1255</v>
      </c>
      <c r="E201" s="302">
        <v>1722</v>
      </c>
      <c r="F201" s="302">
        <v>1722</v>
      </c>
      <c r="G201" s="39">
        <f t="shared" si="34"/>
        <v>0</v>
      </c>
      <c r="H201" s="384"/>
      <c r="I201" s="302">
        <f>ROUND(F201,0)</f>
        <v>1722</v>
      </c>
      <c r="J201" s="39">
        <f t="shared" si="35"/>
        <v>0</v>
      </c>
      <c r="K201" s="384"/>
      <c r="L201" s="302">
        <f>ROUND(I201,0)</f>
        <v>1722</v>
      </c>
      <c r="M201" s="39">
        <f t="shared" si="36"/>
        <v>0</v>
      </c>
      <c r="N201" s="384"/>
      <c r="O201" s="512">
        <v>744</v>
      </c>
      <c r="P201" s="455">
        <f t="shared" si="37"/>
        <v>0.43205574912891986</v>
      </c>
      <c r="Q201" s="251"/>
    </row>
    <row r="202" spans="2:17" s="9" customFormat="1" ht="19.5" customHeight="1" x14ac:dyDescent="0.25">
      <c r="C202" s="83" t="s">
        <v>73</v>
      </c>
      <c r="D202" s="178" t="s">
        <v>176</v>
      </c>
      <c r="E202" s="42">
        <v>14883</v>
      </c>
      <c r="F202" s="42">
        <v>14883</v>
      </c>
      <c r="G202" s="22">
        <f t="shared" si="34"/>
        <v>0</v>
      </c>
      <c r="H202" s="342"/>
      <c r="I202" s="42">
        <f>I203+I204</f>
        <v>14883</v>
      </c>
      <c r="J202" s="22">
        <f t="shared" si="35"/>
        <v>0</v>
      </c>
      <c r="K202" s="342"/>
      <c r="L202" s="42">
        <f>L203+L204</f>
        <v>14883</v>
      </c>
      <c r="M202" s="22">
        <f t="shared" si="36"/>
        <v>0</v>
      </c>
      <c r="N202" s="342"/>
      <c r="O202" s="257">
        <f>O203+O204</f>
        <v>0</v>
      </c>
      <c r="P202" s="418">
        <f t="shared" si="37"/>
        <v>0</v>
      </c>
      <c r="Q202" s="257"/>
    </row>
    <row r="203" spans="2:17" s="38" customFormat="1" outlineLevel="1" x14ac:dyDescent="0.25">
      <c r="B203" s="38">
        <v>1011</v>
      </c>
      <c r="C203" s="86" t="s">
        <v>663</v>
      </c>
      <c r="D203" s="177" t="s">
        <v>266</v>
      </c>
      <c r="E203" s="43">
        <v>1407</v>
      </c>
      <c r="F203" s="43">
        <v>1407</v>
      </c>
      <c r="G203" s="39">
        <f t="shared" si="34"/>
        <v>0</v>
      </c>
      <c r="H203" s="382"/>
      <c r="I203" s="43">
        <f>ROUND(F203,0)</f>
        <v>1407</v>
      </c>
      <c r="J203" s="39">
        <f t="shared" si="35"/>
        <v>0</v>
      </c>
      <c r="K203" s="382"/>
      <c r="L203" s="43">
        <f>ROUND(I203,0)</f>
        <v>1407</v>
      </c>
      <c r="M203" s="39">
        <f t="shared" si="36"/>
        <v>0</v>
      </c>
      <c r="N203" s="382"/>
      <c r="O203" s="251">
        <v>0</v>
      </c>
      <c r="P203" s="455">
        <f t="shared" si="37"/>
        <v>0</v>
      </c>
      <c r="Q203" s="251"/>
    </row>
    <row r="204" spans="2:17" s="38" customFormat="1" outlineLevel="1" x14ac:dyDescent="0.25">
      <c r="B204" s="38">
        <v>1011</v>
      </c>
      <c r="C204" s="86" t="s">
        <v>664</v>
      </c>
      <c r="D204" s="177" t="s">
        <v>267</v>
      </c>
      <c r="E204" s="43">
        <v>13476</v>
      </c>
      <c r="F204" s="43">
        <v>13476</v>
      </c>
      <c r="G204" s="39">
        <f t="shared" si="34"/>
        <v>0</v>
      </c>
      <c r="H204" s="382"/>
      <c r="I204" s="43">
        <f>ROUND(F204,0)</f>
        <v>13476</v>
      </c>
      <c r="J204" s="39">
        <f t="shared" si="35"/>
        <v>0</v>
      </c>
      <c r="K204" s="382"/>
      <c r="L204" s="43">
        <f>ROUND(I204,0)</f>
        <v>13476</v>
      </c>
      <c r="M204" s="39">
        <f t="shared" si="36"/>
        <v>0</v>
      </c>
      <c r="N204" s="382"/>
      <c r="O204" s="251">
        <v>0</v>
      </c>
      <c r="P204" s="455">
        <f t="shared" si="37"/>
        <v>0</v>
      </c>
      <c r="Q204" s="251"/>
    </row>
    <row r="205" spans="2:17" s="9" customFormat="1" ht="26.25" customHeight="1" x14ac:dyDescent="0.25">
      <c r="C205" s="83" t="s">
        <v>177</v>
      </c>
      <c r="D205" s="178" t="s">
        <v>296</v>
      </c>
      <c r="E205" s="290">
        <v>444938</v>
      </c>
      <c r="F205" s="290">
        <v>444938</v>
      </c>
      <c r="G205" s="55">
        <f t="shared" si="34"/>
        <v>0</v>
      </c>
      <c r="H205" s="315"/>
      <c r="I205" s="290">
        <f>SUM(I206:I209)</f>
        <v>444938</v>
      </c>
      <c r="J205" s="55">
        <f t="shared" si="35"/>
        <v>0</v>
      </c>
      <c r="K205" s="315"/>
      <c r="L205" s="290">
        <f>SUM(L206:L209)</f>
        <v>444938</v>
      </c>
      <c r="M205" s="55">
        <f t="shared" si="36"/>
        <v>0</v>
      </c>
      <c r="N205" s="315"/>
      <c r="O205" s="262">
        <f>SUM(O206:O209)</f>
        <v>146819.89000000001</v>
      </c>
      <c r="P205" s="439">
        <f t="shared" si="37"/>
        <v>0.32997831158498492</v>
      </c>
      <c r="Q205" s="262"/>
    </row>
    <row r="206" spans="2:17" s="9" customFormat="1" ht="15" customHeight="1" x14ac:dyDescent="0.25">
      <c r="B206" s="7" t="s">
        <v>713</v>
      </c>
      <c r="C206" s="87" t="s">
        <v>1339</v>
      </c>
      <c r="D206" s="186" t="s">
        <v>696</v>
      </c>
      <c r="E206" s="281">
        <v>432274</v>
      </c>
      <c r="F206" s="281">
        <v>432274</v>
      </c>
      <c r="G206" s="48">
        <f t="shared" si="34"/>
        <v>0</v>
      </c>
      <c r="H206" s="338"/>
      <c r="I206" s="281">
        <f t="shared" ref="I206:I214" si="38">ROUND(F206,0)</f>
        <v>432274</v>
      </c>
      <c r="J206" s="48">
        <f t="shared" si="35"/>
        <v>0</v>
      </c>
      <c r="K206" s="338"/>
      <c r="L206" s="281">
        <f t="shared" ref="L206:L214" si="39">ROUND(I206,0)</f>
        <v>432274</v>
      </c>
      <c r="M206" s="48">
        <f t="shared" si="36"/>
        <v>0</v>
      </c>
      <c r="N206" s="338"/>
      <c r="O206" s="252">
        <v>141336.89000000001</v>
      </c>
      <c r="P206" s="435">
        <f t="shared" si="37"/>
        <v>0.32696134858908937</v>
      </c>
      <c r="Q206" s="252"/>
    </row>
    <row r="207" spans="2:17" s="9" customFormat="1" ht="15" customHeight="1" x14ac:dyDescent="0.25">
      <c r="B207" s="7" t="s">
        <v>713</v>
      </c>
      <c r="C207" s="87" t="s">
        <v>1340</v>
      </c>
      <c r="D207" s="186" t="s">
        <v>1254</v>
      </c>
      <c r="E207" s="298">
        <v>12664</v>
      </c>
      <c r="F207" s="298">
        <v>12664</v>
      </c>
      <c r="G207" s="48">
        <f t="shared" si="34"/>
        <v>0</v>
      </c>
      <c r="H207" s="385"/>
      <c r="I207" s="298">
        <f t="shared" si="38"/>
        <v>12664</v>
      </c>
      <c r="J207" s="48">
        <f t="shared" si="35"/>
        <v>0</v>
      </c>
      <c r="K207" s="385"/>
      <c r="L207" s="298">
        <f t="shared" si="39"/>
        <v>12664</v>
      </c>
      <c r="M207" s="48">
        <f t="shared" si="36"/>
        <v>0</v>
      </c>
      <c r="N207" s="385"/>
      <c r="O207" s="512">
        <v>5483</v>
      </c>
      <c r="P207" s="421">
        <f t="shared" si="37"/>
        <v>0.43295957043588124</v>
      </c>
      <c r="Q207" s="252"/>
    </row>
    <row r="208" spans="2:17" s="9" customFormat="1" ht="15.75" customHeight="1" x14ac:dyDescent="0.25">
      <c r="B208" s="7" t="s">
        <v>713</v>
      </c>
      <c r="C208" s="113" t="s">
        <v>1341</v>
      </c>
      <c r="D208" s="186" t="s">
        <v>699</v>
      </c>
      <c r="E208" s="281">
        <v>0</v>
      </c>
      <c r="F208" s="281">
        <v>0</v>
      </c>
      <c r="G208" s="48">
        <f t="shared" si="34"/>
        <v>0</v>
      </c>
      <c r="H208" s="338"/>
      <c r="I208" s="281">
        <f t="shared" si="38"/>
        <v>0</v>
      </c>
      <c r="J208" s="48">
        <f t="shared" si="35"/>
        <v>0</v>
      </c>
      <c r="K208" s="338"/>
      <c r="L208" s="281">
        <f t="shared" si="39"/>
        <v>0</v>
      </c>
      <c r="M208" s="48">
        <f t="shared" si="36"/>
        <v>0</v>
      </c>
      <c r="N208" s="338"/>
      <c r="O208" s="252">
        <v>0</v>
      </c>
      <c r="P208" s="435"/>
      <c r="Q208" s="252"/>
    </row>
    <row r="209" spans="2:19" s="9" customFormat="1" ht="15.6" customHeight="1" x14ac:dyDescent="0.25">
      <c r="B209" s="7" t="s">
        <v>454</v>
      </c>
      <c r="C209" s="87" t="s">
        <v>1342</v>
      </c>
      <c r="D209" s="186" t="s">
        <v>697</v>
      </c>
      <c r="E209" s="281">
        <v>0</v>
      </c>
      <c r="F209" s="281">
        <v>0</v>
      </c>
      <c r="G209" s="48">
        <f t="shared" si="34"/>
        <v>0</v>
      </c>
      <c r="H209" s="338"/>
      <c r="I209" s="281">
        <f t="shared" si="38"/>
        <v>0</v>
      </c>
      <c r="J209" s="48">
        <f t="shared" si="35"/>
        <v>0</v>
      </c>
      <c r="K209" s="338"/>
      <c r="L209" s="281">
        <f t="shared" si="39"/>
        <v>0</v>
      </c>
      <c r="M209" s="48">
        <f t="shared" si="36"/>
        <v>0</v>
      </c>
      <c r="N209" s="338"/>
      <c r="O209" s="252">
        <v>0</v>
      </c>
      <c r="P209" s="435"/>
      <c r="Q209" s="252"/>
    </row>
    <row r="210" spans="2:19" s="9" customFormat="1" ht="16.2" customHeight="1" x14ac:dyDescent="0.25">
      <c r="C210" s="83" t="s">
        <v>299</v>
      </c>
      <c r="D210" s="178" t="s">
        <v>178</v>
      </c>
      <c r="E210" s="42">
        <v>158418</v>
      </c>
      <c r="F210" s="42">
        <v>158418</v>
      </c>
      <c r="G210" s="22">
        <f t="shared" si="34"/>
        <v>0</v>
      </c>
      <c r="H210" s="315"/>
      <c r="I210" s="42">
        <f t="shared" si="38"/>
        <v>158418</v>
      </c>
      <c r="J210" s="22">
        <f t="shared" si="35"/>
        <v>0</v>
      </c>
      <c r="K210" s="315"/>
      <c r="L210" s="42">
        <f t="shared" si="39"/>
        <v>158418</v>
      </c>
      <c r="M210" s="22">
        <f t="shared" si="36"/>
        <v>0</v>
      </c>
      <c r="N210" s="315"/>
      <c r="O210" s="257">
        <v>52971.56</v>
      </c>
      <c r="P210" s="418">
        <f t="shared" ref="P210:P240" si="40">O210/L210</f>
        <v>0.33437841659407391</v>
      </c>
      <c r="Q210" s="257"/>
    </row>
    <row r="211" spans="2:19" s="9" customFormat="1" ht="16.5" customHeight="1" x14ac:dyDescent="0.25">
      <c r="B211" s="7">
        <v>1016</v>
      </c>
      <c r="C211" s="107" t="s">
        <v>394</v>
      </c>
      <c r="D211" s="182" t="s">
        <v>526</v>
      </c>
      <c r="E211" s="291">
        <v>70604</v>
      </c>
      <c r="F211" s="291">
        <v>70604</v>
      </c>
      <c r="G211" s="97">
        <f t="shared" si="34"/>
        <v>0</v>
      </c>
      <c r="H211" s="386"/>
      <c r="I211" s="291">
        <f t="shared" si="38"/>
        <v>70604</v>
      </c>
      <c r="J211" s="97">
        <f t="shared" si="35"/>
        <v>0</v>
      </c>
      <c r="K211" s="386"/>
      <c r="L211" s="291">
        <f t="shared" si="39"/>
        <v>70604</v>
      </c>
      <c r="M211" s="97">
        <f t="shared" si="36"/>
        <v>0</v>
      </c>
      <c r="N211" s="386"/>
      <c r="O211" s="257">
        <v>22565.06</v>
      </c>
      <c r="P211" s="456">
        <f t="shared" si="40"/>
        <v>0.31960030593167527</v>
      </c>
      <c r="Q211" s="257"/>
    </row>
    <row r="212" spans="2:19" s="9" customFormat="1" ht="18.75" hidden="1" customHeight="1" outlineLevel="1" x14ac:dyDescent="0.25">
      <c r="B212" s="7">
        <v>1017</v>
      </c>
      <c r="C212" s="83" t="s">
        <v>428</v>
      </c>
      <c r="D212" s="268" t="s">
        <v>680</v>
      </c>
      <c r="E212" s="291">
        <v>0</v>
      </c>
      <c r="F212" s="291">
        <v>0</v>
      </c>
      <c r="G212" s="97">
        <f t="shared" si="34"/>
        <v>0</v>
      </c>
      <c r="H212" s="386"/>
      <c r="I212" s="291">
        <f t="shared" si="38"/>
        <v>0</v>
      </c>
      <c r="J212" s="97">
        <f t="shared" si="35"/>
        <v>0</v>
      </c>
      <c r="K212" s="386"/>
      <c r="L212" s="291">
        <f t="shared" si="39"/>
        <v>0</v>
      </c>
      <c r="M212" s="97">
        <f t="shared" si="36"/>
        <v>0</v>
      </c>
      <c r="N212" s="386"/>
      <c r="O212" s="501">
        <v>0</v>
      </c>
      <c r="P212" s="456" t="e">
        <f t="shared" si="40"/>
        <v>#DIV/0!</v>
      </c>
      <c r="Q212" s="257"/>
    </row>
    <row r="213" spans="2:19" s="9" customFormat="1" ht="45" customHeight="1" collapsed="1" x14ac:dyDescent="0.25">
      <c r="B213" s="7">
        <v>1018</v>
      </c>
      <c r="C213" s="83" t="s">
        <v>428</v>
      </c>
      <c r="D213" s="492" t="s">
        <v>805</v>
      </c>
      <c r="E213" s="301">
        <v>44312</v>
      </c>
      <c r="F213" s="301">
        <v>44312</v>
      </c>
      <c r="G213" s="97">
        <f t="shared" si="34"/>
        <v>0</v>
      </c>
      <c r="H213" s="370"/>
      <c r="I213" s="301">
        <f t="shared" si="38"/>
        <v>44312</v>
      </c>
      <c r="J213" s="97">
        <f t="shared" si="35"/>
        <v>0</v>
      </c>
      <c r="K213" s="370"/>
      <c r="L213" s="301">
        <f t="shared" si="39"/>
        <v>44312</v>
      </c>
      <c r="M213" s="97">
        <f t="shared" si="36"/>
        <v>0</v>
      </c>
      <c r="N213" s="370"/>
      <c r="O213" s="257">
        <v>-3844.41</v>
      </c>
      <c r="P213" s="447">
        <f t="shared" si="40"/>
        <v>-8.6757763134139729E-2</v>
      </c>
      <c r="Q213" s="257" t="s">
        <v>729</v>
      </c>
    </row>
    <row r="214" spans="2:19" ht="43.5" customHeight="1" x14ac:dyDescent="0.25">
      <c r="B214" s="7" t="s">
        <v>460</v>
      </c>
      <c r="C214" s="83" t="s">
        <v>429</v>
      </c>
      <c r="D214" s="183" t="s">
        <v>277</v>
      </c>
      <c r="E214" s="291">
        <v>44830</v>
      </c>
      <c r="F214" s="291">
        <v>44830</v>
      </c>
      <c r="G214" s="97">
        <f t="shared" si="34"/>
        <v>0</v>
      </c>
      <c r="H214" s="386"/>
      <c r="I214" s="291">
        <f t="shared" si="38"/>
        <v>44830</v>
      </c>
      <c r="J214" s="97">
        <f t="shared" si="35"/>
        <v>0</v>
      </c>
      <c r="K214" s="386"/>
      <c r="L214" s="291">
        <f t="shared" si="39"/>
        <v>44830</v>
      </c>
      <c r="M214" s="97">
        <f t="shared" si="36"/>
        <v>0</v>
      </c>
      <c r="N214" s="386"/>
      <c r="O214" s="257">
        <v>7220.55</v>
      </c>
      <c r="P214" s="447">
        <f t="shared" si="40"/>
        <v>0.16106513495427169</v>
      </c>
      <c r="Q214" s="403"/>
    </row>
    <row r="215" spans="2:19" x14ac:dyDescent="0.25">
      <c r="C215" s="84" t="s">
        <v>76</v>
      </c>
      <c r="D215" s="187" t="s">
        <v>179</v>
      </c>
      <c r="E215" s="17">
        <v>33093948</v>
      </c>
      <c r="F215" s="17">
        <v>33147236</v>
      </c>
      <c r="G215" s="17">
        <f t="shared" si="34"/>
        <v>53288</v>
      </c>
      <c r="H215" s="17"/>
      <c r="I215" s="17">
        <f>I216+I217+I221+I225+I229+I233+I237+I248+I266+I269+I272+I273+I274+I275+I276+I277+I278+I279+I280</f>
        <v>33285269</v>
      </c>
      <c r="J215" s="17">
        <f t="shared" si="35"/>
        <v>138033</v>
      </c>
      <c r="K215" s="17"/>
      <c r="L215" s="17">
        <f>L216+L217+L221+L225+L229+L233+L237+L248+L266+L269+L272+L273+L274+L275+L276+L277+L278+L279+L280</f>
        <v>33385173</v>
      </c>
      <c r="M215" s="17">
        <f t="shared" si="36"/>
        <v>99904</v>
      </c>
      <c r="N215" s="17"/>
      <c r="O215" s="258">
        <f>O216+O217+O221+O225+O229+O233+O237+O248+O266+O269+O272+O273+O274+O275+O276+O277+O278+O279+O280</f>
        <v>11392525.890000001</v>
      </c>
      <c r="P215" s="432">
        <f t="shared" si="40"/>
        <v>0.34124507577061231</v>
      </c>
      <c r="Q215" s="258"/>
      <c r="R215" s="467"/>
      <c r="S215" s="497"/>
    </row>
    <row r="216" spans="2:19" ht="27.6" customHeight="1" x14ac:dyDescent="0.25">
      <c r="B216" s="30" t="s">
        <v>1434</v>
      </c>
      <c r="C216" s="83" t="s">
        <v>78</v>
      </c>
      <c r="D216" s="192" t="s">
        <v>180</v>
      </c>
      <c r="E216" s="42">
        <v>851975</v>
      </c>
      <c r="F216" s="42">
        <v>851975</v>
      </c>
      <c r="G216" s="22">
        <f t="shared" si="34"/>
        <v>0</v>
      </c>
      <c r="H216" s="342"/>
      <c r="I216" s="42">
        <f>ROUND(F216,0)</f>
        <v>851975</v>
      </c>
      <c r="J216" s="22">
        <f t="shared" si="35"/>
        <v>0</v>
      </c>
      <c r="K216" s="342"/>
      <c r="L216" s="42">
        <f>ROUND(I216,0)</f>
        <v>851975</v>
      </c>
      <c r="M216" s="22">
        <f t="shared" si="36"/>
        <v>0</v>
      </c>
      <c r="N216" s="342"/>
      <c r="O216" s="257">
        <v>457481.2</v>
      </c>
      <c r="P216" s="418">
        <f t="shared" si="40"/>
        <v>0.53696552128877018</v>
      </c>
      <c r="Q216" s="257" t="s">
        <v>1295</v>
      </c>
    </row>
    <row r="217" spans="2:19" ht="17.399999999999999" customHeight="1" x14ac:dyDescent="0.25">
      <c r="C217" s="83" t="s">
        <v>80</v>
      </c>
      <c r="D217" s="192" t="s">
        <v>181</v>
      </c>
      <c r="E217" s="42">
        <v>2529158</v>
      </c>
      <c r="F217" s="42">
        <v>2529158</v>
      </c>
      <c r="G217" s="22">
        <f t="shared" si="34"/>
        <v>0</v>
      </c>
      <c r="H217" s="315"/>
      <c r="I217" s="42">
        <f>SUM(I218:I220)</f>
        <v>2535967</v>
      </c>
      <c r="J217" s="22">
        <f t="shared" si="35"/>
        <v>6809</v>
      </c>
      <c r="K217" s="315"/>
      <c r="L217" s="42">
        <f>SUM(L218:L220)</f>
        <v>2535967</v>
      </c>
      <c r="M217" s="22">
        <f t="shared" si="36"/>
        <v>0</v>
      </c>
      <c r="N217" s="315"/>
      <c r="O217" s="257">
        <f>SUM(O218:O220)</f>
        <v>1055392.8</v>
      </c>
      <c r="P217" s="418">
        <f t="shared" si="40"/>
        <v>0.41616976877065043</v>
      </c>
      <c r="Q217" s="257"/>
    </row>
    <row r="218" spans="2:19" ht="25.2" customHeight="1" x14ac:dyDescent="0.25">
      <c r="B218" s="62" t="s">
        <v>317</v>
      </c>
      <c r="C218" s="85" t="s">
        <v>182</v>
      </c>
      <c r="D218" s="174" t="s">
        <v>272</v>
      </c>
      <c r="E218" s="292">
        <v>361243</v>
      </c>
      <c r="F218" s="292">
        <v>361243</v>
      </c>
      <c r="G218" s="18">
        <f t="shared" si="34"/>
        <v>0</v>
      </c>
      <c r="H218" s="316"/>
      <c r="I218" s="292">
        <f>ROUND(F218,0)+6809</f>
        <v>368052</v>
      </c>
      <c r="J218" s="18">
        <f t="shared" si="35"/>
        <v>6809</v>
      </c>
      <c r="K218" s="316" t="s">
        <v>1464</v>
      </c>
      <c r="L218" s="292">
        <f>ROUND(I218,0)</f>
        <v>368052</v>
      </c>
      <c r="M218" s="18">
        <f t="shared" si="36"/>
        <v>0</v>
      </c>
      <c r="N218" s="316"/>
      <c r="O218" s="422">
        <v>167042.70000000001</v>
      </c>
      <c r="P218" s="457">
        <f t="shared" si="40"/>
        <v>0.45385624857357115</v>
      </c>
      <c r="Q218" s="422"/>
    </row>
    <row r="219" spans="2:19" ht="16.5" customHeight="1" x14ac:dyDescent="0.25">
      <c r="B219" s="62" t="s">
        <v>256</v>
      </c>
      <c r="C219" s="85" t="s">
        <v>184</v>
      </c>
      <c r="D219" s="174" t="s">
        <v>185</v>
      </c>
      <c r="E219" s="292">
        <v>1638439</v>
      </c>
      <c r="F219" s="292">
        <v>1670882</v>
      </c>
      <c r="G219" s="18">
        <f t="shared" si="34"/>
        <v>32443</v>
      </c>
      <c r="H219" s="533" t="s">
        <v>1420</v>
      </c>
      <c r="I219" s="292">
        <f>ROUND(F219,0)</f>
        <v>1670882</v>
      </c>
      <c r="J219" s="18">
        <f t="shared" si="35"/>
        <v>0</v>
      </c>
      <c r="K219" s="533"/>
      <c r="L219" s="292">
        <f>ROUND(I219,0)</f>
        <v>1670882</v>
      </c>
      <c r="M219" s="18">
        <f t="shared" si="36"/>
        <v>0</v>
      </c>
      <c r="N219" s="533"/>
      <c r="O219" s="422">
        <v>742484.1</v>
      </c>
      <c r="P219" s="457">
        <f t="shared" si="40"/>
        <v>0.44436656807602209</v>
      </c>
      <c r="Q219" s="422" t="s">
        <v>733</v>
      </c>
      <c r="S219" s="425"/>
    </row>
    <row r="220" spans="2:19" ht="17.25" customHeight="1" x14ac:dyDescent="0.25">
      <c r="B220" s="62"/>
      <c r="C220" s="85" t="s">
        <v>1343</v>
      </c>
      <c r="D220" s="174" t="s">
        <v>710</v>
      </c>
      <c r="E220" s="311">
        <v>529476</v>
      </c>
      <c r="F220" s="311">
        <v>497033</v>
      </c>
      <c r="G220" s="18">
        <f t="shared" si="34"/>
        <v>-32443</v>
      </c>
      <c r="H220" s="534"/>
      <c r="I220" s="311">
        <f>ROUND(F220,0)</f>
        <v>497033</v>
      </c>
      <c r="J220" s="18">
        <f t="shared" si="35"/>
        <v>0</v>
      </c>
      <c r="K220" s="534"/>
      <c r="L220" s="311">
        <f>ROUND(I220,0)</f>
        <v>497033</v>
      </c>
      <c r="M220" s="18">
        <f t="shared" si="36"/>
        <v>0</v>
      </c>
      <c r="N220" s="534"/>
      <c r="O220" s="512">
        <v>145866</v>
      </c>
      <c r="P220" s="457">
        <f t="shared" si="40"/>
        <v>0.29347347158035786</v>
      </c>
      <c r="Q220" s="422"/>
    </row>
    <row r="221" spans="2:19" ht="18" customHeight="1" x14ac:dyDescent="0.25">
      <c r="C221" s="83" t="s">
        <v>81</v>
      </c>
      <c r="D221" s="192" t="s">
        <v>186</v>
      </c>
      <c r="E221" s="42">
        <v>1499060</v>
      </c>
      <c r="F221" s="42">
        <v>1499060</v>
      </c>
      <c r="G221" s="22">
        <f t="shared" si="34"/>
        <v>0</v>
      </c>
      <c r="H221" s="315"/>
      <c r="I221" s="42">
        <f>I222+I223+I224</f>
        <v>1501706</v>
      </c>
      <c r="J221" s="22">
        <f t="shared" si="35"/>
        <v>2646</v>
      </c>
      <c r="K221" s="315"/>
      <c r="L221" s="42">
        <f>L222+L223+L224</f>
        <v>1501706</v>
      </c>
      <c r="M221" s="22">
        <f t="shared" si="36"/>
        <v>0</v>
      </c>
      <c r="N221" s="315"/>
      <c r="O221" s="257">
        <f>O222+O223+O224</f>
        <v>636156.54</v>
      </c>
      <c r="P221" s="418">
        <f t="shared" si="40"/>
        <v>0.42362255994182618</v>
      </c>
      <c r="Q221" s="257"/>
    </row>
    <row r="222" spans="2:19" ht="25.95" customHeight="1" x14ac:dyDescent="0.25">
      <c r="B222" s="62" t="s">
        <v>318</v>
      </c>
      <c r="C222" s="85" t="s">
        <v>187</v>
      </c>
      <c r="D222" s="174" t="s">
        <v>272</v>
      </c>
      <c r="E222" s="243">
        <v>144697</v>
      </c>
      <c r="F222" s="243">
        <v>144697</v>
      </c>
      <c r="G222" s="16">
        <f t="shared" si="34"/>
        <v>0</v>
      </c>
      <c r="H222" s="316"/>
      <c r="I222" s="243">
        <f>ROUND(F222,0)+2646</f>
        <v>147343</v>
      </c>
      <c r="J222" s="16">
        <f t="shared" si="35"/>
        <v>2646</v>
      </c>
      <c r="K222" s="316" t="s">
        <v>1464</v>
      </c>
      <c r="L222" s="243">
        <f>ROUND(I222,0)</f>
        <v>147343</v>
      </c>
      <c r="M222" s="16">
        <f t="shared" si="36"/>
        <v>0</v>
      </c>
      <c r="N222" s="316"/>
      <c r="O222" s="252">
        <v>70015.259999999995</v>
      </c>
      <c r="P222" s="405">
        <f t="shared" si="40"/>
        <v>0.47518551950211407</v>
      </c>
      <c r="Q222" s="252"/>
    </row>
    <row r="223" spans="2:19" ht="13.5" customHeight="1" x14ac:dyDescent="0.25">
      <c r="B223" s="62" t="s">
        <v>506</v>
      </c>
      <c r="C223" s="85" t="s">
        <v>188</v>
      </c>
      <c r="D223" s="174" t="s">
        <v>185</v>
      </c>
      <c r="E223" s="243">
        <v>1108510</v>
      </c>
      <c r="F223" s="243">
        <v>1108510</v>
      </c>
      <c r="G223" s="16">
        <f t="shared" si="34"/>
        <v>0</v>
      </c>
      <c r="H223" s="316"/>
      <c r="I223" s="243">
        <f>ROUND(F223,0)</f>
        <v>1108510</v>
      </c>
      <c r="J223" s="16">
        <f t="shared" si="35"/>
        <v>0</v>
      </c>
      <c r="K223" s="316"/>
      <c r="L223" s="243">
        <f>ROUND(I223,0)</f>
        <v>1108510</v>
      </c>
      <c r="M223" s="16">
        <f t="shared" si="36"/>
        <v>0</v>
      </c>
      <c r="N223" s="316"/>
      <c r="O223" s="252">
        <v>475502.28</v>
      </c>
      <c r="P223" s="405">
        <f t="shared" si="40"/>
        <v>0.42895623855445603</v>
      </c>
      <c r="Q223" s="252" t="s">
        <v>733</v>
      </c>
      <c r="S223" s="425"/>
    </row>
    <row r="224" spans="2:19" ht="16.95" customHeight="1" x14ac:dyDescent="0.25">
      <c r="B224" s="62"/>
      <c r="C224" s="85" t="s">
        <v>430</v>
      </c>
      <c r="D224" s="174" t="s">
        <v>710</v>
      </c>
      <c r="E224" s="289">
        <v>245853</v>
      </c>
      <c r="F224" s="289">
        <v>245853</v>
      </c>
      <c r="G224" s="16">
        <f t="shared" si="34"/>
        <v>0</v>
      </c>
      <c r="H224" s="314"/>
      <c r="I224" s="289">
        <f>ROUND(F224,0)</f>
        <v>245853</v>
      </c>
      <c r="J224" s="16">
        <f t="shared" si="35"/>
        <v>0</v>
      </c>
      <c r="K224" s="314"/>
      <c r="L224" s="289">
        <f>ROUND(I224,0)</f>
        <v>245853</v>
      </c>
      <c r="M224" s="16">
        <f t="shared" si="36"/>
        <v>0</v>
      </c>
      <c r="N224" s="314"/>
      <c r="O224" s="512">
        <v>90639</v>
      </c>
      <c r="P224" s="405">
        <f t="shared" si="40"/>
        <v>0.36867152322729435</v>
      </c>
      <c r="Q224" s="252"/>
    </row>
    <row r="225" spans="2:19" ht="27.6" customHeight="1" x14ac:dyDescent="0.25">
      <c r="C225" s="83" t="s">
        <v>189</v>
      </c>
      <c r="D225" s="192" t="s">
        <v>343</v>
      </c>
      <c r="E225" s="42">
        <v>1850322</v>
      </c>
      <c r="F225" s="42">
        <v>1850322</v>
      </c>
      <c r="G225" s="22">
        <f t="shared" si="34"/>
        <v>0</v>
      </c>
      <c r="H225" s="315"/>
      <c r="I225" s="42">
        <f>I226+I227+I228</f>
        <v>1854025</v>
      </c>
      <c r="J225" s="22">
        <f t="shared" si="35"/>
        <v>3703</v>
      </c>
      <c r="K225" s="315"/>
      <c r="L225" s="42">
        <f>L226+L227+L228</f>
        <v>1854025</v>
      </c>
      <c r="M225" s="22">
        <f t="shared" si="36"/>
        <v>0</v>
      </c>
      <c r="N225" s="315"/>
      <c r="O225" s="257">
        <f>O226+O227+O228</f>
        <v>721771.91</v>
      </c>
      <c r="P225" s="418">
        <f t="shared" si="40"/>
        <v>0.3892999878642413</v>
      </c>
      <c r="Q225" s="257"/>
    </row>
    <row r="226" spans="2:19" ht="13.5" customHeight="1" x14ac:dyDescent="0.25">
      <c r="B226" s="7" t="s">
        <v>377</v>
      </c>
      <c r="C226" s="85" t="s">
        <v>1344</v>
      </c>
      <c r="D226" s="174" t="s">
        <v>272</v>
      </c>
      <c r="E226" s="243">
        <v>200053</v>
      </c>
      <c r="F226" s="243">
        <v>200053</v>
      </c>
      <c r="G226" s="16">
        <f t="shared" si="34"/>
        <v>0</v>
      </c>
      <c r="H226" s="316"/>
      <c r="I226" s="243">
        <f>ROUND(F226,0)+3703</f>
        <v>203756</v>
      </c>
      <c r="J226" s="16">
        <f t="shared" si="35"/>
        <v>3703</v>
      </c>
      <c r="K226" s="316" t="s">
        <v>1464</v>
      </c>
      <c r="L226" s="243">
        <f>ROUND(I226,0)</f>
        <v>203756</v>
      </c>
      <c r="M226" s="16">
        <f t="shared" si="36"/>
        <v>0</v>
      </c>
      <c r="N226" s="316"/>
      <c r="O226" s="252">
        <v>90347.74</v>
      </c>
      <c r="P226" s="405">
        <f t="shared" si="40"/>
        <v>0.4434114332829463</v>
      </c>
      <c r="Q226" s="252"/>
    </row>
    <row r="227" spans="2:19" ht="15.6" customHeight="1" x14ac:dyDescent="0.25">
      <c r="B227" s="7" t="s">
        <v>380</v>
      </c>
      <c r="C227" s="85" t="s">
        <v>1345</v>
      </c>
      <c r="D227" s="174" t="s">
        <v>185</v>
      </c>
      <c r="E227" s="243">
        <v>1406595</v>
      </c>
      <c r="F227" s="243">
        <v>1406595</v>
      </c>
      <c r="G227" s="16">
        <f t="shared" si="34"/>
        <v>0</v>
      </c>
      <c r="H227" s="387"/>
      <c r="I227" s="243">
        <f>ROUND(F227,0)</f>
        <v>1406595</v>
      </c>
      <c r="J227" s="16">
        <f t="shared" si="35"/>
        <v>0</v>
      </c>
      <c r="K227" s="387"/>
      <c r="L227" s="243">
        <f>ROUND(I227,0)</f>
        <v>1406595</v>
      </c>
      <c r="M227" s="16">
        <f t="shared" si="36"/>
        <v>0</v>
      </c>
      <c r="N227" s="387"/>
      <c r="O227" s="252">
        <v>528251.17000000004</v>
      </c>
      <c r="P227" s="405">
        <f t="shared" si="40"/>
        <v>0.37555314074058277</v>
      </c>
      <c r="Q227" s="252"/>
      <c r="S227" s="425"/>
    </row>
    <row r="228" spans="2:19" ht="17.399999999999999" customHeight="1" x14ac:dyDescent="0.25">
      <c r="C228" s="85" t="s">
        <v>1346</v>
      </c>
      <c r="D228" s="174" t="s">
        <v>710</v>
      </c>
      <c r="E228" s="278">
        <v>243674</v>
      </c>
      <c r="F228" s="243">
        <v>243674</v>
      </c>
      <c r="G228" s="16">
        <f t="shared" si="34"/>
        <v>0</v>
      </c>
      <c r="H228" s="388"/>
      <c r="I228" s="243">
        <f>ROUND(F228,0)</f>
        <v>243674</v>
      </c>
      <c r="J228" s="16">
        <f t="shared" si="35"/>
        <v>0</v>
      </c>
      <c r="K228" s="388"/>
      <c r="L228" s="243">
        <f>ROUND(I228,0)</f>
        <v>243674</v>
      </c>
      <c r="M228" s="16">
        <f t="shared" si="36"/>
        <v>0</v>
      </c>
      <c r="N228" s="388"/>
      <c r="O228" s="512">
        <v>103173</v>
      </c>
      <c r="P228" s="420">
        <f t="shared" si="40"/>
        <v>0.4234058619302839</v>
      </c>
      <c r="Q228" s="252"/>
    </row>
    <row r="229" spans="2:19" ht="27.6" x14ac:dyDescent="0.25">
      <c r="B229" s="7" t="s">
        <v>381</v>
      </c>
      <c r="C229" s="83" t="s">
        <v>192</v>
      </c>
      <c r="D229" s="192" t="s">
        <v>346</v>
      </c>
      <c r="E229" s="42">
        <v>1570891</v>
      </c>
      <c r="F229" s="42">
        <v>1570891</v>
      </c>
      <c r="G229" s="22">
        <f t="shared" si="34"/>
        <v>0</v>
      </c>
      <c r="H229" s="315"/>
      <c r="I229" s="42">
        <f>SUM(I230:I232)</f>
        <v>1575794</v>
      </c>
      <c r="J229" s="22">
        <f t="shared" si="35"/>
        <v>4903</v>
      </c>
      <c r="K229" s="315"/>
      <c r="L229" s="42">
        <f>SUM(L230:L232)</f>
        <v>1575794</v>
      </c>
      <c r="M229" s="22">
        <f t="shared" si="36"/>
        <v>0</v>
      </c>
      <c r="N229" s="315"/>
      <c r="O229" s="257">
        <f>SUM(O230:O232)</f>
        <v>583767.54</v>
      </c>
      <c r="P229" s="418">
        <f t="shared" si="40"/>
        <v>0.37045929861390514</v>
      </c>
      <c r="Q229" s="257"/>
    </row>
    <row r="230" spans="2:19" s="31" customFormat="1" ht="26.4" customHeight="1" x14ac:dyDescent="0.25">
      <c r="B230" s="66" t="s">
        <v>382</v>
      </c>
      <c r="C230" s="85" t="s">
        <v>1347</v>
      </c>
      <c r="D230" s="174" t="s">
        <v>272</v>
      </c>
      <c r="E230" s="243">
        <v>263376</v>
      </c>
      <c r="F230" s="243">
        <v>263376</v>
      </c>
      <c r="G230" s="18">
        <f t="shared" si="34"/>
        <v>0</v>
      </c>
      <c r="H230" s="316"/>
      <c r="I230" s="243">
        <f>ROUND(F230,0)+4903</f>
        <v>268279</v>
      </c>
      <c r="J230" s="18">
        <f t="shared" si="35"/>
        <v>4903</v>
      </c>
      <c r="K230" s="316" t="s">
        <v>1464</v>
      </c>
      <c r="L230" s="243">
        <f>ROUND(I230,0)</f>
        <v>268279</v>
      </c>
      <c r="M230" s="18">
        <f t="shared" si="36"/>
        <v>0</v>
      </c>
      <c r="N230" s="316"/>
      <c r="O230" s="252">
        <v>113934.98</v>
      </c>
      <c r="P230" s="405">
        <f t="shared" si="40"/>
        <v>0.4246884027449036</v>
      </c>
      <c r="Q230" s="252"/>
    </row>
    <row r="231" spans="2:19" s="31" customFormat="1" ht="15.6" customHeight="1" x14ac:dyDescent="0.25">
      <c r="C231" s="85" t="s">
        <v>1348</v>
      </c>
      <c r="D231" s="174" t="s">
        <v>185</v>
      </c>
      <c r="E231" s="243">
        <v>1141525</v>
      </c>
      <c r="F231" s="243">
        <v>1141525</v>
      </c>
      <c r="G231" s="389">
        <f t="shared" si="34"/>
        <v>0</v>
      </c>
      <c r="H231" s="316"/>
      <c r="I231" s="243">
        <f>ROUND(F231,0)</f>
        <v>1141525</v>
      </c>
      <c r="J231" s="389">
        <f t="shared" si="35"/>
        <v>0</v>
      </c>
      <c r="K231" s="316"/>
      <c r="L231" s="243">
        <f>ROUND(I231,0)</f>
        <v>1141525</v>
      </c>
      <c r="M231" s="389">
        <f t="shared" si="36"/>
        <v>0</v>
      </c>
      <c r="N231" s="316"/>
      <c r="O231" s="252">
        <v>399264.56</v>
      </c>
      <c r="P231" s="405">
        <f t="shared" si="40"/>
        <v>0.34976418387683145</v>
      </c>
      <c r="Q231" s="252"/>
      <c r="S231" s="478"/>
    </row>
    <row r="232" spans="2:19" s="31" customFormat="1" ht="13.95" customHeight="1" x14ac:dyDescent="0.25">
      <c r="C232" s="85" t="s">
        <v>1349</v>
      </c>
      <c r="D232" s="174" t="s">
        <v>710</v>
      </c>
      <c r="E232" s="278">
        <v>165990</v>
      </c>
      <c r="F232" s="243">
        <v>165990</v>
      </c>
      <c r="G232" s="389">
        <f t="shared" si="34"/>
        <v>0</v>
      </c>
      <c r="H232" s="321"/>
      <c r="I232" s="243">
        <f>ROUND(F232,0)</f>
        <v>165990</v>
      </c>
      <c r="J232" s="389">
        <f t="shared" si="35"/>
        <v>0</v>
      </c>
      <c r="K232" s="321"/>
      <c r="L232" s="243">
        <f>ROUND(I232,0)</f>
        <v>165990</v>
      </c>
      <c r="M232" s="389">
        <f t="shared" si="36"/>
        <v>0</v>
      </c>
      <c r="N232" s="321"/>
      <c r="O232" s="512">
        <v>70568</v>
      </c>
      <c r="P232" s="420">
        <f t="shared" si="40"/>
        <v>0.42513404421953127</v>
      </c>
      <c r="Q232" s="252"/>
    </row>
    <row r="233" spans="2:19" x14ac:dyDescent="0.25">
      <c r="C233" s="83" t="s">
        <v>194</v>
      </c>
      <c r="D233" s="192" t="s">
        <v>190</v>
      </c>
      <c r="E233" s="42">
        <v>3805461</v>
      </c>
      <c r="F233" s="42">
        <v>3797888</v>
      </c>
      <c r="G233" s="22">
        <f t="shared" si="34"/>
        <v>-7573</v>
      </c>
      <c r="H233" s="315"/>
      <c r="I233" s="42">
        <f>I234+I235+I236</f>
        <v>3797888</v>
      </c>
      <c r="J233" s="22">
        <f t="shared" si="35"/>
        <v>0</v>
      </c>
      <c r="K233" s="315"/>
      <c r="L233" s="42">
        <f>L234+L235+L236</f>
        <v>3797888</v>
      </c>
      <c r="M233" s="22">
        <f t="shared" si="36"/>
        <v>0</v>
      </c>
      <c r="N233" s="315"/>
      <c r="O233" s="257">
        <f>O234+O235+O236</f>
        <v>1463074.57</v>
      </c>
      <c r="P233" s="418">
        <f t="shared" si="40"/>
        <v>0.38523373253766308</v>
      </c>
      <c r="Q233" s="257"/>
    </row>
    <row r="234" spans="2:19" s="31" customFormat="1" ht="18.600000000000001" customHeight="1" x14ac:dyDescent="0.25">
      <c r="B234" s="66" t="s">
        <v>259</v>
      </c>
      <c r="C234" s="89" t="s">
        <v>1350</v>
      </c>
      <c r="D234" s="205" t="s">
        <v>191</v>
      </c>
      <c r="E234" s="243">
        <v>705444</v>
      </c>
      <c r="F234" s="243">
        <v>697871</v>
      </c>
      <c r="G234" s="18">
        <f t="shared" si="34"/>
        <v>-7573</v>
      </c>
      <c r="H234" s="316" t="s">
        <v>1414</v>
      </c>
      <c r="I234" s="243">
        <f>ROUND(F234,0)</f>
        <v>697871</v>
      </c>
      <c r="J234" s="18">
        <f t="shared" si="35"/>
        <v>0</v>
      </c>
      <c r="K234" s="316"/>
      <c r="L234" s="243">
        <f>ROUND(I234,0)</f>
        <v>697871</v>
      </c>
      <c r="M234" s="18">
        <f t="shared" si="36"/>
        <v>0</v>
      </c>
      <c r="N234" s="316"/>
      <c r="O234" s="252">
        <v>273112.58</v>
      </c>
      <c r="P234" s="405">
        <f t="shared" si="40"/>
        <v>0.39135109497313975</v>
      </c>
      <c r="Q234" s="252"/>
    </row>
    <row r="235" spans="2:19" s="31" customFormat="1" ht="16.2" customHeight="1" x14ac:dyDescent="0.25">
      <c r="B235" s="66" t="s">
        <v>1292</v>
      </c>
      <c r="C235" s="89" t="s">
        <v>1351</v>
      </c>
      <c r="D235" s="205" t="s">
        <v>812</v>
      </c>
      <c r="E235" s="243">
        <v>2846110</v>
      </c>
      <c r="F235" s="243">
        <v>2846110</v>
      </c>
      <c r="G235" s="18">
        <f t="shared" si="34"/>
        <v>0</v>
      </c>
      <c r="H235" s="317"/>
      <c r="I235" s="243">
        <f>ROUND(F235,0)</f>
        <v>2846110</v>
      </c>
      <c r="J235" s="18">
        <f t="shared" si="35"/>
        <v>0</v>
      </c>
      <c r="K235" s="317"/>
      <c r="L235" s="243">
        <f>ROUND(I235,0)</f>
        <v>2846110</v>
      </c>
      <c r="M235" s="18">
        <f t="shared" si="36"/>
        <v>0</v>
      </c>
      <c r="N235" s="317"/>
      <c r="O235" s="252">
        <v>1062663.43</v>
      </c>
      <c r="P235" s="405">
        <f t="shared" si="40"/>
        <v>0.37337398413975564</v>
      </c>
      <c r="Q235" s="252"/>
    </row>
    <row r="236" spans="2:19" ht="14.4" customHeight="1" x14ac:dyDescent="0.25">
      <c r="B236" s="62" t="s">
        <v>1293</v>
      </c>
      <c r="C236" s="85" t="s">
        <v>1352</v>
      </c>
      <c r="D236" s="174" t="s">
        <v>311</v>
      </c>
      <c r="E236" s="243">
        <v>253907</v>
      </c>
      <c r="F236" s="243">
        <v>253907</v>
      </c>
      <c r="G236" s="18">
        <f t="shared" si="34"/>
        <v>0</v>
      </c>
      <c r="H236" s="318"/>
      <c r="I236" s="243">
        <f>ROUND(F236,0)</f>
        <v>253907</v>
      </c>
      <c r="J236" s="18">
        <f t="shared" si="35"/>
        <v>0</v>
      </c>
      <c r="K236" s="318"/>
      <c r="L236" s="243">
        <f>ROUND(I236,0)</f>
        <v>253907</v>
      </c>
      <c r="M236" s="18">
        <f t="shared" si="36"/>
        <v>0</v>
      </c>
      <c r="N236" s="318"/>
      <c r="O236" s="252">
        <v>127298.56</v>
      </c>
      <c r="P236" s="458">
        <f t="shared" si="40"/>
        <v>0.50135900152418011</v>
      </c>
      <c r="Q236" s="252"/>
    </row>
    <row r="237" spans="2:19" s="9" customFormat="1" ht="15.75" customHeight="1" x14ac:dyDescent="0.25">
      <c r="C237" s="83" t="s">
        <v>195</v>
      </c>
      <c r="D237" s="192" t="s">
        <v>1294</v>
      </c>
      <c r="E237" s="287">
        <v>2754926</v>
      </c>
      <c r="F237" s="287">
        <v>2709458</v>
      </c>
      <c r="G237" s="28">
        <f t="shared" si="34"/>
        <v>-45468</v>
      </c>
      <c r="H237" s="319"/>
      <c r="I237" s="287">
        <f>I238+I242+I243+I244+I245+I246+I247</f>
        <v>2734011</v>
      </c>
      <c r="J237" s="28">
        <f t="shared" si="35"/>
        <v>24553</v>
      </c>
      <c r="K237" s="319"/>
      <c r="L237" s="287">
        <f>L238+L242+L243+L244+L245+L246+L247</f>
        <v>2737011</v>
      </c>
      <c r="M237" s="28">
        <f t="shared" si="36"/>
        <v>3000</v>
      </c>
      <c r="N237" s="319"/>
      <c r="O237" s="415">
        <f>O238+O242+O243+O244+O245+O246+O247</f>
        <v>1195161.5000000002</v>
      </c>
      <c r="P237" s="449">
        <f t="shared" si="40"/>
        <v>0.43666667762752881</v>
      </c>
      <c r="Q237" s="415"/>
    </row>
    <row r="238" spans="2:19" s="15" customFormat="1" ht="24.6" customHeight="1" x14ac:dyDescent="0.25">
      <c r="B238" s="64"/>
      <c r="C238" s="85" t="s">
        <v>1353</v>
      </c>
      <c r="D238" s="174" t="s">
        <v>272</v>
      </c>
      <c r="E238" s="243">
        <v>1540363</v>
      </c>
      <c r="F238" s="243">
        <v>1494895</v>
      </c>
      <c r="G238" s="16">
        <f t="shared" si="34"/>
        <v>-45468</v>
      </c>
      <c r="H238" s="316"/>
      <c r="I238" s="243">
        <f>I239+I240+I241</f>
        <v>1519448</v>
      </c>
      <c r="J238" s="16">
        <f t="shared" si="35"/>
        <v>24553</v>
      </c>
      <c r="K238" s="316"/>
      <c r="L238" s="243">
        <f>L239+L240+L241</f>
        <v>1519448</v>
      </c>
      <c r="M238" s="16">
        <f t="shared" si="36"/>
        <v>0</v>
      </c>
      <c r="N238" s="316"/>
      <c r="O238" s="252">
        <f>O239+O240+O241</f>
        <v>682318.62</v>
      </c>
      <c r="P238" s="405">
        <f t="shared" si="40"/>
        <v>0.44905690750851623</v>
      </c>
      <c r="Q238" s="252"/>
    </row>
    <row r="239" spans="2:19" s="247" customFormat="1" ht="33.75" customHeight="1" x14ac:dyDescent="0.25">
      <c r="B239" s="248" t="s">
        <v>384</v>
      </c>
      <c r="C239" s="121" t="s">
        <v>1354</v>
      </c>
      <c r="D239" s="200" t="s">
        <v>872</v>
      </c>
      <c r="E239" s="293">
        <v>1364718</v>
      </c>
      <c r="F239" s="293">
        <v>1365831</v>
      </c>
      <c r="G239" s="249">
        <f t="shared" si="34"/>
        <v>1113</v>
      </c>
      <c r="H239" s="320" t="s">
        <v>1415</v>
      </c>
      <c r="I239" s="293">
        <f t="shared" ref="I239:I247" si="41">ROUND(F239,0)</f>
        <v>1365831</v>
      </c>
      <c r="J239" s="249">
        <f t="shared" si="35"/>
        <v>0</v>
      </c>
      <c r="K239" s="320"/>
      <c r="L239" s="293">
        <f t="shared" ref="L239:L240" si="42">ROUND(I239,0)</f>
        <v>1365831</v>
      </c>
      <c r="M239" s="249">
        <f t="shared" si="36"/>
        <v>0</v>
      </c>
      <c r="N239" s="320"/>
      <c r="O239" s="249">
        <f>673887.89-O241-O242</f>
        <v>627991.38</v>
      </c>
      <c r="P239" s="405">
        <f t="shared" si="40"/>
        <v>0.4597870307527066</v>
      </c>
      <c r="Q239" s="249"/>
    </row>
    <row r="240" spans="2:19" s="247" customFormat="1" ht="29.4" customHeight="1" x14ac:dyDescent="0.25">
      <c r="B240" s="248" t="s">
        <v>876</v>
      </c>
      <c r="C240" s="121" t="s">
        <v>1355</v>
      </c>
      <c r="D240" s="200" t="s">
        <v>873</v>
      </c>
      <c r="E240" s="293">
        <v>175645</v>
      </c>
      <c r="F240" s="293">
        <v>129064</v>
      </c>
      <c r="G240" s="249">
        <f t="shared" si="34"/>
        <v>-46581</v>
      </c>
      <c r="H240" s="320" t="s">
        <v>1414</v>
      </c>
      <c r="I240" s="293">
        <f t="shared" si="41"/>
        <v>129064</v>
      </c>
      <c r="J240" s="249">
        <f t="shared" si="35"/>
        <v>0</v>
      </c>
      <c r="K240" s="320"/>
      <c r="L240" s="293">
        <f t="shared" si="42"/>
        <v>129064</v>
      </c>
      <c r="M240" s="249">
        <f t="shared" si="36"/>
        <v>0</v>
      </c>
      <c r="N240" s="320"/>
      <c r="O240" s="249">
        <v>54327.24</v>
      </c>
      <c r="P240" s="405">
        <f t="shared" si="40"/>
        <v>0.42093256059009482</v>
      </c>
      <c r="Q240" s="249"/>
    </row>
    <row r="241" spans="2:20" s="247" customFormat="1" ht="17.25" customHeight="1" x14ac:dyDescent="0.25">
      <c r="B241" s="248"/>
      <c r="C241" s="121" t="s">
        <v>1356</v>
      </c>
      <c r="D241" s="200" t="s">
        <v>874</v>
      </c>
      <c r="E241" s="293">
        <v>0</v>
      </c>
      <c r="F241" s="293">
        <v>0</v>
      </c>
      <c r="G241" s="249">
        <f t="shared" si="34"/>
        <v>0</v>
      </c>
      <c r="H241" s="320"/>
      <c r="I241" s="293">
        <f>ROUND(F241,0)+24553</f>
        <v>24553</v>
      </c>
      <c r="J241" s="249">
        <f t="shared" si="35"/>
        <v>24553</v>
      </c>
      <c r="K241" s="316" t="s">
        <v>1464</v>
      </c>
      <c r="L241" s="293">
        <f>ROUND(I241,0)</f>
        <v>24553</v>
      </c>
      <c r="M241" s="249">
        <f t="shared" si="36"/>
        <v>0</v>
      </c>
      <c r="N241" s="316"/>
      <c r="O241" s="249">
        <v>0</v>
      </c>
      <c r="P241" s="459"/>
      <c r="Q241" s="249"/>
    </row>
    <row r="242" spans="2:20" s="15" customFormat="1" x14ac:dyDescent="0.25">
      <c r="B242" s="15" t="s">
        <v>384</v>
      </c>
      <c r="C242" s="85" t="s">
        <v>1357</v>
      </c>
      <c r="D242" s="174" t="s">
        <v>314</v>
      </c>
      <c r="E242" s="309">
        <v>94076</v>
      </c>
      <c r="F242" s="309">
        <v>94076</v>
      </c>
      <c r="G242" s="16">
        <f t="shared" si="34"/>
        <v>0</v>
      </c>
      <c r="H242" s="316"/>
      <c r="I242" s="309">
        <f t="shared" si="41"/>
        <v>94076</v>
      </c>
      <c r="J242" s="16">
        <f t="shared" si="35"/>
        <v>0</v>
      </c>
      <c r="K242" s="316"/>
      <c r="L242" s="309">
        <f t="shared" ref="L242:L247" si="43">ROUND(I242,0)</f>
        <v>94076</v>
      </c>
      <c r="M242" s="16">
        <f t="shared" si="36"/>
        <v>0</v>
      </c>
      <c r="N242" s="316"/>
      <c r="O242" s="252">
        <v>45896.51</v>
      </c>
      <c r="P242" s="405">
        <f>O242/L242</f>
        <v>0.4878662995875675</v>
      </c>
      <c r="Q242" s="252"/>
    </row>
    <row r="243" spans="2:20" s="15" customFormat="1" ht="15.75" customHeight="1" x14ac:dyDescent="0.25">
      <c r="B243" s="64" t="s">
        <v>383</v>
      </c>
      <c r="C243" s="85" t="s">
        <v>1358</v>
      </c>
      <c r="D243" s="174" t="s">
        <v>185</v>
      </c>
      <c r="E243" s="243">
        <v>645648</v>
      </c>
      <c r="F243" s="243">
        <v>689772</v>
      </c>
      <c r="G243" s="16">
        <f t="shared" si="34"/>
        <v>44124</v>
      </c>
      <c r="H243" s="533" t="s">
        <v>1417</v>
      </c>
      <c r="I243" s="243">
        <f t="shared" si="41"/>
        <v>689772</v>
      </c>
      <c r="J243" s="16">
        <f t="shared" si="35"/>
        <v>0</v>
      </c>
      <c r="K243" s="533"/>
      <c r="L243" s="243">
        <f>ROUND(I243,0)+3000</f>
        <v>692772</v>
      </c>
      <c r="M243" s="16">
        <f t="shared" si="36"/>
        <v>3000</v>
      </c>
      <c r="N243" s="484" t="s">
        <v>1479</v>
      </c>
      <c r="O243" s="252">
        <v>253652.65000000002</v>
      </c>
      <c r="P243" s="405">
        <f>O243/L243</f>
        <v>0.36614160214327374</v>
      </c>
      <c r="Q243" s="252"/>
      <c r="S243" s="481"/>
    </row>
    <row r="244" spans="2:20" s="15" customFormat="1" ht="16.95" customHeight="1" x14ac:dyDescent="0.25">
      <c r="B244" s="64"/>
      <c r="C244" s="118" t="s">
        <v>1359</v>
      </c>
      <c r="D244" s="174" t="s">
        <v>710</v>
      </c>
      <c r="E244" s="278">
        <v>386671</v>
      </c>
      <c r="F244" s="243">
        <v>342547</v>
      </c>
      <c r="G244" s="16">
        <f t="shared" si="34"/>
        <v>-44124</v>
      </c>
      <c r="H244" s="534"/>
      <c r="I244" s="243">
        <f t="shared" si="41"/>
        <v>342547</v>
      </c>
      <c r="J244" s="16">
        <f t="shared" si="35"/>
        <v>0</v>
      </c>
      <c r="K244" s="534"/>
      <c r="L244" s="243">
        <f t="shared" si="43"/>
        <v>342547</v>
      </c>
      <c r="M244" s="16">
        <f t="shared" si="36"/>
        <v>0</v>
      </c>
      <c r="N244" s="388"/>
      <c r="O244" s="512">
        <v>158419</v>
      </c>
      <c r="P244" s="420">
        <f>O244/L244</f>
        <v>0.46247376272453122</v>
      </c>
      <c r="Q244" s="252"/>
    </row>
    <row r="245" spans="2:20" s="15" customFormat="1" ht="16.95" customHeight="1" x14ac:dyDescent="0.25">
      <c r="B245" s="64" t="s">
        <v>385</v>
      </c>
      <c r="C245" s="85" t="s">
        <v>1360</v>
      </c>
      <c r="D245" s="174" t="s">
        <v>306</v>
      </c>
      <c r="E245" s="243">
        <v>11200</v>
      </c>
      <c r="F245" s="243">
        <v>11200</v>
      </c>
      <c r="G245" s="16">
        <f t="shared" si="34"/>
        <v>0</v>
      </c>
      <c r="H245" s="318"/>
      <c r="I245" s="243">
        <f t="shared" si="41"/>
        <v>11200</v>
      </c>
      <c r="J245" s="16">
        <f t="shared" si="35"/>
        <v>0</v>
      </c>
      <c r="K245" s="318"/>
      <c r="L245" s="243">
        <f t="shared" si="43"/>
        <v>11200</v>
      </c>
      <c r="M245" s="16">
        <f t="shared" si="36"/>
        <v>0</v>
      </c>
      <c r="N245" s="318"/>
      <c r="O245" s="252">
        <v>4345.6000000000004</v>
      </c>
      <c r="P245" s="405">
        <f>O245/L245</f>
        <v>0.38800000000000001</v>
      </c>
      <c r="Q245" s="252"/>
    </row>
    <row r="246" spans="2:20" s="9" customFormat="1" ht="15.6" customHeight="1" x14ac:dyDescent="0.25">
      <c r="B246" s="62" t="s">
        <v>507</v>
      </c>
      <c r="C246" s="85" t="s">
        <v>1361</v>
      </c>
      <c r="D246" s="174" t="s">
        <v>826</v>
      </c>
      <c r="E246" s="243">
        <v>76968</v>
      </c>
      <c r="F246" s="243">
        <v>76968</v>
      </c>
      <c r="G246" s="16">
        <f t="shared" si="34"/>
        <v>0</v>
      </c>
      <c r="H246" s="322"/>
      <c r="I246" s="243">
        <f t="shared" si="41"/>
        <v>76968</v>
      </c>
      <c r="J246" s="16">
        <f t="shared" si="35"/>
        <v>0</v>
      </c>
      <c r="K246" s="322"/>
      <c r="L246" s="243">
        <f t="shared" si="43"/>
        <v>76968</v>
      </c>
      <c r="M246" s="16">
        <f t="shared" si="36"/>
        <v>0</v>
      </c>
      <c r="N246" s="322"/>
      <c r="O246" s="252">
        <v>50529.120000000003</v>
      </c>
      <c r="P246" s="405">
        <f>O246/L246</f>
        <v>0.65649516682257569</v>
      </c>
      <c r="Q246" s="252"/>
    </row>
    <row r="247" spans="2:20" s="9" customFormat="1" ht="15" customHeight="1" x14ac:dyDescent="0.25">
      <c r="B247" s="62" t="s">
        <v>383</v>
      </c>
      <c r="C247" s="85" t="s">
        <v>1362</v>
      </c>
      <c r="D247" s="207" t="s">
        <v>409</v>
      </c>
      <c r="E247" s="243">
        <v>0</v>
      </c>
      <c r="F247" s="243">
        <v>0</v>
      </c>
      <c r="G247" s="16">
        <f t="shared" si="34"/>
        <v>0</v>
      </c>
      <c r="H247" s="323"/>
      <c r="I247" s="243">
        <f t="shared" si="41"/>
        <v>0</v>
      </c>
      <c r="J247" s="16">
        <f t="shared" si="35"/>
        <v>0</v>
      </c>
      <c r="K247" s="323"/>
      <c r="L247" s="243">
        <f t="shared" si="43"/>
        <v>0</v>
      </c>
      <c r="M247" s="16">
        <f t="shared" si="36"/>
        <v>0</v>
      </c>
      <c r="N247" s="323"/>
      <c r="O247" s="498"/>
      <c r="P247" s="405"/>
      <c r="Q247" s="252"/>
    </row>
    <row r="248" spans="2:20" s="15" customFormat="1" ht="15.75" customHeight="1" x14ac:dyDescent="0.25">
      <c r="B248" s="64"/>
      <c r="C248" s="83" t="s">
        <v>197</v>
      </c>
      <c r="D248" s="192" t="s">
        <v>193</v>
      </c>
      <c r="E248" s="28">
        <v>8902379</v>
      </c>
      <c r="F248" s="28">
        <v>8976780</v>
      </c>
      <c r="G248" s="287">
        <f t="shared" si="34"/>
        <v>74401</v>
      </c>
      <c r="H248" s="287"/>
      <c r="I248" s="28">
        <f>I249+I253+I254+I255+I256+I257+I258+I259+I260+I261+I262</f>
        <v>9067744</v>
      </c>
      <c r="J248" s="287">
        <f t="shared" si="35"/>
        <v>90964</v>
      </c>
      <c r="K248" s="287"/>
      <c r="L248" s="28">
        <f>L249+L253+L254+L255+L256+L257+L258+L259+L260+L261+L262</f>
        <v>9068044</v>
      </c>
      <c r="M248" s="287">
        <f t="shared" si="36"/>
        <v>300</v>
      </c>
      <c r="N248" s="287"/>
      <c r="O248" s="415">
        <f>O249+O253+O254+O255+O256+O257+O258+O259+O260+O261+O262</f>
        <v>3869623.6000000006</v>
      </c>
      <c r="P248" s="449">
        <f>O248/L248</f>
        <v>0.42673189499301067</v>
      </c>
      <c r="Q248" s="415"/>
    </row>
    <row r="249" spans="2:20" s="15" customFormat="1" ht="27" customHeight="1" x14ac:dyDescent="0.25">
      <c r="B249" s="64"/>
      <c r="C249" s="85" t="s">
        <v>1363</v>
      </c>
      <c r="D249" s="174" t="s">
        <v>272</v>
      </c>
      <c r="E249" s="243">
        <v>4520522</v>
      </c>
      <c r="F249" s="243">
        <v>4589323</v>
      </c>
      <c r="G249" s="16">
        <f t="shared" si="34"/>
        <v>68801</v>
      </c>
      <c r="H249" s="316"/>
      <c r="I249" s="243">
        <f>SUM(I250:I252)</f>
        <v>4662311</v>
      </c>
      <c r="J249" s="16">
        <f t="shared" si="35"/>
        <v>72988</v>
      </c>
      <c r="K249" s="316"/>
      <c r="L249" s="243">
        <f>SUM(L250:L252)</f>
        <v>4662311</v>
      </c>
      <c r="M249" s="16">
        <f t="shared" si="36"/>
        <v>0</v>
      </c>
      <c r="N249" s="316"/>
      <c r="O249" s="252">
        <f>SUM(O250:O252)</f>
        <v>2074262.62</v>
      </c>
      <c r="P249" s="405">
        <f>O249/L249</f>
        <v>0.44490009782702183</v>
      </c>
      <c r="Q249" s="252"/>
    </row>
    <row r="250" spans="2:20" s="247" customFormat="1" ht="30.75" customHeight="1" x14ac:dyDescent="0.25">
      <c r="B250" s="248" t="s">
        <v>368</v>
      </c>
      <c r="C250" s="121" t="s">
        <v>1364</v>
      </c>
      <c r="D250" s="200" t="s">
        <v>872</v>
      </c>
      <c r="E250" s="293">
        <v>4199279</v>
      </c>
      <c r="F250" s="293">
        <v>4198166</v>
      </c>
      <c r="G250" s="249">
        <f t="shared" si="34"/>
        <v>-1113</v>
      </c>
      <c r="H250" s="320" t="s">
        <v>1418</v>
      </c>
      <c r="I250" s="293">
        <f t="shared" ref="I250:I261" si="44">ROUND(F250,0)</f>
        <v>4198166</v>
      </c>
      <c r="J250" s="249">
        <f t="shared" si="35"/>
        <v>0</v>
      </c>
      <c r="K250" s="320"/>
      <c r="L250" s="293">
        <f t="shared" ref="L250:L251" si="45">ROUND(I250,0)</f>
        <v>4198166</v>
      </c>
      <c r="M250" s="249">
        <f t="shared" si="36"/>
        <v>0</v>
      </c>
      <c r="N250" s="320"/>
      <c r="O250" s="249">
        <f>2005819.01-O252-O261</f>
        <v>1897332.33</v>
      </c>
      <c r="P250" s="405">
        <f>O250/L250</f>
        <v>0.45194314136220437</v>
      </c>
      <c r="Q250" s="249"/>
    </row>
    <row r="251" spans="2:20" s="247" customFormat="1" ht="32.4" customHeight="1" x14ac:dyDescent="0.25">
      <c r="B251" s="248" t="s">
        <v>875</v>
      </c>
      <c r="C251" s="121" t="s">
        <v>1365</v>
      </c>
      <c r="D251" s="200" t="s">
        <v>873</v>
      </c>
      <c r="E251" s="293">
        <v>321243</v>
      </c>
      <c r="F251" s="293">
        <v>391157</v>
      </c>
      <c r="G251" s="249">
        <f t="shared" si="34"/>
        <v>69914</v>
      </c>
      <c r="H251" s="320" t="s">
        <v>1414</v>
      </c>
      <c r="I251" s="293">
        <f t="shared" si="44"/>
        <v>391157</v>
      </c>
      <c r="J251" s="249">
        <f t="shared" si="35"/>
        <v>0</v>
      </c>
      <c r="K251" s="320"/>
      <c r="L251" s="293">
        <f t="shared" si="45"/>
        <v>391157</v>
      </c>
      <c r="M251" s="249">
        <f t="shared" si="36"/>
        <v>0</v>
      </c>
      <c r="N251" s="320"/>
      <c r="O251" s="249">
        <v>162470.79999999999</v>
      </c>
      <c r="P251" s="405">
        <f>O251/L251</f>
        <v>0.41535956150599374</v>
      </c>
      <c r="Q251" s="249"/>
    </row>
    <row r="252" spans="2:20" s="247" customFormat="1" ht="17.25" customHeight="1" x14ac:dyDescent="0.25">
      <c r="B252" s="248" t="s">
        <v>368</v>
      </c>
      <c r="C252" s="121" t="s">
        <v>1366</v>
      </c>
      <c r="D252" s="200" t="s">
        <v>874</v>
      </c>
      <c r="E252" s="293">
        <v>0</v>
      </c>
      <c r="F252" s="293">
        <v>0</v>
      </c>
      <c r="G252" s="249">
        <f t="shared" si="34"/>
        <v>0</v>
      </c>
      <c r="H252" s="320"/>
      <c r="I252" s="293">
        <f>ROUND(F252,0)+72988</f>
        <v>72988</v>
      </c>
      <c r="J252" s="249">
        <f t="shared" si="35"/>
        <v>72988</v>
      </c>
      <c r="K252" s="316" t="s">
        <v>1464</v>
      </c>
      <c r="L252" s="293">
        <f>ROUND(I252,0)</f>
        <v>72988</v>
      </c>
      <c r="M252" s="249">
        <f t="shared" si="36"/>
        <v>0</v>
      </c>
      <c r="N252" s="316"/>
      <c r="O252" s="249">
        <v>14459.49</v>
      </c>
      <c r="P252" s="459"/>
      <c r="Q252" s="249"/>
    </row>
    <row r="253" spans="2:20" s="15" customFormat="1" ht="31.5" customHeight="1" x14ac:dyDescent="0.25">
      <c r="B253" s="64" t="s">
        <v>257</v>
      </c>
      <c r="C253" s="85" t="s">
        <v>1367</v>
      </c>
      <c r="D253" s="174" t="s">
        <v>185</v>
      </c>
      <c r="E253" s="243">
        <v>861741</v>
      </c>
      <c r="F253" s="243">
        <v>904140</v>
      </c>
      <c r="G253" s="16">
        <f t="shared" ref="G253:G289" si="46">F253-E253</f>
        <v>42399</v>
      </c>
      <c r="H253" s="533" t="s">
        <v>1428</v>
      </c>
      <c r="I253" s="243">
        <f t="shared" si="44"/>
        <v>904140</v>
      </c>
      <c r="J253" s="16">
        <f t="shared" ref="J253:J289" si="47">I253-F253</f>
        <v>0</v>
      </c>
      <c r="K253" s="484"/>
      <c r="L253" s="243">
        <f>ROUND(I253,0)+300</f>
        <v>904440</v>
      </c>
      <c r="M253" s="16">
        <f t="shared" ref="M253:M289" si="48">L253-I253</f>
        <v>300</v>
      </c>
      <c r="N253" s="484" t="s">
        <v>1474</v>
      </c>
      <c r="O253" s="252">
        <v>331616.14000000007</v>
      </c>
      <c r="P253" s="405">
        <f t="shared" ref="P253:P289" si="49">O253/L253</f>
        <v>0.36665355358011598</v>
      </c>
      <c r="Q253" s="252"/>
      <c r="S253" s="247"/>
      <c r="T253" s="247"/>
    </row>
    <row r="254" spans="2:20" s="15" customFormat="1" ht="31.95" customHeight="1" x14ac:dyDescent="0.25">
      <c r="B254" s="64"/>
      <c r="C254" s="85" t="s">
        <v>1368</v>
      </c>
      <c r="D254" s="196" t="s">
        <v>710</v>
      </c>
      <c r="E254" s="289">
        <v>813750</v>
      </c>
      <c r="F254" s="289">
        <v>779351</v>
      </c>
      <c r="G254" s="16">
        <f t="shared" si="46"/>
        <v>-34399</v>
      </c>
      <c r="H254" s="534"/>
      <c r="I254" s="289">
        <f>ROUND(F254,0)+1321</f>
        <v>780672</v>
      </c>
      <c r="J254" s="16">
        <f t="shared" si="47"/>
        <v>1321</v>
      </c>
      <c r="K254" s="388" t="s">
        <v>1460</v>
      </c>
      <c r="L254" s="289">
        <f>ROUND(I254,0)</f>
        <v>780672</v>
      </c>
      <c r="M254" s="16">
        <f t="shared" si="48"/>
        <v>0</v>
      </c>
      <c r="N254" s="388"/>
      <c r="O254" s="512">
        <v>312166</v>
      </c>
      <c r="P254" s="405">
        <f t="shared" si="49"/>
        <v>0.39986831857681587</v>
      </c>
      <c r="Q254" s="252"/>
      <c r="S254" s="247"/>
      <c r="T254" s="247"/>
    </row>
    <row r="255" spans="2:20" s="15" customFormat="1" ht="15" customHeight="1" x14ac:dyDescent="0.25">
      <c r="B255" s="15" t="s">
        <v>369</v>
      </c>
      <c r="C255" s="85" t="s">
        <v>1369</v>
      </c>
      <c r="D255" s="174" t="s">
        <v>271</v>
      </c>
      <c r="E255" s="243">
        <v>51949</v>
      </c>
      <c r="F255" s="243">
        <v>51949</v>
      </c>
      <c r="G255" s="16">
        <f t="shared" si="46"/>
        <v>0</v>
      </c>
      <c r="H255" s="317"/>
      <c r="I255" s="243">
        <f t="shared" si="44"/>
        <v>51949</v>
      </c>
      <c r="J255" s="16">
        <f t="shared" si="47"/>
        <v>0</v>
      </c>
      <c r="K255" s="317"/>
      <c r="L255" s="243">
        <f t="shared" ref="L255:L257" si="50">ROUND(I255,0)</f>
        <v>51949</v>
      </c>
      <c r="M255" s="16">
        <f t="shared" si="48"/>
        <v>0</v>
      </c>
      <c r="N255" s="317"/>
      <c r="O255" s="252">
        <v>24871.47</v>
      </c>
      <c r="P255" s="405">
        <f t="shared" si="49"/>
        <v>0.47876706000115499</v>
      </c>
      <c r="Q255" s="252"/>
    </row>
    <row r="256" spans="2:20" s="15" customFormat="1" ht="16.2" customHeight="1" x14ac:dyDescent="0.25">
      <c r="B256" s="64" t="s">
        <v>321</v>
      </c>
      <c r="C256" s="85" t="s">
        <v>1370</v>
      </c>
      <c r="D256" s="174" t="s">
        <v>306</v>
      </c>
      <c r="E256" s="243">
        <v>41000</v>
      </c>
      <c r="F256" s="243">
        <v>41000</v>
      </c>
      <c r="G256" s="48">
        <f t="shared" si="46"/>
        <v>0</v>
      </c>
      <c r="H256" s="318"/>
      <c r="I256" s="243">
        <f t="shared" si="44"/>
        <v>41000</v>
      </c>
      <c r="J256" s="48">
        <f t="shared" si="47"/>
        <v>0</v>
      </c>
      <c r="K256" s="318"/>
      <c r="L256" s="243">
        <f t="shared" si="50"/>
        <v>41000</v>
      </c>
      <c r="M256" s="48">
        <f t="shared" si="48"/>
        <v>0</v>
      </c>
      <c r="N256" s="318"/>
      <c r="O256" s="252">
        <v>19160.21</v>
      </c>
      <c r="P256" s="405">
        <f t="shared" si="49"/>
        <v>0.46732219512195122</v>
      </c>
      <c r="Q256" s="252"/>
    </row>
    <row r="257" spans="2:19" s="10" customFormat="1" ht="30.6" customHeight="1" x14ac:dyDescent="0.25">
      <c r="B257" s="64" t="s">
        <v>257</v>
      </c>
      <c r="C257" s="85" t="s">
        <v>1371</v>
      </c>
      <c r="D257" s="174" t="s">
        <v>1299</v>
      </c>
      <c r="E257" s="243">
        <v>300000</v>
      </c>
      <c r="F257" s="243">
        <v>300000</v>
      </c>
      <c r="G257" s="57">
        <f t="shared" si="46"/>
        <v>0</v>
      </c>
      <c r="H257" s="318"/>
      <c r="I257" s="243">
        <f t="shared" si="44"/>
        <v>300000</v>
      </c>
      <c r="J257" s="57">
        <f t="shared" si="47"/>
        <v>0</v>
      </c>
      <c r="K257" s="352"/>
      <c r="L257" s="243">
        <f t="shared" si="50"/>
        <v>300000</v>
      </c>
      <c r="M257" s="57">
        <f t="shared" si="48"/>
        <v>0</v>
      </c>
      <c r="N257" s="352"/>
      <c r="O257" s="252">
        <v>0</v>
      </c>
      <c r="P257" s="405">
        <f t="shared" si="49"/>
        <v>0</v>
      </c>
      <c r="Q257" s="252"/>
    </row>
    <row r="258" spans="2:19" s="10" customFormat="1" ht="72" customHeight="1" x14ac:dyDescent="0.25">
      <c r="B258" s="64" t="s">
        <v>257</v>
      </c>
      <c r="C258" s="85" t="s">
        <v>1372</v>
      </c>
      <c r="D258" s="196" t="s">
        <v>806</v>
      </c>
      <c r="E258" s="289">
        <v>542914</v>
      </c>
      <c r="F258" s="243">
        <v>542914</v>
      </c>
      <c r="G258" s="57">
        <f t="shared" si="46"/>
        <v>0</v>
      </c>
      <c r="H258" s="423" t="s">
        <v>1426</v>
      </c>
      <c r="I258" s="243">
        <f>ROUND(F258,0)+14715</f>
        <v>557629</v>
      </c>
      <c r="J258" s="57">
        <f t="shared" si="47"/>
        <v>14715</v>
      </c>
      <c r="K258" s="352" t="s">
        <v>1459</v>
      </c>
      <c r="L258" s="243">
        <f>ROUND(I258,0)</f>
        <v>557629</v>
      </c>
      <c r="M258" s="57">
        <f t="shared" si="48"/>
        <v>0</v>
      </c>
      <c r="N258" s="513"/>
      <c r="O258" s="252">
        <v>413914.42</v>
      </c>
      <c r="P258" s="442">
        <f t="shared" si="49"/>
        <v>0.74227563487551751</v>
      </c>
      <c r="Q258" s="252"/>
    </row>
    <row r="259" spans="2:19" s="10" customFormat="1" ht="18" customHeight="1" x14ac:dyDescent="0.25">
      <c r="B259" s="63" t="s">
        <v>286</v>
      </c>
      <c r="C259" s="85" t="s">
        <v>1373</v>
      </c>
      <c r="D259" s="174" t="s">
        <v>304</v>
      </c>
      <c r="E259" s="243">
        <v>707203</v>
      </c>
      <c r="F259" s="243">
        <v>727923</v>
      </c>
      <c r="G259" s="16">
        <f t="shared" si="46"/>
        <v>20720</v>
      </c>
      <c r="H259" s="533" t="s">
        <v>1429</v>
      </c>
      <c r="I259" s="243">
        <f t="shared" si="44"/>
        <v>727923</v>
      </c>
      <c r="J259" s="16">
        <f t="shared" si="47"/>
        <v>0</v>
      </c>
      <c r="K259" s="533"/>
      <c r="L259" s="243">
        <f t="shared" ref="L259:L261" si="51">ROUND(I259,0)</f>
        <v>727923</v>
      </c>
      <c r="M259" s="16">
        <f t="shared" si="48"/>
        <v>0</v>
      </c>
      <c r="N259" s="533"/>
      <c r="O259" s="252">
        <v>285938.31</v>
      </c>
      <c r="P259" s="405">
        <f t="shared" si="49"/>
        <v>0.39281395147563686</v>
      </c>
      <c r="Q259" s="252"/>
    </row>
    <row r="260" spans="2:19" s="10" customFormat="1" ht="32.4" customHeight="1" x14ac:dyDescent="0.25">
      <c r="B260" s="63"/>
      <c r="C260" s="85" t="s">
        <v>1374</v>
      </c>
      <c r="D260" s="196" t="s">
        <v>862</v>
      </c>
      <c r="E260" s="289">
        <v>451553</v>
      </c>
      <c r="F260" s="289">
        <v>428433</v>
      </c>
      <c r="G260" s="16">
        <f t="shared" si="46"/>
        <v>-23120</v>
      </c>
      <c r="H260" s="534"/>
      <c r="I260" s="289">
        <f t="shared" si="44"/>
        <v>428433</v>
      </c>
      <c r="J260" s="16">
        <f t="shared" si="47"/>
        <v>0</v>
      </c>
      <c r="K260" s="534"/>
      <c r="L260" s="289">
        <f t="shared" si="51"/>
        <v>428433</v>
      </c>
      <c r="M260" s="16">
        <f t="shared" si="48"/>
        <v>0</v>
      </c>
      <c r="N260" s="534"/>
      <c r="O260" s="512">
        <v>190546</v>
      </c>
      <c r="P260" s="405">
        <f t="shared" si="49"/>
        <v>0.44475098790242584</v>
      </c>
      <c r="Q260" s="252"/>
      <c r="S260" s="480"/>
    </row>
    <row r="261" spans="2:19" s="10" customFormat="1" ht="15" customHeight="1" x14ac:dyDescent="0.25">
      <c r="B261" s="64" t="s">
        <v>368</v>
      </c>
      <c r="C261" s="85" t="s">
        <v>1375</v>
      </c>
      <c r="D261" s="174" t="s">
        <v>315</v>
      </c>
      <c r="E261" s="243">
        <v>263797</v>
      </c>
      <c r="F261" s="243">
        <v>263797</v>
      </c>
      <c r="G261" s="48">
        <f t="shared" si="46"/>
        <v>0</v>
      </c>
      <c r="H261" s="316"/>
      <c r="I261" s="243">
        <f t="shared" si="44"/>
        <v>263797</v>
      </c>
      <c r="J261" s="48">
        <f t="shared" si="47"/>
        <v>0</v>
      </c>
      <c r="K261" s="316"/>
      <c r="L261" s="243">
        <f t="shared" si="51"/>
        <v>263797</v>
      </c>
      <c r="M261" s="48">
        <f t="shared" si="48"/>
        <v>0</v>
      </c>
      <c r="N261" s="316"/>
      <c r="O261" s="252">
        <v>94027.19</v>
      </c>
      <c r="P261" s="405">
        <f t="shared" si="49"/>
        <v>0.3564376774565291</v>
      </c>
      <c r="Q261" s="252"/>
    </row>
    <row r="262" spans="2:19" s="92" customFormat="1" ht="13.95" customHeight="1" x14ac:dyDescent="0.25">
      <c r="B262" s="63"/>
      <c r="C262" s="93" t="s">
        <v>1376</v>
      </c>
      <c r="D262" s="206" t="s">
        <v>323</v>
      </c>
      <c r="E262" s="294">
        <v>347950</v>
      </c>
      <c r="F262" s="294">
        <v>347950</v>
      </c>
      <c r="G262" s="109">
        <f t="shared" si="46"/>
        <v>0</v>
      </c>
      <c r="H262" s="109"/>
      <c r="I262" s="294">
        <f>I263+I264+I265</f>
        <v>349890</v>
      </c>
      <c r="J262" s="109">
        <f t="shared" si="47"/>
        <v>1940</v>
      </c>
      <c r="K262" s="109"/>
      <c r="L262" s="294">
        <f>L263+L264+L265</f>
        <v>349890</v>
      </c>
      <c r="M262" s="109">
        <f t="shared" si="48"/>
        <v>0</v>
      </c>
      <c r="N262" s="109"/>
      <c r="O262" s="424">
        <f>O263+O264+O265</f>
        <v>123121.23999999999</v>
      </c>
      <c r="P262" s="468">
        <f t="shared" si="49"/>
        <v>0.35188556403441079</v>
      </c>
      <c r="Q262" s="424"/>
    </row>
    <row r="263" spans="2:19" s="10" customFormat="1" ht="12" customHeight="1" x14ac:dyDescent="0.25">
      <c r="B263" s="62" t="s">
        <v>367</v>
      </c>
      <c r="C263" s="90" t="s">
        <v>1377</v>
      </c>
      <c r="D263" s="174" t="s">
        <v>878</v>
      </c>
      <c r="E263" s="243">
        <v>100105</v>
      </c>
      <c r="F263" s="243">
        <v>100105</v>
      </c>
      <c r="G263" s="57">
        <f t="shared" si="46"/>
        <v>0</v>
      </c>
      <c r="H263" s="316"/>
      <c r="I263" s="243">
        <f>ROUND(F263,0)+1940</f>
        <v>102045</v>
      </c>
      <c r="J263" s="57">
        <f t="shared" si="47"/>
        <v>1940</v>
      </c>
      <c r="K263" s="316" t="s">
        <v>1464</v>
      </c>
      <c r="L263" s="243">
        <f>ROUND(I263,0)</f>
        <v>102045</v>
      </c>
      <c r="M263" s="57">
        <f t="shared" si="48"/>
        <v>0</v>
      </c>
      <c r="N263" s="316"/>
      <c r="O263" s="252">
        <v>44140.24</v>
      </c>
      <c r="P263" s="405">
        <f t="shared" si="49"/>
        <v>0.43255661717869565</v>
      </c>
      <c r="Q263" s="252"/>
    </row>
    <row r="264" spans="2:19" s="9" customFormat="1" ht="13.95" customHeight="1" x14ac:dyDescent="0.25">
      <c r="B264" s="63" t="s">
        <v>322</v>
      </c>
      <c r="C264" s="90" t="s">
        <v>1378</v>
      </c>
      <c r="D264" s="174" t="s">
        <v>324</v>
      </c>
      <c r="E264" s="243">
        <v>232189</v>
      </c>
      <c r="F264" s="243">
        <v>232189</v>
      </c>
      <c r="G264" s="57">
        <f t="shared" si="46"/>
        <v>0</v>
      </c>
      <c r="H264" s="335"/>
      <c r="I264" s="243">
        <f>ROUND(F264,0)</f>
        <v>232189</v>
      </c>
      <c r="J264" s="57">
        <f t="shared" si="47"/>
        <v>0</v>
      </c>
      <c r="K264" s="335"/>
      <c r="L264" s="243">
        <f>ROUND(I264,0)</f>
        <v>232189</v>
      </c>
      <c r="M264" s="57">
        <f t="shared" si="48"/>
        <v>0</v>
      </c>
      <c r="N264" s="335"/>
      <c r="O264" s="252">
        <v>72393</v>
      </c>
      <c r="P264" s="405">
        <f t="shared" si="49"/>
        <v>0.31178479600670145</v>
      </c>
      <c r="Q264" s="252"/>
      <c r="S264" s="479"/>
    </row>
    <row r="265" spans="2:19" s="9" customFormat="1" ht="13.95" customHeight="1" x14ac:dyDescent="0.25">
      <c r="B265" s="63"/>
      <c r="C265" s="90" t="s">
        <v>1379</v>
      </c>
      <c r="D265" s="196" t="s">
        <v>861</v>
      </c>
      <c r="E265" s="289">
        <v>15656</v>
      </c>
      <c r="F265" s="289">
        <v>15656</v>
      </c>
      <c r="G265" s="57">
        <f t="shared" si="46"/>
        <v>0</v>
      </c>
      <c r="H265" s="339"/>
      <c r="I265" s="289">
        <f>ROUND(F265,0)</f>
        <v>15656</v>
      </c>
      <c r="J265" s="57">
        <f t="shared" si="47"/>
        <v>0</v>
      </c>
      <c r="K265" s="339"/>
      <c r="L265" s="289">
        <f>ROUND(I265,0)</f>
        <v>15656</v>
      </c>
      <c r="M265" s="57">
        <f t="shared" si="48"/>
        <v>0</v>
      </c>
      <c r="N265" s="339"/>
      <c r="O265" s="512">
        <v>6588</v>
      </c>
      <c r="P265" s="405">
        <f t="shared" si="49"/>
        <v>0.42079713847726113</v>
      </c>
      <c r="Q265" s="252"/>
    </row>
    <row r="266" spans="2:19" ht="18" customHeight="1" x14ac:dyDescent="0.25">
      <c r="C266" s="88" t="s">
        <v>1256</v>
      </c>
      <c r="D266" s="192" t="s">
        <v>698</v>
      </c>
      <c r="E266" s="287">
        <v>1819829</v>
      </c>
      <c r="F266" s="287">
        <v>1819829</v>
      </c>
      <c r="G266" s="28">
        <f t="shared" si="46"/>
        <v>0</v>
      </c>
      <c r="H266" s="28"/>
      <c r="I266" s="287">
        <f>I267+I268</f>
        <v>1819829</v>
      </c>
      <c r="J266" s="28">
        <f t="shared" si="47"/>
        <v>0</v>
      </c>
      <c r="K266" s="28"/>
      <c r="L266" s="287">
        <f>L267+L268</f>
        <v>1819529</v>
      </c>
      <c r="M266" s="28">
        <f t="shared" si="48"/>
        <v>-300</v>
      </c>
      <c r="N266" s="28"/>
      <c r="O266" s="415">
        <f>O267+O268</f>
        <v>904975.08000000007</v>
      </c>
      <c r="P266" s="449">
        <f t="shared" si="49"/>
        <v>0.49736776935129917</v>
      </c>
      <c r="Q266" s="415"/>
    </row>
    <row r="267" spans="2:19" ht="13.5" customHeight="1" x14ac:dyDescent="0.25">
      <c r="C267" s="85" t="s">
        <v>1380</v>
      </c>
      <c r="D267" s="174" t="s">
        <v>183</v>
      </c>
      <c r="E267" s="243">
        <v>735359</v>
      </c>
      <c r="F267" s="243">
        <v>735359</v>
      </c>
      <c r="G267" s="16">
        <f t="shared" si="46"/>
        <v>0</v>
      </c>
      <c r="H267" s="316"/>
      <c r="I267" s="243">
        <f>ROUND(F267,0)</f>
        <v>735359</v>
      </c>
      <c r="J267" s="16">
        <f t="shared" si="47"/>
        <v>0</v>
      </c>
      <c r="K267" s="316"/>
      <c r="L267" s="243">
        <f>ROUND(I267,0)</f>
        <v>735359</v>
      </c>
      <c r="M267" s="16">
        <f t="shared" si="48"/>
        <v>0</v>
      </c>
      <c r="N267" s="316"/>
      <c r="O267" s="252">
        <v>410943.39</v>
      </c>
      <c r="P267" s="405">
        <f t="shared" si="49"/>
        <v>0.55883369891440782</v>
      </c>
      <c r="Q267" s="252"/>
    </row>
    <row r="268" spans="2:19" ht="25.95" customHeight="1" x14ac:dyDescent="0.25">
      <c r="C268" s="85" t="s">
        <v>1380</v>
      </c>
      <c r="D268" s="174" t="s">
        <v>185</v>
      </c>
      <c r="E268" s="243">
        <v>1084470</v>
      </c>
      <c r="F268" s="243">
        <v>1084470</v>
      </c>
      <c r="G268" s="16">
        <f t="shared" si="46"/>
        <v>0</v>
      </c>
      <c r="H268" s="390"/>
      <c r="I268" s="243">
        <f>ROUND(F268,0)</f>
        <v>1084470</v>
      </c>
      <c r="J268" s="16">
        <f t="shared" si="47"/>
        <v>0</v>
      </c>
      <c r="K268" s="390"/>
      <c r="L268" s="243">
        <f>ROUND(I268,0)-300</f>
        <v>1084170</v>
      </c>
      <c r="M268" s="16">
        <f t="shared" si="48"/>
        <v>-300</v>
      </c>
      <c r="N268" s="390" t="s">
        <v>1474</v>
      </c>
      <c r="O268" s="252">
        <v>494031.69</v>
      </c>
      <c r="P268" s="405">
        <f t="shared" si="49"/>
        <v>0.45567732920114007</v>
      </c>
      <c r="Q268" s="403"/>
    </row>
    <row r="269" spans="2:19" ht="16.2" customHeight="1" x14ac:dyDescent="0.25">
      <c r="C269" s="91" t="s">
        <v>1381</v>
      </c>
      <c r="D269" s="192" t="s">
        <v>196</v>
      </c>
      <c r="E269" s="287">
        <v>845947</v>
      </c>
      <c r="F269" s="287">
        <v>845947</v>
      </c>
      <c r="G269" s="28">
        <f t="shared" si="46"/>
        <v>0</v>
      </c>
      <c r="H269" s="319"/>
      <c r="I269" s="287">
        <f>I270+I271</f>
        <v>845947</v>
      </c>
      <c r="J269" s="28">
        <f t="shared" si="47"/>
        <v>0</v>
      </c>
      <c r="K269" s="319"/>
      <c r="L269" s="287">
        <f>L270+L271</f>
        <v>845947</v>
      </c>
      <c r="M269" s="28">
        <f t="shared" si="48"/>
        <v>0</v>
      </c>
      <c r="N269" s="319"/>
      <c r="O269" s="415">
        <f>O270+O271</f>
        <v>331626.59999999998</v>
      </c>
      <c r="P269" s="449">
        <f t="shared" si="49"/>
        <v>0.39201817607958889</v>
      </c>
      <c r="Q269" s="415"/>
    </row>
    <row r="270" spans="2:19" ht="16.5" customHeight="1" x14ac:dyDescent="0.25">
      <c r="B270" s="62" t="s">
        <v>505</v>
      </c>
      <c r="C270" s="85" t="s">
        <v>1383</v>
      </c>
      <c r="D270" s="174" t="s">
        <v>183</v>
      </c>
      <c r="E270" s="243">
        <v>313283</v>
      </c>
      <c r="F270" s="243">
        <v>313283</v>
      </c>
      <c r="G270" s="16">
        <f t="shared" si="46"/>
        <v>0</v>
      </c>
      <c r="H270" s="318"/>
      <c r="I270" s="243">
        <f t="shared" ref="I270:I279" si="52">ROUND(F270,0)</f>
        <v>313283</v>
      </c>
      <c r="J270" s="16">
        <f t="shared" si="47"/>
        <v>0</v>
      </c>
      <c r="K270" s="318"/>
      <c r="L270" s="243">
        <f t="shared" ref="L270:L271" si="53">ROUND(I270,0)</f>
        <v>313283</v>
      </c>
      <c r="M270" s="16">
        <f t="shared" si="48"/>
        <v>0</v>
      </c>
      <c r="N270" s="318"/>
      <c r="O270" s="252">
        <v>162340.89000000001</v>
      </c>
      <c r="P270" s="405">
        <f t="shared" si="49"/>
        <v>0.51819246495979676</v>
      </c>
      <c r="Q270" s="252"/>
    </row>
    <row r="271" spans="2:19" ht="16.5" customHeight="1" x14ac:dyDescent="0.25">
      <c r="B271" s="62" t="s">
        <v>258</v>
      </c>
      <c r="C271" s="85" t="s">
        <v>1382</v>
      </c>
      <c r="D271" s="174" t="s">
        <v>261</v>
      </c>
      <c r="E271" s="243">
        <v>532664</v>
      </c>
      <c r="F271" s="243">
        <v>532664</v>
      </c>
      <c r="G271" s="16">
        <f t="shared" si="46"/>
        <v>0</v>
      </c>
      <c r="H271" s="316"/>
      <c r="I271" s="243">
        <f t="shared" si="52"/>
        <v>532664</v>
      </c>
      <c r="J271" s="16">
        <f t="shared" si="47"/>
        <v>0</v>
      </c>
      <c r="K271" s="316"/>
      <c r="L271" s="243">
        <f t="shared" si="53"/>
        <v>532664</v>
      </c>
      <c r="M271" s="16">
        <f t="shared" si="48"/>
        <v>0</v>
      </c>
      <c r="N271" s="316"/>
      <c r="O271" s="252">
        <v>169285.71</v>
      </c>
      <c r="P271" s="405">
        <f t="shared" si="49"/>
        <v>0.31780955724434162</v>
      </c>
      <c r="Q271" s="403"/>
    </row>
    <row r="272" spans="2:19" ht="152.25" customHeight="1" x14ac:dyDescent="0.25">
      <c r="B272" s="62" t="s">
        <v>268</v>
      </c>
      <c r="C272" s="91" t="s">
        <v>1384</v>
      </c>
      <c r="D272" s="192" t="s">
        <v>788</v>
      </c>
      <c r="E272" s="42">
        <v>508477</v>
      </c>
      <c r="F272" s="42">
        <v>540405</v>
      </c>
      <c r="G272" s="22">
        <f t="shared" si="46"/>
        <v>31928</v>
      </c>
      <c r="H272" s="342" t="s">
        <v>1423</v>
      </c>
      <c r="I272" s="42">
        <f>ROUND(F272,0)+4455</f>
        <v>544860</v>
      </c>
      <c r="J272" s="22">
        <f t="shared" si="47"/>
        <v>4455</v>
      </c>
      <c r="K272" s="342" t="s">
        <v>1468</v>
      </c>
      <c r="L272" s="42">
        <f>ROUND(I272,0)+44477+8781+38003+5643</f>
        <v>641764</v>
      </c>
      <c r="M272" s="22">
        <f t="shared" si="48"/>
        <v>96904</v>
      </c>
      <c r="N272" s="342" t="s">
        <v>1481</v>
      </c>
      <c r="O272" s="257">
        <v>168480.97999999998</v>
      </c>
      <c r="P272" s="418">
        <f t="shared" si="49"/>
        <v>0.26252793861918083</v>
      </c>
      <c r="Q272" s="257" t="s">
        <v>768</v>
      </c>
      <c r="S272" s="425"/>
    </row>
    <row r="273" spans="2:18" ht="25.95" customHeight="1" x14ac:dyDescent="0.25">
      <c r="B273" s="62"/>
      <c r="C273" s="91" t="s">
        <v>1385</v>
      </c>
      <c r="D273" s="192" t="s">
        <v>787</v>
      </c>
      <c r="E273" s="291">
        <v>3000</v>
      </c>
      <c r="F273" s="42">
        <v>3000</v>
      </c>
      <c r="G273" s="22">
        <f t="shared" si="46"/>
        <v>0</v>
      </c>
      <c r="H273" s="369"/>
      <c r="I273" s="42">
        <f t="shared" si="52"/>
        <v>3000</v>
      </c>
      <c r="J273" s="22">
        <f t="shared" si="47"/>
        <v>0</v>
      </c>
      <c r="K273" s="369"/>
      <c r="L273" s="42">
        <f t="shared" ref="L273:L279" si="54">ROUND(I273,0)</f>
        <v>3000</v>
      </c>
      <c r="M273" s="22">
        <f t="shared" si="48"/>
        <v>0</v>
      </c>
      <c r="N273" s="369"/>
      <c r="O273" s="257">
        <v>0</v>
      </c>
      <c r="P273" s="456">
        <f t="shared" si="49"/>
        <v>0</v>
      </c>
      <c r="Q273" s="257"/>
    </row>
    <row r="274" spans="2:18" ht="31.95" hidden="1" customHeight="1" outlineLevel="1" x14ac:dyDescent="0.25">
      <c r="B274" s="62" t="s">
        <v>387</v>
      </c>
      <c r="C274" s="91" t="s">
        <v>1386</v>
      </c>
      <c r="D274" s="269" t="s">
        <v>823</v>
      </c>
      <c r="E274" s="42">
        <v>0</v>
      </c>
      <c r="F274" s="42">
        <v>0</v>
      </c>
      <c r="G274" s="367">
        <f t="shared" si="46"/>
        <v>0</v>
      </c>
      <c r="H274" s="368" t="s">
        <v>709</v>
      </c>
      <c r="I274" s="42">
        <f t="shared" si="52"/>
        <v>0</v>
      </c>
      <c r="J274" s="367">
        <f t="shared" si="47"/>
        <v>0</v>
      </c>
      <c r="K274" s="368" t="s">
        <v>709</v>
      </c>
      <c r="L274" s="42">
        <f t="shared" si="54"/>
        <v>0</v>
      </c>
      <c r="M274" s="367">
        <f t="shared" si="48"/>
        <v>0</v>
      </c>
      <c r="N274" s="368" t="s">
        <v>709</v>
      </c>
      <c r="O274" s="501">
        <v>0</v>
      </c>
      <c r="P274" s="418" t="e">
        <f t="shared" si="49"/>
        <v>#DIV/0!</v>
      </c>
      <c r="Q274" s="257" t="s">
        <v>880</v>
      </c>
    </row>
    <row r="275" spans="2:18" ht="27" hidden="1" customHeight="1" outlineLevel="1" x14ac:dyDescent="0.25">
      <c r="B275" s="62" t="s">
        <v>386</v>
      </c>
      <c r="C275" s="91" t="s">
        <v>1387</v>
      </c>
      <c r="D275" s="269" t="s">
        <v>349</v>
      </c>
      <c r="E275" s="42">
        <v>0</v>
      </c>
      <c r="F275" s="42">
        <v>0</v>
      </c>
      <c r="G275" s="367">
        <f t="shared" si="46"/>
        <v>0</v>
      </c>
      <c r="H275" s="368"/>
      <c r="I275" s="42">
        <f t="shared" si="52"/>
        <v>0</v>
      </c>
      <c r="J275" s="367">
        <f t="shared" si="47"/>
        <v>0</v>
      </c>
      <c r="K275" s="368"/>
      <c r="L275" s="42">
        <f t="shared" si="54"/>
        <v>0</v>
      </c>
      <c r="M275" s="367">
        <f t="shared" si="48"/>
        <v>0</v>
      </c>
      <c r="N275" s="368"/>
      <c r="O275" s="501">
        <v>0</v>
      </c>
      <c r="P275" s="418" t="e">
        <f t="shared" si="49"/>
        <v>#DIV/0!</v>
      </c>
      <c r="Q275" s="257" t="s">
        <v>880</v>
      </c>
    </row>
    <row r="276" spans="2:18" ht="57.6" hidden="1" customHeight="1" outlineLevel="1" x14ac:dyDescent="0.25">
      <c r="B276" s="62" t="s">
        <v>503</v>
      </c>
      <c r="C276" s="91" t="s">
        <v>1388</v>
      </c>
      <c r="D276" s="270" t="s">
        <v>681</v>
      </c>
      <c r="E276" s="42">
        <v>0</v>
      </c>
      <c r="F276" s="42">
        <v>0</v>
      </c>
      <c r="G276" s="97">
        <f t="shared" si="46"/>
        <v>0</v>
      </c>
      <c r="H276" s="369"/>
      <c r="I276" s="42">
        <f t="shared" si="52"/>
        <v>0</v>
      </c>
      <c r="J276" s="97">
        <f t="shared" si="47"/>
        <v>0</v>
      </c>
      <c r="K276" s="369"/>
      <c r="L276" s="42">
        <f t="shared" si="54"/>
        <v>0</v>
      </c>
      <c r="M276" s="97">
        <f t="shared" si="48"/>
        <v>0</v>
      </c>
      <c r="N276" s="369"/>
      <c r="O276" s="501">
        <v>0</v>
      </c>
      <c r="P276" s="418" t="e">
        <f t="shared" si="49"/>
        <v>#DIV/0!</v>
      </c>
      <c r="Q276" s="257" t="s">
        <v>880</v>
      </c>
    </row>
    <row r="277" spans="2:18" ht="30.6" customHeight="1" collapsed="1" x14ac:dyDescent="0.25">
      <c r="B277" s="62" t="s">
        <v>868</v>
      </c>
      <c r="C277" s="88" t="s">
        <v>1386</v>
      </c>
      <c r="D277" s="493" t="s">
        <v>866</v>
      </c>
      <c r="E277" s="312">
        <v>5600179</v>
      </c>
      <c r="F277" s="42">
        <v>5600179</v>
      </c>
      <c r="G277" s="97">
        <f t="shared" si="46"/>
        <v>0</v>
      </c>
      <c r="H277" s="391"/>
      <c r="I277" s="42">
        <f t="shared" si="52"/>
        <v>5600179</v>
      </c>
      <c r="J277" s="97">
        <f t="shared" si="47"/>
        <v>0</v>
      </c>
      <c r="K277" s="391"/>
      <c r="L277" s="42">
        <f t="shared" si="54"/>
        <v>5600179</v>
      </c>
      <c r="M277" s="97">
        <f t="shared" si="48"/>
        <v>0</v>
      </c>
      <c r="N277" s="391"/>
      <c r="O277" s="257">
        <v>0</v>
      </c>
      <c r="P277" s="469">
        <f t="shared" si="49"/>
        <v>0</v>
      </c>
      <c r="Q277" s="257" t="s">
        <v>1288</v>
      </c>
    </row>
    <row r="278" spans="2:18" ht="55.2" customHeight="1" x14ac:dyDescent="0.25">
      <c r="B278" s="62" t="s">
        <v>1302</v>
      </c>
      <c r="C278" s="88" t="s">
        <v>1387</v>
      </c>
      <c r="D278" s="265" t="s">
        <v>1395</v>
      </c>
      <c r="E278" s="301">
        <v>267067</v>
      </c>
      <c r="F278" s="301">
        <v>267067</v>
      </c>
      <c r="G278" s="97">
        <f t="shared" si="46"/>
        <v>0</v>
      </c>
      <c r="H278" s="392"/>
      <c r="I278" s="301">
        <f t="shared" si="52"/>
        <v>267067</v>
      </c>
      <c r="J278" s="97">
        <f t="shared" si="47"/>
        <v>0</v>
      </c>
      <c r="K278" s="392"/>
      <c r="L278" s="301">
        <f t="shared" si="54"/>
        <v>267067</v>
      </c>
      <c r="M278" s="97">
        <f t="shared" si="48"/>
        <v>0</v>
      </c>
      <c r="N278" s="392"/>
      <c r="O278" s="257">
        <v>0</v>
      </c>
      <c r="P278" s="447">
        <f t="shared" si="49"/>
        <v>0</v>
      </c>
      <c r="Q278" s="257"/>
    </row>
    <row r="279" spans="2:18" ht="31.5" customHeight="1" thickBot="1" x14ac:dyDescent="0.3">
      <c r="B279" s="274" t="s">
        <v>1410</v>
      </c>
      <c r="C279" s="88" t="s">
        <v>1388</v>
      </c>
      <c r="D279" s="265" t="s">
        <v>1398</v>
      </c>
      <c r="E279" s="301">
        <v>285277</v>
      </c>
      <c r="F279" s="301">
        <v>285277</v>
      </c>
      <c r="G279" s="97">
        <f t="shared" si="46"/>
        <v>0</v>
      </c>
      <c r="H279" s="392"/>
      <c r="I279" s="301">
        <f t="shared" si="52"/>
        <v>285277</v>
      </c>
      <c r="J279" s="97">
        <f t="shared" si="47"/>
        <v>0</v>
      </c>
      <c r="K279" s="392"/>
      <c r="L279" s="301">
        <f t="shared" si="54"/>
        <v>285277</v>
      </c>
      <c r="M279" s="97">
        <f t="shared" si="48"/>
        <v>0</v>
      </c>
      <c r="N279" s="392"/>
      <c r="O279" s="257">
        <f>5783.57-770</f>
        <v>5013.57</v>
      </c>
      <c r="P279" s="447">
        <f t="shared" si="49"/>
        <v>1.7574392607886367E-2</v>
      </c>
      <c r="Q279" s="257"/>
    </row>
    <row r="280" spans="2:18" ht="27" hidden="1" customHeight="1" outlineLevel="1" x14ac:dyDescent="0.25">
      <c r="C280" s="88" t="s">
        <v>1392</v>
      </c>
      <c r="D280" s="192" t="s">
        <v>294</v>
      </c>
      <c r="E280" s="290">
        <v>0</v>
      </c>
      <c r="F280" s="290">
        <v>0</v>
      </c>
      <c r="G280" s="22">
        <f t="shared" si="46"/>
        <v>0</v>
      </c>
      <c r="H280" s="393"/>
      <c r="I280" s="290">
        <f>I281+I282</f>
        <v>0</v>
      </c>
      <c r="J280" s="22">
        <f t="shared" si="47"/>
        <v>0</v>
      </c>
      <c r="K280" s="393"/>
      <c r="L280" s="290">
        <f>L281+L282</f>
        <v>0</v>
      </c>
      <c r="M280" s="22">
        <f t="shared" si="48"/>
        <v>0</v>
      </c>
      <c r="N280" s="393"/>
      <c r="O280" s="500">
        <f>O281+O282</f>
        <v>0</v>
      </c>
      <c r="P280" s="439" t="e">
        <f t="shared" si="49"/>
        <v>#DIV/0!</v>
      </c>
      <c r="Q280" s="262"/>
    </row>
    <row r="281" spans="2:18" ht="14.4" hidden="1" customHeight="1" outlineLevel="1" x14ac:dyDescent="0.25">
      <c r="B281" s="62" t="s">
        <v>298</v>
      </c>
      <c r="C281" s="29" t="s">
        <v>1393</v>
      </c>
      <c r="D281" s="26" t="s">
        <v>362</v>
      </c>
      <c r="E281" s="282"/>
      <c r="F281" s="282">
        <v>0</v>
      </c>
      <c r="G281" s="57">
        <f t="shared" si="46"/>
        <v>0</v>
      </c>
      <c r="H281" s="352" t="s">
        <v>709</v>
      </c>
      <c r="I281" s="282">
        <f>ROUND(G281,0)</f>
        <v>0</v>
      </c>
      <c r="J281" s="57">
        <f t="shared" si="47"/>
        <v>0</v>
      </c>
      <c r="K281" s="352" t="s">
        <v>709</v>
      </c>
      <c r="L281" s="282">
        <f>ROUND(J281,0)</f>
        <v>0</v>
      </c>
      <c r="M281" s="57">
        <f t="shared" si="48"/>
        <v>0</v>
      </c>
      <c r="N281" s="352" t="s">
        <v>709</v>
      </c>
      <c r="O281" s="498">
        <v>0</v>
      </c>
      <c r="P281" s="407" t="e">
        <f t="shared" si="49"/>
        <v>#DIV/0!</v>
      </c>
      <c r="Q281" s="57"/>
    </row>
    <row r="282" spans="2:18" s="9" customFormat="1" ht="15" hidden="1" customHeight="1" outlineLevel="1" x14ac:dyDescent="0.25">
      <c r="B282" s="62" t="s">
        <v>372</v>
      </c>
      <c r="C282" s="29" t="s">
        <v>1394</v>
      </c>
      <c r="D282" s="26" t="s">
        <v>344</v>
      </c>
      <c r="E282" s="282"/>
      <c r="F282" s="282">
        <v>0</v>
      </c>
      <c r="G282" s="57">
        <f t="shared" si="46"/>
        <v>0</v>
      </c>
      <c r="H282" s="352"/>
      <c r="I282" s="282">
        <f>ROUND(G282,0)</f>
        <v>0</v>
      </c>
      <c r="J282" s="57">
        <f t="shared" si="47"/>
        <v>0</v>
      </c>
      <c r="K282" s="352"/>
      <c r="L282" s="282">
        <f>ROUND(J282,0)</f>
        <v>0</v>
      </c>
      <c r="M282" s="57">
        <f t="shared" si="48"/>
        <v>0</v>
      </c>
      <c r="N282" s="352"/>
      <c r="O282" s="498">
        <v>0</v>
      </c>
      <c r="P282" s="407" t="e">
        <f t="shared" si="49"/>
        <v>#DIV/0!</v>
      </c>
      <c r="Q282" s="57"/>
    </row>
    <row r="283" spans="2:18" s="9" customFormat="1" ht="17.399999999999999" hidden="1" customHeight="1" outlineLevel="1" x14ac:dyDescent="0.25">
      <c r="C283" s="84" t="s">
        <v>82</v>
      </c>
      <c r="D283" s="187" t="s">
        <v>198</v>
      </c>
      <c r="E283" s="277">
        <v>0</v>
      </c>
      <c r="F283" s="277">
        <v>0</v>
      </c>
      <c r="G283" s="17">
        <f t="shared" si="46"/>
        <v>0</v>
      </c>
      <c r="H283" s="329"/>
      <c r="I283" s="277">
        <f>SUM(I284:I285)</f>
        <v>0</v>
      </c>
      <c r="J283" s="17">
        <f t="shared" si="47"/>
        <v>0</v>
      </c>
      <c r="K283" s="329"/>
      <c r="L283" s="277">
        <f>SUM(L284:L285)</f>
        <v>0</v>
      </c>
      <c r="M283" s="17">
        <f t="shared" si="48"/>
        <v>0</v>
      </c>
      <c r="N283" s="329"/>
      <c r="O283" s="499">
        <f>SUM(O284:O285)</f>
        <v>0</v>
      </c>
      <c r="P283" s="432" t="e">
        <f t="shared" si="49"/>
        <v>#DIV/0!</v>
      </c>
      <c r="Q283" s="17"/>
    </row>
    <row r="284" spans="2:18" ht="17.25" hidden="1" customHeight="1" outlineLevel="1" x14ac:dyDescent="0.25">
      <c r="C284" s="83" t="s">
        <v>84</v>
      </c>
      <c r="D284" s="178" t="s">
        <v>199</v>
      </c>
      <c r="E284" s="42"/>
      <c r="F284" s="42"/>
      <c r="G284" s="22">
        <f t="shared" si="46"/>
        <v>0</v>
      </c>
      <c r="H284" s="342"/>
      <c r="I284" s="42"/>
      <c r="J284" s="22">
        <f t="shared" si="47"/>
        <v>0</v>
      </c>
      <c r="K284" s="342"/>
      <c r="L284" s="42"/>
      <c r="M284" s="22">
        <f t="shared" si="48"/>
        <v>0</v>
      </c>
      <c r="N284" s="342"/>
      <c r="O284" s="501"/>
      <c r="P284" s="418" t="e">
        <f t="shared" si="49"/>
        <v>#DIV/0!</v>
      </c>
      <c r="Q284" s="22"/>
    </row>
    <row r="285" spans="2:18" ht="14.4" hidden="1" outlineLevel="1" thickBot="1" x14ac:dyDescent="0.3">
      <c r="C285" s="83" t="s">
        <v>85</v>
      </c>
      <c r="D285" s="178" t="s">
        <v>200</v>
      </c>
      <c r="E285" s="42"/>
      <c r="F285" s="42"/>
      <c r="G285" s="22">
        <f t="shared" si="46"/>
        <v>0</v>
      </c>
      <c r="H285" s="342"/>
      <c r="I285" s="42"/>
      <c r="J285" s="22">
        <f t="shared" si="47"/>
        <v>0</v>
      </c>
      <c r="K285" s="342"/>
      <c r="L285" s="42"/>
      <c r="M285" s="22">
        <f t="shared" si="48"/>
        <v>0</v>
      </c>
      <c r="N285" s="342"/>
      <c r="O285" s="501"/>
      <c r="P285" s="418" t="e">
        <f t="shared" si="49"/>
        <v>#DIV/0!</v>
      </c>
      <c r="Q285" s="22"/>
    </row>
    <row r="286" spans="2:18" s="9" customFormat="1" ht="30" customHeight="1" collapsed="1" thickBot="1" x14ac:dyDescent="0.3">
      <c r="C286" s="32"/>
      <c r="D286" s="208" t="s">
        <v>201</v>
      </c>
      <c r="E286" s="33">
        <v>71564822</v>
      </c>
      <c r="F286" s="33">
        <v>71620010</v>
      </c>
      <c r="G286" s="295">
        <f t="shared" si="46"/>
        <v>55188</v>
      </c>
      <c r="H286" s="295"/>
      <c r="I286" s="33">
        <f>I125+I135+I136+I141+I143+I180+I195+I215+I283</f>
        <v>71626326</v>
      </c>
      <c r="J286" s="295">
        <f t="shared" si="47"/>
        <v>6316</v>
      </c>
      <c r="K286" s="295"/>
      <c r="L286" s="33">
        <f>L125+L135+L136+L141+L143+L180+L195+L215+L283</f>
        <v>71734530</v>
      </c>
      <c r="M286" s="295">
        <f t="shared" si="48"/>
        <v>108204</v>
      </c>
      <c r="N286" s="295"/>
      <c r="O286" s="33">
        <f>O125+O135+O136+O141+O143+O180+O195+O215+O283</f>
        <v>23191281.310000002</v>
      </c>
      <c r="P286" s="470">
        <f t="shared" si="49"/>
        <v>0.32329313804662835</v>
      </c>
      <c r="Q286" s="33"/>
      <c r="R286" s="37"/>
    </row>
    <row r="287" spans="2:18" s="15" customFormat="1" ht="42.6" customHeight="1" thickBot="1" x14ac:dyDescent="0.3">
      <c r="C287" s="84" t="s">
        <v>107</v>
      </c>
      <c r="D287" s="187" t="s">
        <v>202</v>
      </c>
      <c r="E287" s="277">
        <v>3467034</v>
      </c>
      <c r="F287" s="277">
        <v>3467034</v>
      </c>
      <c r="G287" s="17">
        <f t="shared" si="46"/>
        <v>0</v>
      </c>
      <c r="H287" s="316"/>
      <c r="I287" s="277">
        <f>ROUND(F287,0)+191255</f>
        <v>3658289</v>
      </c>
      <c r="J287" s="17">
        <f t="shared" si="47"/>
        <v>191255</v>
      </c>
      <c r="K287" s="483" t="s">
        <v>1456</v>
      </c>
      <c r="L287" s="277">
        <f>ROUND(I287,0)+38052+6396</f>
        <v>3702737</v>
      </c>
      <c r="M287" s="17">
        <f t="shared" si="48"/>
        <v>44448</v>
      </c>
      <c r="N287" s="483" t="s">
        <v>1485</v>
      </c>
      <c r="O287" s="17">
        <v>1952271.76</v>
      </c>
      <c r="P287" s="432">
        <f t="shared" si="49"/>
        <v>0.5272509929816781</v>
      </c>
      <c r="Q287" s="17"/>
    </row>
    <row r="288" spans="2:18" ht="14.4" thickBot="1" x14ac:dyDescent="0.3">
      <c r="C288" s="32"/>
      <c r="D288" s="208" t="s">
        <v>203</v>
      </c>
      <c r="E288" s="296">
        <v>75031856</v>
      </c>
      <c r="F288" s="296">
        <v>75087044</v>
      </c>
      <c r="G288" s="34">
        <f t="shared" si="46"/>
        <v>55188</v>
      </c>
      <c r="H288" s="394"/>
      <c r="I288" s="296">
        <f>I286+I287</f>
        <v>75284615</v>
      </c>
      <c r="J288" s="34">
        <f t="shared" si="47"/>
        <v>197571</v>
      </c>
      <c r="K288" s="394"/>
      <c r="L288" s="296">
        <f>L286+L287</f>
        <v>75437267</v>
      </c>
      <c r="M288" s="34">
        <f t="shared" si="48"/>
        <v>152652</v>
      </c>
      <c r="N288" s="394"/>
      <c r="O288" s="34">
        <f>O286+O287</f>
        <v>25143553.070000004</v>
      </c>
      <c r="P288" s="471">
        <f t="shared" si="49"/>
        <v>0.33330413560713967</v>
      </c>
      <c r="Q288" s="34"/>
    </row>
    <row r="289" spans="3:17" ht="15" thickTop="1" thickBot="1" x14ac:dyDescent="0.3">
      <c r="C289" s="35" t="s">
        <v>204</v>
      </c>
      <c r="D289" s="209" t="s">
        <v>205</v>
      </c>
      <c r="E289" s="297">
        <v>64907.20000000298</v>
      </c>
      <c r="F289" s="297">
        <v>64906.8</v>
      </c>
      <c r="G289" s="36">
        <f t="shared" si="46"/>
        <v>-0.40000000297732186</v>
      </c>
      <c r="H289" s="395"/>
      <c r="I289" s="297">
        <f>I119-I288-0.2</f>
        <v>64906.8</v>
      </c>
      <c r="J289" s="36">
        <f t="shared" si="47"/>
        <v>0</v>
      </c>
      <c r="K289" s="395"/>
      <c r="L289" s="297">
        <f>L119-L288-0.2</f>
        <v>64673.8</v>
      </c>
      <c r="M289" s="36">
        <f t="shared" si="48"/>
        <v>-233</v>
      </c>
      <c r="N289" s="395"/>
      <c r="O289" s="36">
        <f>O119-O288-0.2</f>
        <v>10334202.759999983</v>
      </c>
      <c r="P289" s="472">
        <f t="shared" si="49"/>
        <v>159.78963289616479</v>
      </c>
      <c r="Q289" s="36"/>
    </row>
    <row r="290" spans="3:17" x14ac:dyDescent="0.25">
      <c r="O290" s="263"/>
    </row>
    <row r="291" spans="3:17" x14ac:dyDescent="0.25">
      <c r="H291" s="426" t="s">
        <v>341</v>
      </c>
      <c r="K291" s="426" t="s">
        <v>341</v>
      </c>
      <c r="N291" s="426"/>
      <c r="O291" s="503"/>
    </row>
    <row r="292" spans="3:17" x14ac:dyDescent="0.25">
      <c r="O292" s="514"/>
    </row>
    <row r="294" spans="3:17" x14ac:dyDescent="0.25">
      <c r="O294" s="99"/>
    </row>
    <row r="296" spans="3:17" x14ac:dyDescent="0.25">
      <c r="O296" s="515"/>
    </row>
    <row r="297" spans="3:17" x14ac:dyDescent="0.25">
      <c r="O297" s="515"/>
    </row>
  </sheetData>
  <mergeCells count="24">
    <mergeCell ref="N219:N220"/>
    <mergeCell ref="N259:N260"/>
    <mergeCell ref="P55:P56"/>
    <mergeCell ref="P150:P151"/>
    <mergeCell ref="O52:O53"/>
    <mergeCell ref="P52:P53"/>
    <mergeCell ref="O55:O56"/>
    <mergeCell ref="O150:O151"/>
    <mergeCell ref="C122:D122"/>
    <mergeCell ref="C123:D123"/>
    <mergeCell ref="N138:N139"/>
    <mergeCell ref="C2:D2"/>
    <mergeCell ref="C3:D3"/>
    <mergeCell ref="K259:K260"/>
    <mergeCell ref="K171:K172"/>
    <mergeCell ref="K219:K220"/>
    <mergeCell ref="K243:K244"/>
    <mergeCell ref="K138:K139"/>
    <mergeCell ref="H171:H172"/>
    <mergeCell ref="H253:H254"/>
    <mergeCell ref="H259:H260"/>
    <mergeCell ref="H243:H244"/>
    <mergeCell ref="H219:H220"/>
    <mergeCell ref="H191:H192"/>
  </mergeCells>
  <phoneticPr fontId="71" type="noConversion"/>
  <conditionalFormatting sqref="E289:G289">
    <cfRule type="cellIs" dxfId="5" priority="19" operator="lessThan">
      <formula>0</formula>
    </cfRule>
  </conditionalFormatting>
  <conditionalFormatting sqref="I289:J289">
    <cfRule type="cellIs" dxfId="4" priority="2" operator="lessThan">
      <formula>0</formula>
    </cfRule>
  </conditionalFormatting>
  <conditionalFormatting sqref="L289:M289">
    <cfRule type="cellIs" dxfId="3" priority="1" operator="lessThan">
      <formula>0</formula>
    </cfRule>
  </conditionalFormatting>
  <conditionalFormatting sqref="O289:Q289">
    <cfRule type="cellIs" dxfId="2" priority="8" operator="lessThan">
      <formula>0</formula>
    </cfRule>
  </conditionalFormatting>
  <pageMargins left="0.47244094488188981" right="0.47244094488188981" top="0.47244094488188981" bottom="0.47244094488188981" header="0.27559055118110237" footer="0.27559055118110237"/>
  <pageSetup paperSize="9" scale="85" fitToHeight="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12EA7-5A2B-4644-8D40-B5EFC535D84E}">
  <sheetPr codeName="Lapa26">
    <tabColor rgb="FFC4EB35"/>
    <pageSetUpPr fitToPage="1"/>
  </sheetPr>
  <dimension ref="A1:R130"/>
  <sheetViews>
    <sheetView tabSelected="1" zoomScale="90" zoomScaleNormal="90" workbookViewId="0">
      <selection activeCell="A81" sqref="A81"/>
    </sheetView>
  </sheetViews>
  <sheetFormatPr defaultColWidth="9" defaultRowHeight="13.2" outlineLevelRow="1" x14ac:dyDescent="0.25"/>
  <cols>
    <col min="1" max="1" width="59.875" style="128" customWidth="1"/>
    <col min="2" max="3" width="14.375" style="128" customWidth="1"/>
    <col min="4" max="4" width="14.875" style="128" customWidth="1"/>
    <col min="5" max="5" width="16.125" style="128" customWidth="1"/>
    <col min="6" max="6" width="9" style="128"/>
    <col min="7" max="7" width="15.25" style="128" customWidth="1"/>
    <col min="8" max="17" width="9" style="128"/>
    <col min="18" max="18" width="12" style="128" customWidth="1"/>
    <col min="19" max="19" width="54.625" style="128" customWidth="1"/>
    <col min="20" max="16384" width="9" style="128"/>
  </cols>
  <sheetData>
    <row r="1" spans="1:4" s="129" customFormat="1" x14ac:dyDescent="0.25"/>
    <row r="2" spans="1:4" s="129" customFormat="1" ht="13.8" thickBot="1" x14ac:dyDescent="0.3">
      <c r="B2" s="130" t="s">
        <v>739</v>
      </c>
      <c r="C2" s="131" t="s">
        <v>1492</v>
      </c>
      <c r="D2" s="131"/>
    </row>
    <row r="3" spans="1:4" s="129" customFormat="1" x14ac:dyDescent="0.25"/>
    <row r="5" spans="1:4" ht="57.6" customHeight="1" x14ac:dyDescent="0.25">
      <c r="A5" s="132" t="s">
        <v>740</v>
      </c>
      <c r="B5" s="133" t="s">
        <v>1471</v>
      </c>
      <c r="C5" s="133" t="str">
        <f>"Izpilde"&amp;" "&amp;$C$2</f>
        <v>Izpilde 2025.g. 1. pusgads</v>
      </c>
      <c r="D5" s="133" t="str">
        <f>"Ieņēmumu izpilde, %,"&amp;" "&amp;$C$2</f>
        <v>Ieņēmumu izpilde, %, 2025.g. 1. pusgads</v>
      </c>
    </row>
    <row r="6" spans="1:4" x14ac:dyDescent="0.25">
      <c r="A6" s="127" t="s">
        <v>741</v>
      </c>
      <c r="B6" s="134">
        <f>SUM(B7,B11:B15,B18:B19)</f>
        <v>62139592</v>
      </c>
      <c r="C6" s="134">
        <f>SUM(C7,C11:C15,C18:C19)</f>
        <v>28436356.659999993</v>
      </c>
      <c r="D6" s="135">
        <f t="shared" ref="D6:D19" si="0">C6/B6</f>
        <v>0.45762058849694398</v>
      </c>
    </row>
    <row r="7" spans="1:4" x14ac:dyDescent="0.25">
      <c r="A7" s="128" t="s">
        <v>742</v>
      </c>
      <c r="B7" s="136">
        <f>'2025.gada budzeta plans_apvieno'!L6</f>
        <v>41763189</v>
      </c>
      <c r="C7" s="136">
        <f>'2025.gada budzeta plans_apvieno'!O6</f>
        <v>19982339</v>
      </c>
      <c r="D7" s="137">
        <f t="shared" si="0"/>
        <v>0.4784677482363715</v>
      </c>
    </row>
    <row r="8" spans="1:4" outlineLevel="1" x14ac:dyDescent="0.25">
      <c r="A8" s="138" t="s">
        <v>743</v>
      </c>
      <c r="B8" s="139">
        <f>'2025.gada budzeta plans_apvieno'!L7</f>
        <v>38486849</v>
      </c>
      <c r="C8" s="139">
        <f>'2025.gada budzeta plans_apvieno'!O7</f>
        <v>17319085.059999999</v>
      </c>
      <c r="D8" s="140">
        <f t="shared" si="0"/>
        <v>0.45000007820853294</v>
      </c>
    </row>
    <row r="9" spans="1:4" outlineLevel="1" x14ac:dyDescent="0.25">
      <c r="A9" s="138" t="s">
        <v>744</v>
      </c>
      <c r="B9" s="139">
        <f>'2025.gada budzeta plans_apvieno'!L9</f>
        <v>3211340</v>
      </c>
      <c r="C9" s="139">
        <f>'2025.gada budzeta plans_apvieno'!O9</f>
        <v>2609119.04</v>
      </c>
      <c r="D9" s="140">
        <f t="shared" si="0"/>
        <v>0.81247050763855588</v>
      </c>
    </row>
    <row r="10" spans="1:4" outlineLevel="1" x14ac:dyDescent="0.25">
      <c r="A10" s="138" t="s">
        <v>1435</v>
      </c>
      <c r="B10" s="139">
        <f>'2025.gada budzeta plans_apvieno'!L19</f>
        <v>65000</v>
      </c>
      <c r="C10" s="139">
        <f>'2025.gada budzeta plans_apvieno'!O19</f>
        <v>54135.27</v>
      </c>
      <c r="D10" s="140">
        <f t="shared" si="0"/>
        <v>0.83285030769230761</v>
      </c>
    </row>
    <row r="11" spans="1:4" x14ac:dyDescent="0.25">
      <c r="A11" s="141" t="s">
        <v>745</v>
      </c>
      <c r="B11" s="136">
        <f>'2025.gada budzeta plans_apvieno'!L22</f>
        <v>144060</v>
      </c>
      <c r="C11" s="136">
        <f>'2025.gada budzeta plans_apvieno'!O22</f>
        <v>79197.97</v>
      </c>
      <c r="D11" s="137">
        <f t="shared" si="0"/>
        <v>0.54975683742884907</v>
      </c>
    </row>
    <row r="12" spans="1:4" x14ac:dyDescent="0.25">
      <c r="A12" s="141" t="s">
        <v>746</v>
      </c>
      <c r="B12" s="136">
        <f>'2025.gada budzeta plans_apvieno'!L34</f>
        <v>130000</v>
      </c>
      <c r="C12" s="136">
        <f>'2025.gada budzeta plans_apvieno'!O34</f>
        <v>80655.09</v>
      </c>
      <c r="D12" s="137">
        <f t="shared" si="0"/>
        <v>0.62042376923076925</v>
      </c>
    </row>
    <row r="13" spans="1:4" x14ac:dyDescent="0.25">
      <c r="A13" s="141" t="s">
        <v>747</v>
      </c>
      <c r="B13" s="136">
        <f>'2025.gada budzeta plans_apvieno'!L37</f>
        <v>35728</v>
      </c>
      <c r="C13" s="136">
        <f>'2025.gada budzeta plans_apvieno'!O37</f>
        <v>51366.770000000004</v>
      </c>
      <c r="D13" s="137">
        <f t="shared" si="0"/>
        <v>1.4377174764890284</v>
      </c>
    </row>
    <row r="14" spans="1:4" x14ac:dyDescent="0.25">
      <c r="A14" s="141" t="s">
        <v>748</v>
      </c>
      <c r="B14" s="136">
        <f>'2025.gada budzeta plans_apvieno'!L41</f>
        <v>0</v>
      </c>
      <c r="C14" s="136">
        <f>'2025.gada budzeta plans_apvieno'!O41</f>
        <v>159278.32999999999</v>
      </c>
      <c r="D14" s="137"/>
    </row>
    <row r="15" spans="1:4" x14ac:dyDescent="0.25">
      <c r="A15" s="141" t="s">
        <v>749</v>
      </c>
      <c r="B15" s="136">
        <f>'2025.gada budzeta plans_apvieno'!L42</f>
        <v>18904660</v>
      </c>
      <c r="C15" s="136">
        <f>'2025.gada budzeta plans_apvieno'!O42</f>
        <v>7400899.9699999997</v>
      </c>
      <c r="D15" s="137">
        <f t="shared" si="0"/>
        <v>0.39148548400235705</v>
      </c>
    </row>
    <row r="16" spans="1:4" outlineLevel="1" x14ac:dyDescent="0.25">
      <c r="A16" s="142" t="s">
        <v>750</v>
      </c>
      <c r="B16" s="139">
        <f>'2025.gada budzeta plans_apvieno'!L43</f>
        <v>10023614</v>
      </c>
      <c r="C16" s="139">
        <f>'2025.gada budzeta plans_apvieno'!O43</f>
        <v>6502618.4199999999</v>
      </c>
      <c r="D16" s="140">
        <f t="shared" si="0"/>
        <v>0.64872993114060462</v>
      </c>
    </row>
    <row r="17" spans="1:4" outlineLevel="1" x14ac:dyDescent="0.25">
      <c r="A17" s="142" t="s">
        <v>773</v>
      </c>
      <c r="B17" s="139">
        <f>'2025.gada budzeta plans_apvieno'!L66</f>
        <v>7928777</v>
      </c>
      <c r="C17" s="139">
        <f>'2025.gada budzeta plans_apvieno'!O66</f>
        <v>422145.55</v>
      </c>
      <c r="D17" s="140">
        <f t="shared" si="0"/>
        <v>5.3242202422895735E-2</v>
      </c>
    </row>
    <row r="18" spans="1:4" x14ac:dyDescent="0.25">
      <c r="A18" s="141" t="s">
        <v>751</v>
      </c>
      <c r="B18" s="136">
        <f>'2025.gada budzeta plans_apvieno'!L86</f>
        <v>350000</v>
      </c>
      <c r="C18" s="136">
        <f>'2025.gada budzeta plans_apvieno'!O86</f>
        <v>118603.2</v>
      </c>
      <c r="D18" s="137">
        <f t="shared" si="0"/>
        <v>0.33886628571428573</v>
      </c>
    </row>
    <row r="19" spans="1:4" x14ac:dyDescent="0.25">
      <c r="A19" s="141" t="s">
        <v>752</v>
      </c>
      <c r="B19" s="136">
        <f>'2025.gada budzeta plans_apvieno'!L89</f>
        <v>811955</v>
      </c>
      <c r="C19" s="136">
        <f>'2025.gada budzeta plans_apvieno'!O89</f>
        <v>564016.32999999996</v>
      </c>
      <c r="D19" s="137">
        <f t="shared" si="0"/>
        <v>0.69463988767850426</v>
      </c>
    </row>
    <row r="20" spans="1:4" outlineLevel="1" x14ac:dyDescent="0.25">
      <c r="A20" s="142" t="s">
        <v>1289</v>
      </c>
      <c r="B20" s="139">
        <f>B19-B21-B22</f>
        <v>418773</v>
      </c>
      <c r="C20" s="139">
        <f>C19-C21-C22</f>
        <v>302663.73</v>
      </c>
      <c r="D20" s="140">
        <f>C20/B20</f>
        <v>0.72273935998739169</v>
      </c>
    </row>
    <row r="21" spans="1:4" outlineLevel="1" x14ac:dyDescent="0.25">
      <c r="A21" s="142" t="s">
        <v>774</v>
      </c>
      <c r="B21" s="139">
        <f>'2025.gada budzeta plans_apvieno'!L96</f>
        <v>332370</v>
      </c>
      <c r="C21" s="139">
        <f>'2025.gada budzeta plans_apvieno'!O96</f>
        <v>199398.59999999998</v>
      </c>
      <c r="D21" s="140">
        <f>C21/B21</f>
        <v>0.59992959653398314</v>
      </c>
    </row>
    <row r="22" spans="1:4" outlineLevel="1" x14ac:dyDescent="0.25">
      <c r="A22" s="142" t="s">
        <v>1436</v>
      </c>
      <c r="B22" s="139">
        <f>'2025.gada budzeta plans_apvieno'!L93</f>
        <v>60812</v>
      </c>
      <c r="C22" s="139">
        <f>'2025.gada budzeta plans_apvieno'!O93</f>
        <v>61954</v>
      </c>
      <c r="D22" s="140">
        <f>C22/B22</f>
        <v>1.0187791883180952</v>
      </c>
    </row>
    <row r="23" spans="1:4" x14ac:dyDescent="0.25">
      <c r="A23" s="141"/>
    </row>
    <row r="25" spans="1:4" x14ac:dyDescent="0.25">
      <c r="A25" s="143"/>
      <c r="B25" s="136">
        <f>B6-'2025.gada budzeta plans_apvieno'!L104</f>
        <v>0</v>
      </c>
      <c r="C25" s="136">
        <f>C6-'2025.gada budzeta plans_apvieno'!O104</f>
        <v>-0.36999999731779099</v>
      </c>
      <c r="D25" s="137"/>
    </row>
    <row r="26" spans="1:4" x14ac:dyDescent="0.25">
      <c r="A26" s="143"/>
      <c r="B26" s="136"/>
      <c r="C26" s="136"/>
      <c r="D26" s="137"/>
    </row>
    <row r="27" spans="1:4" x14ac:dyDescent="0.25">
      <c r="A27" s="143"/>
      <c r="B27" s="136"/>
      <c r="C27" s="136"/>
      <c r="D27" s="137"/>
    </row>
    <row r="28" spans="1:4" x14ac:dyDescent="0.25">
      <c r="A28" s="144"/>
      <c r="B28" s="136"/>
      <c r="C28" s="136"/>
      <c r="D28" s="137"/>
    </row>
    <row r="29" spans="1:4" s="148" customFormat="1" hidden="1" outlineLevel="1" x14ac:dyDescent="0.25">
      <c r="A29" s="254" t="s">
        <v>3</v>
      </c>
      <c r="B29" s="139"/>
      <c r="C29" s="139"/>
      <c r="D29" s="140"/>
    </row>
    <row r="30" spans="1:4" s="148" customFormat="1" hidden="1" outlineLevel="1" x14ac:dyDescent="0.25">
      <c r="A30" s="428" t="s">
        <v>1495</v>
      </c>
      <c r="B30" s="139"/>
      <c r="C30" s="139"/>
      <c r="D30" s="140"/>
    </row>
    <row r="31" spans="1:4" s="428" customFormat="1" hidden="1" outlineLevel="1" x14ac:dyDescent="0.25">
      <c r="A31" s="428" t="s">
        <v>1439</v>
      </c>
      <c r="B31" s="437"/>
      <c r="C31" s="437"/>
      <c r="D31" s="438"/>
    </row>
    <row r="32" spans="1:4" s="428" customFormat="1" hidden="1" outlineLevel="1" x14ac:dyDescent="0.25">
      <c r="A32" s="142" t="s">
        <v>1440</v>
      </c>
      <c r="B32" s="437"/>
      <c r="C32" s="437"/>
      <c r="D32" s="438"/>
    </row>
    <row r="33" spans="1:11" s="428" customFormat="1" hidden="1" outlineLevel="1" x14ac:dyDescent="0.25">
      <c r="A33" s="142" t="s">
        <v>1496</v>
      </c>
      <c r="B33" s="437"/>
      <c r="C33" s="437"/>
      <c r="D33" s="438"/>
    </row>
    <row r="34" spans="1:11" s="428" customFormat="1" hidden="1" outlineLevel="1" x14ac:dyDescent="0.25">
      <c r="A34" s="142" t="s">
        <v>1497</v>
      </c>
      <c r="B34" s="437"/>
      <c r="C34" s="437"/>
      <c r="D34" s="438"/>
    </row>
    <row r="35" spans="1:11" s="428" customFormat="1" hidden="1" outlineLevel="1" x14ac:dyDescent="0.25">
      <c r="A35" s="142" t="s">
        <v>1498</v>
      </c>
      <c r="B35" s="437"/>
      <c r="C35" s="437"/>
      <c r="D35" s="438"/>
    </row>
    <row r="36" spans="1:11" s="148" customFormat="1" hidden="1" outlineLevel="1" x14ac:dyDescent="0.25">
      <c r="A36" s="428" t="s">
        <v>1290</v>
      </c>
      <c r="B36" s="139"/>
      <c r="C36" s="139"/>
      <c r="D36" s="140"/>
    </row>
    <row r="37" spans="1:11" s="148" customFormat="1" hidden="1" outlineLevel="1" x14ac:dyDescent="0.25">
      <c r="A37" s="428" t="s">
        <v>1499</v>
      </c>
      <c r="B37" s="139"/>
      <c r="C37" s="139"/>
      <c r="D37" s="140"/>
    </row>
    <row r="38" spans="1:11" s="148" customFormat="1" hidden="1" outlineLevel="1" x14ac:dyDescent="0.25">
      <c r="A38" s="428" t="s">
        <v>1500</v>
      </c>
      <c r="B38" s="139"/>
      <c r="C38" s="139"/>
      <c r="D38" s="140"/>
    </row>
    <row r="39" spans="1:11" s="148" customFormat="1" hidden="1" outlineLevel="1" x14ac:dyDescent="0.25">
      <c r="A39" s="428" t="s">
        <v>1501</v>
      </c>
      <c r="B39" s="139"/>
      <c r="C39" s="139"/>
      <c r="D39" s="140"/>
    </row>
    <row r="40" spans="1:11" s="148" customFormat="1" hidden="1" outlineLevel="1" x14ac:dyDescent="0.25">
      <c r="A40" s="428" t="s">
        <v>1502</v>
      </c>
      <c r="B40" s="139"/>
      <c r="C40" s="139"/>
      <c r="D40" s="140"/>
    </row>
    <row r="41" spans="1:11" s="148" customFormat="1" hidden="1" outlineLevel="1" x14ac:dyDescent="0.25">
      <c r="A41" s="428" t="s">
        <v>1503</v>
      </c>
      <c r="B41" s="139"/>
      <c r="C41" s="139"/>
      <c r="D41" s="140"/>
      <c r="K41" s="525">
        <f>80823+26020+66800</f>
        <v>173643</v>
      </c>
    </row>
    <row r="42" spans="1:11" s="148" customFormat="1" hidden="1" outlineLevel="1" x14ac:dyDescent="0.25">
      <c r="A42" s="428" t="s">
        <v>1504</v>
      </c>
      <c r="B42" s="139"/>
      <c r="C42" s="139"/>
      <c r="D42" s="140"/>
    </row>
    <row r="43" spans="1:11" s="148" customFormat="1" hidden="1" outlineLevel="1" x14ac:dyDescent="0.25">
      <c r="A43" s="428" t="s">
        <v>1505</v>
      </c>
      <c r="B43" s="139"/>
      <c r="C43" s="139"/>
      <c r="D43" s="140"/>
    </row>
    <row r="44" spans="1:11" s="428" customFormat="1" ht="15" hidden="1" customHeight="1" outlineLevel="1" x14ac:dyDescent="0.25">
      <c r="A44" s="142" t="s">
        <v>1506</v>
      </c>
      <c r="B44" s="437"/>
      <c r="C44" s="437"/>
      <c r="D44" s="438"/>
    </row>
    <row r="45" spans="1:11" s="148" customFormat="1" hidden="1" outlineLevel="1" x14ac:dyDescent="0.25">
      <c r="A45" s="142" t="s">
        <v>1507</v>
      </c>
      <c r="B45" s="139"/>
      <c r="C45" s="139"/>
      <c r="D45" s="140"/>
    </row>
    <row r="46" spans="1:11" s="148" customFormat="1" hidden="1" outlineLevel="1" x14ac:dyDescent="0.25">
      <c r="A46" s="142" t="s">
        <v>1508</v>
      </c>
      <c r="B46" s="139"/>
      <c r="C46" s="139"/>
      <c r="D46" s="140"/>
    </row>
    <row r="47" spans="1:11" s="148" customFormat="1" hidden="1" outlineLevel="1" x14ac:dyDescent="0.25">
      <c r="A47" s="428" t="s">
        <v>1443</v>
      </c>
      <c r="B47" s="139"/>
      <c r="C47" s="139"/>
      <c r="D47" s="140"/>
    </row>
    <row r="48" spans="1:11" s="138" customFormat="1" hidden="1" outlineLevel="1" x14ac:dyDescent="0.25">
      <c r="A48" s="428" t="s">
        <v>1509</v>
      </c>
      <c r="B48" s="149"/>
      <c r="C48" s="149"/>
      <c r="D48" s="150"/>
    </row>
    <row r="49" spans="1:6" s="138" customFormat="1" hidden="1" outlineLevel="1" x14ac:dyDescent="0.25">
      <c r="A49" s="428" t="s">
        <v>1510</v>
      </c>
      <c r="B49" s="149"/>
      <c r="C49" s="149"/>
      <c r="D49" s="150"/>
    </row>
    <row r="50" spans="1:6" collapsed="1" x14ac:dyDescent="0.25">
      <c r="A50" s="143"/>
      <c r="B50" s="136"/>
      <c r="C50" s="136"/>
      <c r="D50" s="137"/>
    </row>
    <row r="51" spans="1:6" x14ac:dyDescent="0.25">
      <c r="A51" s="143"/>
      <c r="B51" s="136"/>
      <c r="C51" s="136"/>
      <c r="D51" s="137"/>
    </row>
    <row r="54" spans="1:6" x14ac:dyDescent="0.25">
      <c r="C54" s="151"/>
    </row>
    <row r="56" spans="1:6" ht="57.6" customHeight="1" x14ac:dyDescent="0.25">
      <c r="A56" s="132" t="s">
        <v>753</v>
      </c>
      <c r="B56" s="133" t="str">
        <f>B5</f>
        <v>26.06.2025. grozījumi</v>
      </c>
      <c r="C56" s="133" t="str">
        <f>"Izpilde"&amp;" "&amp;$C$2</f>
        <v>Izpilde 2025.g. 1. pusgads</v>
      </c>
      <c r="D56" s="133" t="str">
        <f>"Izdevumu izpilde, %,"&amp;" "&amp;$C$2</f>
        <v>Izdevumu izpilde, %, 2025.g. 1. pusgads</v>
      </c>
    </row>
    <row r="57" spans="1:6" ht="12.75" customHeight="1" x14ac:dyDescent="0.25">
      <c r="A57" s="127" t="s">
        <v>754</v>
      </c>
      <c r="B57" s="145">
        <f>SUM(B58,B62:B66,B71:B73,B86)</f>
        <v>75437267</v>
      </c>
      <c r="C57" s="145">
        <f>SUM(C58,C62:C66,C71:C73,C86)</f>
        <v>25143553.070000004</v>
      </c>
      <c r="D57" s="137">
        <f t="shared" ref="D57:D77" si="1">C57/B57</f>
        <v>0.33330413560713967</v>
      </c>
    </row>
    <row r="58" spans="1:6" ht="12.75" customHeight="1" x14ac:dyDescent="0.25">
      <c r="A58" s="128" t="s">
        <v>755</v>
      </c>
      <c r="B58" s="136">
        <f>'2025.gada budzeta plans_apvieno'!L125</f>
        <v>12213884</v>
      </c>
      <c r="C58" s="136">
        <f>'2025.gada budzeta plans_apvieno'!O125</f>
        <v>5363227.6599999992</v>
      </c>
      <c r="D58" s="137">
        <f t="shared" si="1"/>
        <v>0.43910910403275477</v>
      </c>
      <c r="E58" s="137"/>
      <c r="F58" s="146"/>
    </row>
    <row r="59" spans="1:6" ht="12.75" customHeight="1" outlineLevel="1" x14ac:dyDescent="0.25">
      <c r="A59" s="138" t="s">
        <v>769</v>
      </c>
      <c r="B59" s="139">
        <f>'2025.gada budzeta plans_apvieno'!L126+'2025.gada budzeta plans_apvieno'!L127+'2025.gada budzeta plans_apvieno'!L128+'2025.gada budzeta plans_apvieno'!L129+'2025.gada budzeta plans_apvieno'!L130+'2025.gada budzeta plans_apvieno'!L131+'2025.gada budzeta plans_apvieno'!L134</f>
        <v>3243729</v>
      </c>
      <c r="C59" s="139">
        <f>'2025.gada budzeta plans_apvieno'!O126+'2025.gada budzeta plans_apvieno'!O127+'2025.gada budzeta plans_apvieno'!O128+'2025.gada budzeta plans_apvieno'!O129+'2025.gada budzeta plans_apvieno'!O130+'2025.gada budzeta plans_apvieno'!O131+'2025.gada budzeta plans_apvieno'!O134</f>
        <v>1305497.2800000003</v>
      </c>
      <c r="D59" s="140">
        <f t="shared" si="1"/>
        <v>0.40246804834805877</v>
      </c>
      <c r="E59" s="137"/>
      <c r="F59" s="146"/>
    </row>
    <row r="60" spans="1:6" ht="12.75" customHeight="1" outlineLevel="1" x14ac:dyDescent="0.25">
      <c r="A60" s="138" t="s">
        <v>770</v>
      </c>
      <c r="B60" s="139">
        <f>'2025.gada budzeta plans_apvieno'!L132</f>
        <v>2052431</v>
      </c>
      <c r="C60" s="139">
        <f>'2025.gada budzeta plans_apvieno'!O132</f>
        <v>944754.58</v>
      </c>
      <c r="D60" s="140">
        <f t="shared" si="1"/>
        <v>0.46031003234700701</v>
      </c>
      <c r="E60" s="137"/>
      <c r="F60" s="146"/>
    </row>
    <row r="61" spans="1:6" ht="12.75" customHeight="1" outlineLevel="1" x14ac:dyDescent="0.25">
      <c r="A61" s="138" t="s">
        <v>771</v>
      </c>
      <c r="B61" s="139">
        <f>'2025.gada budzeta plans_apvieno'!L133</f>
        <v>6917724</v>
      </c>
      <c r="C61" s="139">
        <f>'2025.gada budzeta plans_apvieno'!O133</f>
        <v>3112975.8</v>
      </c>
      <c r="D61" s="140">
        <f t="shared" si="1"/>
        <v>0.44999999999999996</v>
      </c>
      <c r="E61" s="137"/>
      <c r="F61" s="146"/>
    </row>
    <row r="62" spans="1:6" ht="12.75" customHeight="1" x14ac:dyDescent="0.25">
      <c r="A62" s="128" t="s">
        <v>756</v>
      </c>
      <c r="B62" s="136">
        <f>'2025.gada budzeta plans_apvieno'!L135</f>
        <v>1129824</v>
      </c>
      <c r="C62" s="136">
        <f>'2025.gada budzeta plans_apvieno'!O135</f>
        <v>436277.61</v>
      </c>
      <c r="D62" s="137">
        <f t="shared" si="1"/>
        <v>0.38614652370634717</v>
      </c>
      <c r="E62" s="137"/>
      <c r="F62" s="146"/>
    </row>
    <row r="63" spans="1:6" ht="12.75" customHeight="1" x14ac:dyDescent="0.25">
      <c r="A63" s="128" t="s">
        <v>757</v>
      </c>
      <c r="B63" s="136">
        <f>'2025.gada budzeta plans_apvieno'!L137</f>
        <v>200531</v>
      </c>
      <c r="C63" s="136">
        <f>'2025.gada budzeta plans_apvieno'!O137</f>
        <v>79828.11</v>
      </c>
      <c r="D63" s="137">
        <f t="shared" si="1"/>
        <v>0.39808363794126594</v>
      </c>
      <c r="E63" s="137"/>
      <c r="F63" s="146"/>
    </row>
    <row r="64" spans="1:6" ht="12.75" customHeight="1" x14ac:dyDescent="0.25">
      <c r="A64" s="128" t="s">
        <v>758</v>
      </c>
      <c r="B64" s="136">
        <f>'2025.gada budzeta plans_apvieno'!L140</f>
        <v>445527</v>
      </c>
      <c r="C64" s="136">
        <f>'2025.gada budzeta plans_apvieno'!O140</f>
        <v>219761</v>
      </c>
      <c r="D64" s="137">
        <f t="shared" si="1"/>
        <v>0.49326079003068274</v>
      </c>
      <c r="E64" s="137"/>
      <c r="F64" s="146"/>
    </row>
    <row r="65" spans="1:6" ht="12.75" customHeight="1" x14ac:dyDescent="0.25">
      <c r="A65" s="128" t="s">
        <v>759</v>
      </c>
      <c r="B65" s="136">
        <f>'2025.gada budzeta plans_apvieno'!L141</f>
        <v>225687</v>
      </c>
      <c r="C65" s="136">
        <f>'2025.gada budzeta plans_apvieno'!O141</f>
        <v>10833.68</v>
      </c>
      <c r="D65" s="137">
        <f t="shared" si="1"/>
        <v>4.8003119364429497E-2</v>
      </c>
      <c r="E65" s="137"/>
      <c r="F65" s="146"/>
    </row>
    <row r="66" spans="1:6" ht="12.75" customHeight="1" x14ac:dyDescent="0.25">
      <c r="A66" s="128" t="s">
        <v>760</v>
      </c>
      <c r="B66" s="136">
        <f>'2025.gada budzeta plans_apvieno'!L143</f>
        <v>18000055</v>
      </c>
      <c r="C66" s="136">
        <f>'2025.gada budzeta plans_apvieno'!O143</f>
        <v>3141399.7199999997</v>
      </c>
      <c r="D66" s="137">
        <f t="shared" si="1"/>
        <v>0.17452167340599792</v>
      </c>
      <c r="E66" s="137"/>
      <c r="F66" s="146"/>
    </row>
    <row r="67" spans="1:6" ht="12.75" customHeight="1" outlineLevel="1" x14ac:dyDescent="0.25">
      <c r="A67" s="138" t="s">
        <v>775</v>
      </c>
      <c r="B67" s="139">
        <f>SUM('2025.gada budzeta plans_apvieno'!L163,'2025.gada budzeta plans_apvieno'!L149,'2025.gada budzeta plans_apvieno'!L147,'2025.gada budzeta plans_apvieno'!L146)-31000-29687</f>
        <v>1371910</v>
      </c>
      <c r="C67" s="139">
        <f>SUM('2025.gada budzeta plans_apvieno'!O163,'2025.gada budzeta plans_apvieno'!O149,'2025.gada budzeta plans_apvieno'!O147,'2025.gada budzeta plans_apvieno'!O146)</f>
        <v>527084.12</v>
      </c>
      <c r="D67" s="140">
        <f t="shared" si="1"/>
        <v>0.38419730157226056</v>
      </c>
      <c r="E67" s="137"/>
      <c r="F67" s="146"/>
    </row>
    <row r="68" spans="1:6" ht="12.75" customHeight="1" outlineLevel="1" x14ac:dyDescent="0.25">
      <c r="A68" s="138" t="s">
        <v>1437</v>
      </c>
      <c r="B68" s="139">
        <f>'2025.gada budzeta plans_apvieno'!L166</f>
        <v>5774573</v>
      </c>
      <c r="C68" s="139">
        <f>'2025.gada budzeta plans_apvieno'!O166</f>
        <v>2208534</v>
      </c>
      <c r="D68" s="140">
        <f t="shared" si="1"/>
        <v>0.38245840861306973</v>
      </c>
      <c r="E68" s="137"/>
      <c r="F68" s="146"/>
    </row>
    <row r="69" spans="1:6" ht="12.75" customHeight="1" outlineLevel="1" x14ac:dyDescent="0.25">
      <c r="A69" s="427" t="s">
        <v>1438</v>
      </c>
      <c r="B69" s="139">
        <f>'2025.gada budzeta plans_apvieno'!L144+'2025.gada budzeta plans_apvieno'!L145</f>
        <v>122568</v>
      </c>
      <c r="C69" s="139">
        <f>'2025.gada budzeta plans_apvieno'!O144+'2025.gada budzeta plans_apvieno'!O145</f>
        <v>0</v>
      </c>
      <c r="D69" s="140">
        <f t="shared" si="1"/>
        <v>0</v>
      </c>
      <c r="E69" s="137"/>
      <c r="F69" s="146"/>
    </row>
    <row r="70" spans="1:6" ht="12.75" customHeight="1" outlineLevel="1" x14ac:dyDescent="0.25">
      <c r="A70" s="138" t="s">
        <v>772</v>
      </c>
      <c r="B70" s="139">
        <f>B66-B67-B69-B68</f>
        <v>10731004</v>
      </c>
      <c r="C70" s="139">
        <f>C66-C67-C69-C68</f>
        <v>405781.59999999963</v>
      </c>
      <c r="D70" s="140">
        <f t="shared" si="1"/>
        <v>3.7813945461207511E-2</v>
      </c>
      <c r="E70" s="137"/>
      <c r="F70" s="146"/>
    </row>
    <row r="71" spans="1:6" ht="12.75" customHeight="1" x14ac:dyDescent="0.25">
      <c r="A71" s="128" t="s">
        <v>761</v>
      </c>
      <c r="B71" s="136">
        <f>'2025.gada budzeta plans_apvieno'!L180</f>
        <v>2587421</v>
      </c>
      <c r="C71" s="136">
        <f>'2025.gada budzeta plans_apvieno'!O180</f>
        <v>1107127.4000000001</v>
      </c>
      <c r="D71" s="137">
        <f t="shared" si="1"/>
        <v>0.42788838770343141</v>
      </c>
      <c r="E71" s="137"/>
      <c r="F71" s="146"/>
    </row>
    <row r="72" spans="1:6" ht="12.75" customHeight="1" x14ac:dyDescent="0.25">
      <c r="A72" s="128" t="s">
        <v>762</v>
      </c>
      <c r="B72" s="136">
        <f>'2025.gada budzeta plans_apvieno'!L195</f>
        <v>3546428</v>
      </c>
      <c r="C72" s="136">
        <f>'2025.gada budzeta plans_apvieno'!O195</f>
        <v>1440300.2400000002</v>
      </c>
      <c r="D72" s="137">
        <f t="shared" si="1"/>
        <v>0.40612702132963091</v>
      </c>
      <c r="E72" s="137"/>
      <c r="F72" s="146"/>
    </row>
    <row r="73" spans="1:6" ht="12.75" customHeight="1" x14ac:dyDescent="0.25">
      <c r="A73" s="128" t="s">
        <v>763</v>
      </c>
      <c r="B73" s="136">
        <f>'2025.gada budzeta plans_apvieno'!L215</f>
        <v>33385173</v>
      </c>
      <c r="C73" s="136">
        <f>'2025.gada budzeta plans_apvieno'!O215</f>
        <v>11392525.890000001</v>
      </c>
      <c r="D73" s="137">
        <f t="shared" si="1"/>
        <v>0.34124507577061231</v>
      </c>
      <c r="E73" s="147"/>
      <c r="F73" s="146"/>
    </row>
    <row r="74" spans="1:6" ht="12.75" customHeight="1" outlineLevel="1" x14ac:dyDescent="0.25">
      <c r="A74" s="138" t="s">
        <v>786</v>
      </c>
      <c r="B74" s="139">
        <f>'2025.gada budzeta plans_apvieno'!L216</f>
        <v>851975</v>
      </c>
      <c r="C74" s="139">
        <f>'2025.gada budzeta plans_apvieno'!O216</f>
        <v>457481.2</v>
      </c>
      <c r="D74" s="140">
        <f t="shared" si="1"/>
        <v>0.53696552128877018</v>
      </c>
      <c r="E74" s="147"/>
      <c r="F74" s="146"/>
    </row>
    <row r="75" spans="1:6" ht="12.75" customHeight="1" outlineLevel="1" x14ac:dyDescent="0.25">
      <c r="A75" s="138" t="s">
        <v>782</v>
      </c>
      <c r="B75" s="139">
        <f>'2025.gada budzeta plans_apvieno'!L217</f>
        <v>2535967</v>
      </c>
      <c r="C75" s="139">
        <f>'2025.gada budzeta plans_apvieno'!O217</f>
        <v>1055392.8</v>
      </c>
      <c r="D75" s="140">
        <f t="shared" si="1"/>
        <v>0.41616976877065043</v>
      </c>
      <c r="E75" s="137"/>
      <c r="F75" s="146"/>
    </row>
    <row r="76" spans="1:6" ht="12.75" customHeight="1" outlineLevel="1" x14ac:dyDescent="0.25">
      <c r="A76" s="138" t="s">
        <v>783</v>
      </c>
      <c r="B76" s="139">
        <f>'2025.gada budzeta plans_apvieno'!L221</f>
        <v>1501706</v>
      </c>
      <c r="C76" s="139">
        <f>'2025.gada budzeta plans_apvieno'!O221</f>
        <v>636156.54</v>
      </c>
      <c r="D76" s="140">
        <f t="shared" si="1"/>
        <v>0.42362255994182618</v>
      </c>
      <c r="E76" s="137"/>
      <c r="F76" s="146"/>
    </row>
    <row r="77" spans="1:6" ht="12.75" customHeight="1" outlineLevel="1" x14ac:dyDescent="0.25">
      <c r="A77" s="138" t="s">
        <v>784</v>
      </c>
      <c r="B77" s="139">
        <f>'2025.gada budzeta plans_apvieno'!L225</f>
        <v>1854025</v>
      </c>
      <c r="C77" s="139">
        <f>'2025.gada budzeta plans_apvieno'!O225</f>
        <v>721771.91</v>
      </c>
      <c r="D77" s="140">
        <f t="shared" si="1"/>
        <v>0.3892999878642413</v>
      </c>
      <c r="E77" s="137"/>
      <c r="F77" s="146"/>
    </row>
    <row r="78" spans="1:6" ht="12.75" customHeight="1" outlineLevel="1" x14ac:dyDescent="0.25">
      <c r="A78" s="138" t="s">
        <v>785</v>
      </c>
      <c r="B78" s="139">
        <f>'2025.gada budzeta plans_apvieno'!L229</f>
        <v>1575794</v>
      </c>
      <c r="C78" s="139">
        <f>'2025.gada budzeta plans_apvieno'!O229</f>
        <v>583767.54</v>
      </c>
      <c r="D78" s="140">
        <f t="shared" ref="D78:D85" si="2">C78/B78</f>
        <v>0.37045929861390514</v>
      </c>
      <c r="E78" s="137"/>
      <c r="F78" s="146"/>
    </row>
    <row r="79" spans="1:6" ht="12.75" customHeight="1" outlineLevel="1" x14ac:dyDescent="0.25">
      <c r="A79" s="138" t="s">
        <v>776</v>
      </c>
      <c r="B79" s="139">
        <f>'2025.gada budzeta plans_apvieno'!L233</f>
        <v>3797888</v>
      </c>
      <c r="C79" s="139">
        <f>'2025.gada budzeta plans_apvieno'!O233</f>
        <v>1463074.57</v>
      </c>
      <c r="D79" s="140">
        <f t="shared" si="2"/>
        <v>0.38523373253766308</v>
      </c>
      <c r="E79" s="137"/>
      <c r="F79" s="146"/>
    </row>
    <row r="80" spans="1:6" ht="12.75" customHeight="1" outlineLevel="1" x14ac:dyDescent="0.25">
      <c r="A80" s="138" t="s">
        <v>1530</v>
      </c>
      <c r="B80" s="139">
        <f>'2025.gada budzeta plans_apvieno'!L237</f>
        <v>2737011</v>
      </c>
      <c r="C80" s="139">
        <f>'2025.gada budzeta plans_apvieno'!O237</f>
        <v>1195161.5000000002</v>
      </c>
      <c r="D80" s="140">
        <f t="shared" si="2"/>
        <v>0.43666667762752881</v>
      </c>
      <c r="E80" s="137"/>
      <c r="F80" s="146"/>
    </row>
    <row r="81" spans="1:18" ht="12.75" customHeight="1" outlineLevel="1" x14ac:dyDescent="0.25">
      <c r="A81" s="138" t="s">
        <v>777</v>
      </c>
      <c r="B81" s="139">
        <f>'2025.gada budzeta plans_apvieno'!L248</f>
        <v>9068044</v>
      </c>
      <c r="C81" s="139">
        <f>'2025.gada budzeta plans_apvieno'!O248</f>
        <v>3869623.6000000006</v>
      </c>
      <c r="D81" s="140">
        <f t="shared" si="2"/>
        <v>0.42673189499301067</v>
      </c>
      <c r="E81" s="137"/>
      <c r="F81" s="146"/>
    </row>
    <row r="82" spans="1:18" ht="12.75" customHeight="1" outlineLevel="1" x14ac:dyDescent="0.25">
      <c r="A82" s="138" t="s">
        <v>778</v>
      </c>
      <c r="B82" s="139">
        <f>'2025.gada budzeta plans_apvieno'!L266</f>
        <v>1819529</v>
      </c>
      <c r="C82" s="139">
        <f>'2025.gada budzeta plans_apvieno'!O266</f>
        <v>904975.08000000007</v>
      </c>
      <c r="D82" s="140">
        <f t="shared" si="2"/>
        <v>0.49736776935129917</v>
      </c>
      <c r="E82" s="137"/>
      <c r="F82" s="146"/>
    </row>
    <row r="83" spans="1:18" ht="12.75" customHeight="1" outlineLevel="1" x14ac:dyDescent="0.25">
      <c r="A83" s="138" t="s">
        <v>779</v>
      </c>
      <c r="B83" s="139">
        <f>'2025.gada budzeta plans_apvieno'!L269</f>
        <v>845947</v>
      </c>
      <c r="C83" s="139">
        <f>'2025.gada budzeta plans_apvieno'!O269</f>
        <v>331626.59999999998</v>
      </c>
      <c r="D83" s="140">
        <f t="shared" si="2"/>
        <v>0.39201817607958889</v>
      </c>
      <c r="E83" s="137"/>
      <c r="F83" s="146"/>
    </row>
    <row r="84" spans="1:18" ht="12.75" customHeight="1" outlineLevel="1" x14ac:dyDescent="0.25">
      <c r="A84" s="138" t="s">
        <v>780</v>
      </c>
      <c r="B84" s="139">
        <f>'2025.gada budzeta plans_apvieno'!L272+'2025.gada budzeta plans_apvieno'!L273</f>
        <v>644764</v>
      </c>
      <c r="C84" s="139">
        <f>'2025.gada budzeta plans_apvieno'!O272</f>
        <v>168480.97999999998</v>
      </c>
      <c r="D84" s="140">
        <f t="shared" si="2"/>
        <v>0.26130643150051797</v>
      </c>
      <c r="E84" s="137"/>
      <c r="F84" s="146"/>
    </row>
    <row r="85" spans="1:18" ht="12.75" customHeight="1" outlineLevel="1" x14ac:dyDescent="0.25">
      <c r="A85" s="138" t="s">
        <v>781</v>
      </c>
      <c r="B85" s="139">
        <f>B73-SUM(B74:B84)</f>
        <v>6152523</v>
      </c>
      <c r="C85" s="139">
        <f>C73-SUM(C74:C84)</f>
        <v>5013.570000000298</v>
      </c>
      <c r="D85" s="140">
        <f t="shared" si="2"/>
        <v>8.1488033445796103E-4</v>
      </c>
      <c r="E85" s="137"/>
      <c r="F85" s="146"/>
    </row>
    <row r="86" spans="1:18" ht="12.75" customHeight="1" x14ac:dyDescent="0.25">
      <c r="A86" s="128" t="s">
        <v>764</v>
      </c>
      <c r="B86" s="136">
        <f>'2025.gada budzeta plans_apvieno'!L287</f>
        <v>3702737</v>
      </c>
      <c r="C86" s="136">
        <f>'2025.gada budzeta plans_apvieno'!O287</f>
        <v>1952271.76</v>
      </c>
      <c r="D86" s="137">
        <f>C86/B86</f>
        <v>0.5272509929816781</v>
      </c>
      <c r="E86" s="137"/>
      <c r="F86" s="146"/>
    </row>
    <row r="87" spans="1:18" x14ac:dyDescent="0.25">
      <c r="B87" s="136"/>
      <c r="C87" s="136"/>
      <c r="E87" s="137"/>
      <c r="F87" s="146"/>
    </row>
    <row r="88" spans="1:18" x14ac:dyDescent="0.25">
      <c r="B88" s="136">
        <f>B57-'2025.gada budzeta plans_apvieno'!L288</f>
        <v>0</v>
      </c>
      <c r="C88" s="128">
        <f>C57-'2025.gada budzeta plans_apvieno'!O288</f>
        <v>0</v>
      </c>
    </row>
    <row r="89" spans="1:18" x14ac:dyDescent="0.25">
      <c r="B89" s="137">
        <f>(B70+B85)/B57</f>
        <v>0.22380883708313559</v>
      </c>
    </row>
    <row r="90" spans="1:18" x14ac:dyDescent="0.25">
      <c r="B90" s="137">
        <f>B85/B73</f>
        <v>0.18428908545718783</v>
      </c>
    </row>
    <row r="91" spans="1:18" ht="32.25" customHeight="1" x14ac:dyDescent="0.25"/>
    <row r="92" spans="1:18" x14ac:dyDescent="0.25">
      <c r="B92" s="136"/>
      <c r="C92" s="136"/>
    </row>
    <row r="93" spans="1:18" s="148" customFormat="1" hidden="1" outlineLevel="1" x14ac:dyDescent="0.25">
      <c r="A93" s="254" t="s">
        <v>3</v>
      </c>
      <c r="B93" s="139"/>
      <c r="C93" s="139"/>
      <c r="D93" s="140"/>
    </row>
    <row r="94" spans="1:18" s="148" customFormat="1" hidden="1" outlineLevel="1" x14ac:dyDescent="0.25">
      <c r="A94" s="526" t="s">
        <v>1511</v>
      </c>
      <c r="B94" s="516"/>
      <c r="C94" s="516"/>
      <c r="D94" s="516"/>
      <c r="E94" s="517"/>
      <c r="F94" s="517"/>
      <c r="G94" s="517"/>
      <c r="H94" s="517"/>
      <c r="I94" s="517"/>
      <c r="J94" s="517"/>
      <c r="K94" s="517"/>
      <c r="L94" s="517"/>
      <c r="M94" s="517"/>
      <c r="N94" s="517"/>
      <c r="O94" s="517"/>
      <c r="P94" s="517"/>
      <c r="Q94" s="517"/>
      <c r="R94" s="517"/>
    </row>
    <row r="95" spans="1:18" s="148" customFormat="1" ht="17.399999999999999" hidden="1" customHeight="1" outlineLevel="1" x14ac:dyDescent="0.25">
      <c r="A95" s="142" t="s">
        <v>1512</v>
      </c>
      <c r="B95" s="518"/>
      <c r="C95" s="519"/>
      <c r="D95" s="518"/>
      <c r="E95" s="516"/>
      <c r="F95" s="516"/>
      <c r="G95" s="516"/>
      <c r="H95" s="516"/>
      <c r="I95" s="516"/>
      <c r="J95" s="516"/>
      <c r="K95" s="516"/>
      <c r="L95" s="516"/>
      <c r="M95" s="516"/>
      <c r="N95" s="516"/>
      <c r="O95" s="516"/>
      <c r="P95" s="516"/>
      <c r="Q95" s="516"/>
      <c r="R95" s="516"/>
    </row>
    <row r="96" spans="1:18" s="138" customFormat="1" hidden="1" outlineLevel="1" x14ac:dyDescent="0.25">
      <c r="A96" s="142" t="s">
        <v>1513</v>
      </c>
      <c r="B96" s="518"/>
      <c r="C96" s="519"/>
      <c r="D96" s="518"/>
      <c r="E96" s="518"/>
      <c r="F96" s="518"/>
      <c r="G96" s="518"/>
      <c r="H96" s="518"/>
      <c r="I96" s="518"/>
      <c r="J96" s="518"/>
      <c r="K96" s="518"/>
      <c r="L96" s="518"/>
      <c r="M96" s="518"/>
      <c r="N96" s="518"/>
      <c r="O96" s="518"/>
      <c r="P96" s="518"/>
      <c r="Q96" s="518"/>
      <c r="R96" s="518"/>
    </row>
    <row r="97" spans="1:18" s="138" customFormat="1" hidden="1" outlineLevel="1" x14ac:dyDescent="0.25">
      <c r="A97" s="142" t="s">
        <v>883</v>
      </c>
      <c r="B97" s="518"/>
      <c r="C97" s="519"/>
      <c r="D97" s="518"/>
      <c r="E97" s="518"/>
      <c r="F97" s="518"/>
      <c r="G97" s="518"/>
      <c r="H97" s="518"/>
      <c r="I97" s="518"/>
      <c r="J97" s="518"/>
      <c r="K97" s="518"/>
      <c r="L97" s="518"/>
      <c r="M97" s="518"/>
      <c r="N97" s="518"/>
      <c r="O97" s="518"/>
      <c r="P97" s="518"/>
      <c r="Q97" s="518"/>
      <c r="R97" s="518"/>
    </row>
    <row r="98" spans="1:18" s="138" customFormat="1" hidden="1" outlineLevel="1" x14ac:dyDescent="0.25">
      <c r="A98" s="428" t="s">
        <v>1514</v>
      </c>
      <c r="B98" s="517"/>
      <c r="C98" s="520"/>
      <c r="D98" s="517"/>
      <c r="E98" s="518"/>
      <c r="F98" s="518"/>
      <c r="G98" s="518"/>
      <c r="H98" s="518"/>
      <c r="I98" s="518"/>
      <c r="J98" s="518"/>
      <c r="K98" s="518"/>
      <c r="L98" s="518"/>
      <c r="M98" s="518"/>
      <c r="N98" s="518"/>
      <c r="O98" s="518"/>
      <c r="P98" s="518"/>
      <c r="Q98" s="518"/>
      <c r="R98" s="518"/>
    </row>
    <row r="99" spans="1:18" s="148" customFormat="1" hidden="1" outlineLevel="1" x14ac:dyDescent="0.25">
      <c r="A99" s="428" t="s">
        <v>1515</v>
      </c>
      <c r="B99" s="517"/>
      <c r="C99" s="520"/>
      <c r="D99" s="517"/>
      <c r="E99" s="517"/>
      <c r="F99" s="517"/>
      <c r="G99" s="517"/>
      <c r="H99" s="517"/>
      <c r="I99" s="517"/>
      <c r="J99" s="517"/>
      <c r="K99" s="517"/>
      <c r="L99" s="517"/>
      <c r="M99" s="517"/>
      <c r="N99" s="517"/>
      <c r="O99" s="517"/>
      <c r="P99" s="517"/>
      <c r="Q99" s="517"/>
      <c r="R99" s="517"/>
    </row>
    <row r="100" spans="1:18" s="148" customFormat="1" hidden="1" outlineLevel="1" x14ac:dyDescent="0.25">
      <c r="A100" s="428" t="s">
        <v>1444</v>
      </c>
      <c r="B100" s="517"/>
      <c r="C100" s="520"/>
      <c r="D100" s="517"/>
      <c r="E100" s="517"/>
      <c r="F100" s="517"/>
      <c r="G100" s="517"/>
      <c r="H100" s="517"/>
      <c r="I100" s="517"/>
      <c r="J100" s="517"/>
      <c r="K100" s="517"/>
      <c r="L100" s="517"/>
      <c r="M100" s="517"/>
      <c r="N100" s="517"/>
      <c r="O100" s="517"/>
      <c r="P100" s="517"/>
      <c r="Q100" s="517"/>
      <c r="R100" s="517"/>
    </row>
    <row r="101" spans="1:18" s="148" customFormat="1" ht="15" hidden="1" customHeight="1" outlineLevel="1" x14ac:dyDescent="0.25">
      <c r="A101" s="428" t="s">
        <v>1445</v>
      </c>
      <c r="B101" s="517"/>
      <c r="C101" s="520"/>
      <c r="D101" s="517"/>
      <c r="E101" s="517"/>
      <c r="F101" s="517"/>
      <c r="G101" s="517"/>
      <c r="H101" s="517"/>
      <c r="I101" s="517"/>
      <c r="J101" s="517"/>
      <c r="K101" s="517"/>
      <c r="L101" s="517"/>
      <c r="M101" s="517"/>
      <c r="N101" s="517"/>
      <c r="O101" s="517"/>
      <c r="P101" s="517"/>
      <c r="Q101" s="517"/>
      <c r="R101" s="517"/>
    </row>
    <row r="102" spans="1:18" s="148" customFormat="1" hidden="1" outlineLevel="1" x14ac:dyDescent="0.25">
      <c r="A102" s="428" t="s">
        <v>1516</v>
      </c>
      <c r="B102" s="517"/>
      <c r="C102" s="520"/>
      <c r="D102" s="517"/>
      <c r="E102" s="517"/>
      <c r="F102" s="517"/>
      <c r="G102" s="517"/>
      <c r="H102" s="517"/>
      <c r="I102" s="517"/>
      <c r="J102" s="517"/>
      <c r="K102" s="517"/>
      <c r="L102" s="517"/>
      <c r="M102" s="517"/>
      <c r="N102" s="517"/>
      <c r="O102" s="517"/>
      <c r="P102" s="517"/>
      <c r="Q102" s="517"/>
      <c r="R102" s="517"/>
    </row>
    <row r="103" spans="1:18" s="148" customFormat="1" ht="15" hidden="1" customHeight="1" outlineLevel="1" x14ac:dyDescent="0.25">
      <c r="A103" s="552" t="s">
        <v>1517</v>
      </c>
      <c r="B103" s="552"/>
      <c r="C103" s="552"/>
      <c r="D103" s="552"/>
      <c r="E103" s="552"/>
      <c r="F103" s="552"/>
      <c r="G103" s="552"/>
      <c r="H103" s="552"/>
      <c r="I103" s="552"/>
      <c r="J103" s="552"/>
      <c r="K103" s="552"/>
      <c r="L103" s="552"/>
      <c r="M103" s="552"/>
      <c r="N103" s="552"/>
      <c r="O103" s="552"/>
      <c r="P103" s="552"/>
      <c r="Q103" s="552"/>
      <c r="R103" s="552"/>
    </row>
    <row r="104" spans="1:18" s="148" customFormat="1" ht="15" hidden="1" customHeight="1" outlineLevel="1" x14ac:dyDescent="0.25">
      <c r="A104" s="142" t="s">
        <v>1446</v>
      </c>
      <c r="B104" s="517"/>
      <c r="C104" s="517"/>
      <c r="D104" s="517"/>
      <c r="E104" s="521"/>
      <c r="F104" s="521"/>
      <c r="G104" s="521"/>
      <c r="H104" s="521"/>
      <c r="I104" s="521"/>
      <c r="J104" s="521"/>
      <c r="K104" s="521"/>
      <c r="L104" s="521"/>
      <c r="M104" s="521"/>
      <c r="N104" s="521"/>
      <c r="O104" s="521"/>
      <c r="P104" s="521"/>
      <c r="Q104" s="521"/>
      <c r="R104" s="521"/>
    </row>
    <row r="105" spans="1:18" s="148" customFormat="1" hidden="1" outlineLevel="1" x14ac:dyDescent="0.25">
      <c r="A105" s="142" t="s">
        <v>1518</v>
      </c>
      <c r="B105" s="517"/>
      <c r="C105" s="517"/>
      <c r="D105" s="517"/>
      <c r="E105" s="517"/>
      <c r="F105" s="517"/>
      <c r="G105" s="517"/>
      <c r="H105" s="517"/>
      <c r="I105" s="517"/>
      <c r="J105" s="517"/>
      <c r="K105" s="517"/>
      <c r="L105" s="517"/>
      <c r="M105" s="517"/>
      <c r="N105" s="517"/>
      <c r="O105" s="517"/>
      <c r="P105" s="517"/>
      <c r="Q105" s="517"/>
      <c r="R105" s="517"/>
    </row>
    <row r="106" spans="1:18" s="148" customFormat="1" hidden="1" outlineLevel="1" x14ac:dyDescent="0.25">
      <c r="A106" s="142" t="s">
        <v>1447</v>
      </c>
      <c r="B106" s="517"/>
      <c r="C106" s="517"/>
      <c r="D106" s="517"/>
      <c r="E106" s="517"/>
      <c r="F106" s="517"/>
      <c r="G106" s="517"/>
      <c r="H106" s="517"/>
      <c r="I106" s="517"/>
      <c r="J106" s="517"/>
      <c r="K106" s="517"/>
      <c r="L106" s="517"/>
      <c r="M106" s="517"/>
      <c r="N106" s="517"/>
      <c r="O106" s="517"/>
      <c r="P106" s="517"/>
      <c r="Q106" s="517"/>
      <c r="R106" s="517"/>
    </row>
    <row r="107" spans="1:18" s="148" customFormat="1" ht="30" hidden="1" customHeight="1" outlineLevel="1" x14ac:dyDescent="0.25">
      <c r="A107" s="553" t="s">
        <v>1519</v>
      </c>
      <c r="B107" s="553"/>
      <c r="C107" s="553"/>
      <c r="D107" s="553"/>
      <c r="E107" s="553"/>
      <c r="F107" s="553"/>
      <c r="G107" s="553"/>
      <c r="H107" s="553"/>
      <c r="I107" s="553"/>
      <c r="J107" s="553"/>
      <c r="K107" s="553"/>
      <c r="L107" s="553"/>
      <c r="M107" s="553"/>
      <c r="N107" s="553"/>
      <c r="O107" s="553"/>
      <c r="P107" s="553"/>
      <c r="Q107" s="553"/>
      <c r="R107" s="553"/>
    </row>
    <row r="108" spans="1:18" s="148" customFormat="1" ht="19.5" hidden="1" customHeight="1" outlineLevel="1" x14ac:dyDescent="0.25">
      <c r="A108" s="527" t="s">
        <v>1520</v>
      </c>
      <c r="B108" s="523"/>
      <c r="C108" s="523"/>
      <c r="D108" s="523"/>
      <c r="E108" s="522"/>
      <c r="F108" s="522"/>
      <c r="G108" s="522"/>
      <c r="H108" s="522"/>
      <c r="I108" s="522"/>
      <c r="J108" s="522"/>
      <c r="K108" s="522"/>
      <c r="L108" s="522"/>
      <c r="M108" s="517"/>
      <c r="N108" s="517"/>
      <c r="O108" s="517"/>
      <c r="P108" s="517"/>
      <c r="Q108" s="517"/>
      <c r="R108" s="517"/>
    </row>
    <row r="109" spans="1:18" s="148" customFormat="1" ht="13.5" hidden="1" customHeight="1" outlineLevel="1" x14ac:dyDescent="0.25">
      <c r="A109" s="553" t="s">
        <v>1521</v>
      </c>
      <c r="B109" s="553"/>
      <c r="C109" s="553"/>
      <c r="D109" s="553"/>
      <c r="E109" s="553"/>
      <c r="F109" s="553"/>
      <c r="G109" s="553"/>
      <c r="H109" s="553"/>
      <c r="I109" s="553"/>
      <c r="J109" s="553"/>
      <c r="K109" s="553"/>
      <c r="L109" s="553"/>
      <c r="M109" s="553"/>
      <c r="N109" s="553"/>
      <c r="O109" s="553"/>
      <c r="P109" s="553"/>
      <c r="Q109" s="553"/>
      <c r="R109" s="517"/>
    </row>
    <row r="110" spans="1:18" s="148" customFormat="1" hidden="1" outlineLevel="1" x14ac:dyDescent="0.25">
      <c r="A110" s="527" t="s">
        <v>1522</v>
      </c>
      <c r="B110" s="522"/>
      <c r="C110" s="522"/>
      <c r="D110" s="522"/>
      <c r="E110" s="517"/>
      <c r="F110" s="517"/>
      <c r="G110" s="517"/>
      <c r="H110" s="517"/>
      <c r="I110" s="517"/>
      <c r="J110" s="517"/>
      <c r="K110" s="517"/>
      <c r="L110" s="517"/>
      <c r="M110" s="517"/>
      <c r="N110" s="517"/>
      <c r="O110" s="517"/>
      <c r="P110" s="517"/>
      <c r="Q110" s="517"/>
      <c r="R110" s="517"/>
    </row>
    <row r="111" spans="1:18" s="138" customFormat="1" ht="12.75" hidden="1" customHeight="1" outlineLevel="1" x14ac:dyDescent="0.25">
      <c r="A111" s="142" t="s">
        <v>1523</v>
      </c>
      <c r="B111" s="517"/>
      <c r="C111" s="517"/>
      <c r="D111" s="517"/>
      <c r="E111" s="522"/>
      <c r="F111" s="522"/>
      <c r="G111" s="522"/>
      <c r="H111" s="522"/>
      <c r="I111" s="522"/>
      <c r="J111" s="522"/>
      <c r="K111" s="522"/>
      <c r="L111" s="522"/>
      <c r="M111" s="517"/>
      <c r="N111" s="517"/>
      <c r="O111" s="517"/>
      <c r="P111" s="517"/>
      <c r="Q111" s="517"/>
      <c r="R111" s="517"/>
    </row>
    <row r="112" spans="1:18" s="138" customFormat="1" hidden="1" outlineLevel="1" x14ac:dyDescent="0.25">
      <c r="A112" s="142" t="s">
        <v>1524</v>
      </c>
      <c r="B112" s="517"/>
      <c r="C112" s="517"/>
      <c r="D112" s="517"/>
      <c r="E112" s="517"/>
      <c r="F112" s="517"/>
      <c r="G112" s="517"/>
      <c r="H112" s="517"/>
      <c r="I112" s="517"/>
      <c r="J112" s="517"/>
      <c r="K112" s="517"/>
      <c r="L112" s="517"/>
      <c r="M112" s="517"/>
      <c r="N112" s="517"/>
      <c r="O112" s="517"/>
      <c r="P112" s="517"/>
      <c r="Q112" s="517"/>
      <c r="R112" s="517"/>
    </row>
    <row r="113" spans="1:18" s="138" customFormat="1" hidden="1" outlineLevel="1" x14ac:dyDescent="0.25">
      <c r="A113" s="142" t="s">
        <v>1525</v>
      </c>
      <c r="B113" s="517"/>
      <c r="C113" s="517"/>
      <c r="D113" s="517"/>
      <c r="E113" s="517"/>
      <c r="F113" s="517"/>
      <c r="G113" s="517"/>
      <c r="H113" s="517"/>
      <c r="I113" s="517"/>
      <c r="J113" s="517"/>
      <c r="K113" s="517"/>
      <c r="L113" s="517"/>
      <c r="M113" s="517"/>
      <c r="N113" s="517"/>
      <c r="O113" s="517"/>
      <c r="P113" s="517"/>
      <c r="Q113" s="517"/>
      <c r="R113" s="517"/>
    </row>
    <row r="114" spans="1:18" s="138" customFormat="1" hidden="1" outlineLevel="1" x14ac:dyDescent="0.25">
      <c r="A114" s="142" t="s">
        <v>1529</v>
      </c>
      <c r="B114" s="518"/>
      <c r="C114" s="518"/>
      <c r="D114" s="518"/>
      <c r="E114" s="517"/>
      <c r="F114" s="517"/>
      <c r="G114" s="517"/>
      <c r="H114" s="517"/>
      <c r="I114" s="517"/>
      <c r="J114" s="517"/>
      <c r="K114" s="517"/>
      <c r="L114" s="517"/>
      <c r="M114" s="517"/>
      <c r="N114" s="517"/>
      <c r="O114" s="517"/>
      <c r="P114" s="517"/>
      <c r="Q114" s="517"/>
      <c r="R114" s="517"/>
    </row>
    <row r="115" spans="1:18" s="138" customFormat="1" hidden="1" outlineLevel="1" x14ac:dyDescent="0.25">
      <c r="A115" s="142" t="s">
        <v>1526</v>
      </c>
      <c r="B115" s="518"/>
      <c r="C115" s="518"/>
      <c r="D115" s="518"/>
      <c r="E115" s="517"/>
      <c r="F115" s="517"/>
      <c r="G115" s="517"/>
      <c r="H115" s="517"/>
      <c r="I115" s="517"/>
      <c r="J115" s="517"/>
      <c r="K115" s="517"/>
      <c r="L115" s="517"/>
      <c r="M115" s="517"/>
      <c r="N115" s="517"/>
      <c r="O115" s="517"/>
      <c r="P115" s="517"/>
      <c r="Q115" s="517"/>
      <c r="R115" s="517"/>
    </row>
    <row r="116" spans="1:18" s="148" customFormat="1" hidden="1" outlineLevel="1" x14ac:dyDescent="0.25">
      <c r="A116" s="142" t="s">
        <v>1527</v>
      </c>
      <c r="B116" s="518"/>
      <c r="C116" s="518"/>
      <c r="D116" s="518"/>
      <c r="E116" s="518"/>
      <c r="F116" s="518"/>
      <c r="G116" s="518"/>
      <c r="H116" s="518"/>
      <c r="I116" s="518"/>
      <c r="J116" s="518"/>
      <c r="K116" s="518"/>
      <c r="L116" s="518"/>
      <c r="M116" s="518"/>
      <c r="N116" s="518"/>
      <c r="O116" s="518"/>
      <c r="P116" s="518"/>
      <c r="Q116" s="518"/>
      <c r="R116" s="518"/>
    </row>
    <row r="117" spans="1:18" s="148" customFormat="1" hidden="1" outlineLevel="1" x14ac:dyDescent="0.25">
      <c r="A117" s="142" t="s">
        <v>1528</v>
      </c>
      <c r="B117" s="518"/>
      <c r="C117" s="518"/>
      <c r="D117" s="518"/>
      <c r="E117" s="518"/>
      <c r="F117" s="518"/>
      <c r="G117" s="518"/>
      <c r="H117" s="518"/>
      <c r="I117" s="518"/>
      <c r="J117" s="518"/>
      <c r="K117" s="518"/>
      <c r="L117" s="518"/>
      <c r="M117" s="518"/>
      <c r="N117" s="518"/>
      <c r="O117" s="518"/>
      <c r="P117" s="518"/>
      <c r="Q117" s="518"/>
      <c r="R117" s="518"/>
    </row>
    <row r="118" spans="1:18" s="148" customFormat="1" hidden="1" outlineLevel="1" x14ac:dyDescent="0.25">
      <c r="A118" s="527" t="s">
        <v>1448</v>
      </c>
      <c r="B118" s="522"/>
      <c r="C118" s="522"/>
      <c r="D118" s="522"/>
      <c r="E118" s="518"/>
      <c r="F118" s="518"/>
      <c r="G118" s="518"/>
      <c r="H118" s="518"/>
      <c r="I118" s="518"/>
      <c r="J118" s="518"/>
      <c r="K118" s="518"/>
      <c r="L118" s="518"/>
      <c r="M118" s="518"/>
      <c r="N118" s="518"/>
      <c r="O118" s="518"/>
      <c r="P118" s="518"/>
      <c r="Q118" s="518"/>
      <c r="R118" s="518"/>
    </row>
    <row r="119" spans="1:18" s="148" customFormat="1" ht="12.75" hidden="1" customHeight="1" outlineLevel="1" x14ac:dyDescent="0.25">
      <c r="A119" s="428" t="s">
        <v>1449</v>
      </c>
      <c r="B119" s="517"/>
      <c r="C119" s="517"/>
      <c r="D119" s="517"/>
      <c r="E119" s="522"/>
      <c r="F119" s="522"/>
      <c r="G119" s="522"/>
      <c r="H119" s="522"/>
      <c r="I119" s="522"/>
      <c r="J119" s="522"/>
      <c r="K119" s="522"/>
      <c r="L119" s="522"/>
      <c r="M119" s="518"/>
      <c r="N119" s="518"/>
      <c r="O119" s="518"/>
      <c r="P119" s="518"/>
      <c r="Q119" s="518"/>
      <c r="R119" s="518"/>
    </row>
    <row r="120" spans="1:18" s="148" customFormat="1" hidden="1" outlineLevel="1" x14ac:dyDescent="0.25">
      <c r="E120" s="253"/>
      <c r="F120" s="253"/>
      <c r="G120" s="253"/>
      <c r="H120" s="253"/>
      <c r="I120" s="253"/>
      <c r="J120" s="253"/>
      <c r="K120" s="253"/>
      <c r="L120" s="253"/>
      <c r="M120" s="253"/>
      <c r="N120" s="253"/>
      <c r="O120" s="253"/>
      <c r="P120" s="253"/>
      <c r="Q120" s="253"/>
      <c r="R120" s="253"/>
    </row>
    <row r="121" spans="1:18" s="148" customFormat="1" hidden="1" outlineLevel="1" x14ac:dyDescent="0.25">
      <c r="A121" s="128"/>
      <c r="B121" s="128"/>
      <c r="C121" s="128"/>
      <c r="D121" s="128"/>
    </row>
    <row r="122" spans="1:18" collapsed="1" x14ac:dyDescent="0.25"/>
    <row r="123" spans="1:18" ht="15.6" customHeight="1" x14ac:dyDescent="0.25"/>
    <row r="124" spans="1:18" x14ac:dyDescent="0.25">
      <c r="A124" s="144"/>
      <c r="B124" s="144"/>
      <c r="C124" s="144"/>
      <c r="D124" s="144"/>
      <c r="E124" s="144"/>
    </row>
    <row r="125" spans="1:18" x14ac:dyDescent="0.25">
      <c r="A125" s="144"/>
      <c r="B125" s="144"/>
      <c r="C125" s="144"/>
      <c r="D125" s="144"/>
      <c r="E125" s="144"/>
    </row>
    <row r="126" spans="1:18" x14ac:dyDescent="0.25">
      <c r="A126" s="144"/>
      <c r="B126" s="144"/>
      <c r="C126" s="144"/>
      <c r="D126" s="144"/>
      <c r="E126" s="144"/>
    </row>
    <row r="127" spans="1:18" x14ac:dyDescent="0.25">
      <c r="A127" s="144"/>
      <c r="B127" s="144"/>
      <c r="C127" s="144"/>
      <c r="D127" s="144"/>
      <c r="E127" s="144"/>
    </row>
    <row r="128" spans="1:18" x14ac:dyDescent="0.25">
      <c r="A128" s="144"/>
      <c r="B128" s="144"/>
      <c r="C128" s="144"/>
      <c r="D128" s="144"/>
      <c r="E128" s="144"/>
    </row>
    <row r="129" spans="1:5" x14ac:dyDescent="0.25">
      <c r="A129" s="144"/>
      <c r="B129" s="144"/>
      <c r="C129" s="144"/>
      <c r="D129" s="144"/>
      <c r="E129" s="144"/>
    </row>
    <row r="130" spans="1:5" x14ac:dyDescent="0.25">
      <c r="A130" s="144"/>
      <c r="B130" s="144"/>
      <c r="C130" s="144"/>
      <c r="D130" s="144"/>
      <c r="E130" s="144"/>
    </row>
  </sheetData>
  <mergeCells count="3">
    <mergeCell ref="A103:R103"/>
    <mergeCell ref="A107:R107"/>
    <mergeCell ref="A109:Q109"/>
  </mergeCells>
  <conditionalFormatting sqref="B25:C25">
    <cfRule type="expression" dxfId="1" priority="2">
      <formula>$B$25=0</formula>
    </cfRule>
  </conditionalFormatting>
  <conditionalFormatting sqref="B88:C88">
    <cfRule type="expression" dxfId="0" priority="1">
      <formula>$B$88=0</formula>
    </cfRule>
  </conditionalFormatting>
  <pageMargins left="0.7" right="0.7" top="0.75" bottom="0.75" header="0.3" footer="0.3"/>
  <pageSetup paperSize="9" scale="37"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check</vt:lpstr>
      <vt:lpstr>IIN_PFIF</vt:lpstr>
      <vt:lpstr>2025.gada budzeta plans_apvieno</vt:lpstr>
      <vt:lpstr>Grafiki_budžeta_izpilde</vt:lpstr>
      <vt:lpstr>'2025.gada budzeta plans_apvieno'!Print_Area</vt:lpstr>
      <vt:lpstr>'2025.gada budzeta plans_apvieno'!Print_Titles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Sintija Tenisa</cp:lastModifiedBy>
  <cp:lastPrinted>2025-01-15T14:12:04Z</cp:lastPrinted>
  <dcterms:created xsi:type="dcterms:W3CDTF">2015-07-17T07:55:13Z</dcterms:created>
  <dcterms:modified xsi:type="dcterms:W3CDTF">2025-07-26T18:09:06Z</dcterms:modified>
</cp:coreProperties>
</file>