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Šī_darbgrāmata" hidePivotFieldList="1"/>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A53B5073-973C-466E-8B61-5BD253DDE52F}" xr6:coauthVersionLast="47" xr6:coauthVersionMax="47" xr10:uidLastSave="{00000000-0000-0000-0000-000000000000}"/>
  <bookViews>
    <workbookView xWindow="-108" yWindow="-108" windowWidth="23256" windowHeight="12456" tabRatio="905" firstSheet="2" activeTab="3" xr2:uid="{00000000-000D-0000-FFFF-FFFF00000000}"/>
  </bookViews>
  <sheets>
    <sheet name="check" sheetId="111" r:id="rId1"/>
    <sheet name="IIN_PFIF" sheetId="134" r:id="rId2"/>
    <sheet name="2025.gada budzeta plans_apvieno" sheetId="70" r:id="rId3"/>
    <sheet name="Grafiki_budžeta_izpilde" sheetId="128" r:id="rId4"/>
  </sheets>
  <definedNames>
    <definedName name="_0812" localSheetId="3">#REF!</definedName>
    <definedName name="_0812">#REF!</definedName>
    <definedName name="_xlnm._FilterDatabase" localSheetId="2" hidden="1">'2025.gada budzeta plans_apvieno'!#REF!</definedName>
    <definedName name="Apmaksa" localSheetId="2">#REF!</definedName>
    <definedName name="Apmaksa">#REF!</definedName>
    <definedName name="Darijums" localSheetId="2">#REF!</definedName>
    <definedName name="Darijums">#REF!</definedName>
    <definedName name="Excel_BuiltIn__FilterDatabase" localSheetId="2">#REF!</definedName>
    <definedName name="Excel_BuiltIn__FilterDatabase">#REF!</definedName>
    <definedName name="Firmas" localSheetId="2">#REF!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 localSheetId="3">#REF!</definedName>
    <definedName name="KolonnasNosaukums1">#REF!</definedName>
    <definedName name="Parvadataji" localSheetId="2">#REF!</definedName>
    <definedName name="Parvadataji">#REF!</definedName>
    <definedName name="_xlnm.Print_Area" localSheetId="2">'2025.gada budzeta plans_apvieno'!$A$1:$Q$289</definedName>
    <definedName name="_xlnm.Print_Titles" localSheetId="2">'2025.gada budzeta plans_apvieno'!$5:$5</definedName>
    <definedName name="Saist_apmers_ar_galvojumu">#REF!</definedName>
    <definedName name="Z_1893421C_DBAA_4C10_AA6C_4D0F39122205_.wvu.FilterData" localSheetId="2">#REF!</definedName>
    <definedName name="Z_1893421C_DBAA_4C10_AA6C_4D0F39122205_.wvu.FilterData">#REF!</definedName>
    <definedName name="Z_483F8D4B_D649_4D59_A67B_5E8B6C0D2E28_.wvu.FilterData" localSheetId="2">#REF!</definedName>
    <definedName name="Z_483F8D4B_D649_4D59_A67B_5E8B6C0D2E28_.wvu.FilterData">#REF!</definedName>
    <definedName name="Z_56A06D27_97E5_4D01_ADCE_F8E0A2A870EF_.wvu.FilterData" localSheetId="2">#REF!</definedName>
    <definedName name="Z_56A06D27_97E5_4D01_ADCE_F8E0A2A870EF_.wvu.FilterData">#REF!</definedName>
    <definedName name="Z_81EB1DB6_89AB_4045_90FA_EF2BA7E792F9_.wvu.FilterData" localSheetId="2">#REF!</definedName>
    <definedName name="Z_81EB1DB6_89AB_4045_90FA_EF2BA7E792F9_.wvu.FilterData">#REF!</definedName>
    <definedName name="Z_81EB1DB6_89AB_4045_90FA_EF2BA7E792F9_.wvu.PrintArea" localSheetId="2">#REF!</definedName>
    <definedName name="Z_81EB1DB6_89AB_4045_90FA_EF2BA7E792F9_.wvu.PrintArea">#REF!</definedName>
    <definedName name="Z_8545B4E6_A517_4BD7_BFB7_42FEB5F229AD_.wvu.FilterData" localSheetId="2">#REF!</definedName>
    <definedName name="Z_8545B4E6_A517_4BD7_BFB7_42FEB5F229AD_.wvu.FilterData">#REF!</definedName>
    <definedName name="Z_877A1030_2452_46B0_88DF_8A068656C08E_.wvu.FilterData" localSheetId="2">#REF!</definedName>
    <definedName name="Z_877A1030_2452_46B0_88DF_8A068656C08E_.wvu.FilterData">#REF!</definedName>
    <definedName name="Z_ABD8A783_3A6C_4629_9559_1E4E89E80131_.wvu.FilterData" localSheetId="2">#REF!</definedName>
    <definedName name="Z_ABD8A783_3A6C_4629_9559_1E4E89E80131_.wvu.FilterData">#REF!</definedName>
    <definedName name="Z_AF277C95_CBD9_4696_AC72_D010599E9831_.wvu.FilterData" localSheetId="2">#REF!</definedName>
    <definedName name="Z_AF277C95_CBD9_4696_AC72_D010599E9831_.wvu.FilterData">#REF!</definedName>
    <definedName name="Z_B7CBCF06_FF41_423A_9AB3_E1D1F70C6FC5_.wvu.FilterData" localSheetId="2">#REF!</definedName>
    <definedName name="Z_B7CBCF06_FF41_423A_9AB3_E1D1F70C6FC5_.wvu.FilterData">#REF!</definedName>
    <definedName name="Z_C5511FB8_86C5_41F3_ADCD_B10310F066F5_.wvu.FilterData" localSheetId="2">#REF!</definedName>
    <definedName name="Z_C5511FB8_86C5_41F3_ADCD_B10310F066F5_.wvu.FilterData">#REF!</definedName>
    <definedName name="Z_DB8ECBD1_2D44_4F97_BCC9_F610BA0A3109_.wvu.FilterData" localSheetId="2">#REF!</definedName>
    <definedName name="Z_DB8ECBD1_2D44_4F97_BCC9_F610BA0A3109_.wvu.FilterData">#REF!</definedName>
    <definedName name="Z_DEE3A27E_689A_4E9F_A3EB_C84F1E3B413E_.wvu.FilterData" localSheetId="2">#REF!</definedName>
    <definedName name="Z_DEE3A27E_689A_4E9F_A3EB_C84F1E3B413E_.wvu.FilterData">#REF!</definedName>
    <definedName name="Z_F1F489B9_0F61_4F1F_A151_75EF77465344_.wvu.Cols" localSheetId="2">#REF!</definedName>
    <definedName name="Z_F1F489B9_0F61_4F1F_A151_75EF77465344_.wvu.Cols">#REF!</definedName>
    <definedName name="Z_F1F489B9_0F61_4F1F_A151_75EF77465344_.wvu.FilterData" localSheetId="2">#REF!</definedName>
    <definedName name="Z_F1F489B9_0F61_4F1F_A151_75EF77465344_.wvu.FilterData">#REF!</definedName>
    <definedName name="Z_F1F489B9_0F61_4F1F_A151_75EF77465344_.wvu.PrintArea" localSheetId="2">#REF!</definedName>
    <definedName name="Z_F1F489B9_0F61_4F1F_A151_75EF77465344_.wvu.PrintArea">#REF!</definedName>
    <definedName name="Z_F1F489B9_0F61_4F1F_A151_75EF77465344_.wvu.PrintTitles" localSheetId="2">#REF!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1" i="128" l="1"/>
  <c r="O169" i="70"/>
  <c r="O103" i="70"/>
  <c r="O97" i="70"/>
  <c r="O38" i="70"/>
  <c r="O35" i="70"/>
  <c r="O279" i="70" l="1"/>
  <c r="O166" i="70"/>
  <c r="O149" i="70"/>
  <c r="O198" i="70"/>
  <c r="O197" i="70" s="1"/>
  <c r="O239" i="70"/>
  <c r="O250" i="70"/>
  <c r="O190" i="70"/>
  <c r="O126" i="70"/>
  <c r="P285" i="70"/>
  <c r="P284" i="70"/>
  <c r="P187" i="70"/>
  <c r="P186" i="70"/>
  <c r="O65" i="70"/>
  <c r="O94" i="70"/>
  <c r="O101" i="70"/>
  <c r="O54" i="70"/>
  <c r="O31" i="70"/>
  <c r="O26" i="70"/>
  <c r="M285" i="70" l="1"/>
  <c r="M284" i="70"/>
  <c r="L283" i="70"/>
  <c r="M187" i="70"/>
  <c r="M186" i="70"/>
  <c r="N181" i="70"/>
  <c r="M124" i="70"/>
  <c r="L124" i="70"/>
  <c r="J124" i="70" l="1"/>
  <c r="J285" i="70" l="1"/>
  <c r="J284" i="70"/>
  <c r="I283" i="70"/>
  <c r="M283" i="70" s="1"/>
  <c r="K181" i="70"/>
  <c r="I124" i="70"/>
  <c r="C69" i="128" l="1"/>
  <c r="G95" i="70" l="1"/>
  <c r="I95" i="70"/>
  <c r="J95" i="70" l="1"/>
  <c r="L95" i="70"/>
  <c r="M95" i="70" s="1"/>
  <c r="C67" i="128" l="1"/>
  <c r="O148" i="70" l="1"/>
  <c r="O196" i="70"/>
  <c r="O162" i="70" l="1"/>
  <c r="O143" i="70" l="1"/>
  <c r="C86" i="128"/>
  <c r="C84" i="128"/>
  <c r="C74" i="128"/>
  <c r="C68" i="128"/>
  <c r="C64" i="128"/>
  <c r="C62" i="128"/>
  <c r="C61" i="128"/>
  <c r="C60" i="128"/>
  <c r="C59" i="128"/>
  <c r="D56" i="128"/>
  <c r="C56" i="128"/>
  <c r="B56" i="128"/>
  <c r="C14" i="128"/>
  <c r="D5" i="128"/>
  <c r="C5" i="128"/>
  <c r="G285" i="70"/>
  <c r="G284" i="70"/>
  <c r="O283" i="70"/>
  <c r="P283" i="70" s="1"/>
  <c r="J283" i="70"/>
  <c r="O280" i="70"/>
  <c r="I272" i="70"/>
  <c r="L272" i="70" s="1"/>
  <c r="O269" i="70"/>
  <c r="O266" i="70"/>
  <c r="I263" i="70"/>
  <c r="L263" i="70" s="1"/>
  <c r="P263" i="70" s="1"/>
  <c r="O262" i="70"/>
  <c r="I258" i="70"/>
  <c r="I254" i="70"/>
  <c r="O249" i="70"/>
  <c r="O233" i="70"/>
  <c r="I230" i="70"/>
  <c r="L230" i="70" s="1"/>
  <c r="P230" i="70" s="1"/>
  <c r="O229" i="70"/>
  <c r="I226" i="70"/>
  <c r="L226" i="70" s="1"/>
  <c r="P226" i="70" s="1"/>
  <c r="O225" i="70"/>
  <c r="I222" i="70"/>
  <c r="L222" i="70" s="1"/>
  <c r="P222" i="70" s="1"/>
  <c r="O221" i="70"/>
  <c r="I218" i="70"/>
  <c r="L218" i="70" s="1"/>
  <c r="P218" i="70" s="1"/>
  <c r="O217" i="70"/>
  <c r="O205" i="70"/>
  <c r="O202" i="70"/>
  <c r="I199" i="70"/>
  <c r="I192" i="70"/>
  <c r="I191" i="70"/>
  <c r="L191" i="70" s="1"/>
  <c r="P191" i="70" s="1"/>
  <c r="O181" i="70"/>
  <c r="H181" i="70"/>
  <c r="I169" i="70"/>
  <c r="I167" i="70"/>
  <c r="L167" i="70" s="1"/>
  <c r="P167" i="70" s="1"/>
  <c r="I164" i="70"/>
  <c r="I163" i="70"/>
  <c r="L163" i="70" s="1"/>
  <c r="I153" i="70"/>
  <c r="O141" i="70"/>
  <c r="I139" i="70"/>
  <c r="I138" i="70"/>
  <c r="L138" i="70" s="1"/>
  <c r="P138" i="70" s="1"/>
  <c r="O137" i="70"/>
  <c r="I135" i="70"/>
  <c r="I126" i="70"/>
  <c r="L126" i="70" s="1"/>
  <c r="O125" i="70"/>
  <c r="P124" i="70"/>
  <c r="O124" i="70"/>
  <c r="O118" i="70"/>
  <c r="O117" i="70"/>
  <c r="I117" i="70"/>
  <c r="O116" i="70"/>
  <c r="O109" i="70"/>
  <c r="I109" i="70"/>
  <c r="L109" i="70" s="1"/>
  <c r="O105" i="70"/>
  <c r="I102" i="70"/>
  <c r="I99" i="70"/>
  <c r="O93" i="70"/>
  <c r="I88" i="70"/>
  <c r="O86" i="70"/>
  <c r="I67" i="70"/>
  <c r="O66" i="70"/>
  <c r="I65" i="70"/>
  <c r="L65" i="70" s="1"/>
  <c r="P65" i="70" s="1"/>
  <c r="O50" i="70"/>
  <c r="I49" i="70"/>
  <c r="L49" i="70" s="1"/>
  <c r="M49" i="70" s="1"/>
  <c r="O37" i="70"/>
  <c r="O34" i="70"/>
  <c r="O27" i="70"/>
  <c r="O23" i="70"/>
  <c r="O19" i="70"/>
  <c r="O16" i="70"/>
  <c r="O13" i="70"/>
  <c r="O10" i="70"/>
  <c r="O7" i="70"/>
  <c r="I8" i="70"/>
  <c r="L8" i="70" s="1"/>
  <c r="P8" i="70" s="1"/>
  <c r="G17" i="134"/>
  <c r="F17" i="134"/>
  <c r="E17" i="134"/>
  <c r="D17" i="134"/>
  <c r="C17" i="134"/>
  <c r="G14" i="134"/>
  <c r="F14" i="134"/>
  <c r="E14" i="134"/>
  <c r="D14" i="134"/>
  <c r="C14" i="134"/>
  <c r="G10" i="134"/>
  <c r="F10" i="134"/>
  <c r="E10" i="134"/>
  <c r="D10" i="134"/>
  <c r="C10" i="134"/>
  <c r="R9" i="134"/>
  <c r="S9" i="134" s="1"/>
  <c r="O9" i="134"/>
  <c r="P9" i="134" s="1"/>
  <c r="L9" i="134"/>
  <c r="M9" i="134" s="1"/>
  <c r="I9" i="134"/>
  <c r="J9" i="134" s="1"/>
  <c r="R8" i="134"/>
  <c r="S8" i="134" s="1"/>
  <c r="O8" i="134"/>
  <c r="P8" i="134" s="1"/>
  <c r="L8" i="134"/>
  <c r="M8" i="134" s="1"/>
  <c r="I8" i="134"/>
  <c r="J8" i="134" s="1"/>
  <c r="P33" i="111"/>
  <c r="Q33" i="111" s="1"/>
  <c r="O21" i="111"/>
  <c r="O20" i="111" s="1"/>
  <c r="O6" i="111"/>
  <c r="O5" i="111" s="1"/>
  <c r="P163" i="70" l="1"/>
  <c r="O195" i="70"/>
  <c r="P272" i="70"/>
  <c r="P126" i="70"/>
  <c r="P109" i="70"/>
  <c r="C10" i="128"/>
  <c r="C17" i="128"/>
  <c r="C13" i="128"/>
  <c r="L139" i="70"/>
  <c r="L137" i="70" s="1"/>
  <c r="B63" i="128" s="1"/>
  <c r="L135" i="70"/>
  <c r="L164" i="70"/>
  <c r="P164" i="70" s="1"/>
  <c r="L169" i="70"/>
  <c r="L192" i="70"/>
  <c r="M272" i="70"/>
  <c r="L153" i="70"/>
  <c r="L258" i="70"/>
  <c r="M65" i="70"/>
  <c r="L117" i="70"/>
  <c r="M117" i="70" s="1"/>
  <c r="O10" i="134"/>
  <c r="P10" i="134" s="1"/>
  <c r="L254" i="70"/>
  <c r="J99" i="70"/>
  <c r="L99" i="70"/>
  <c r="M99" i="70" s="1"/>
  <c r="M138" i="70"/>
  <c r="M218" i="70"/>
  <c r="M163" i="70"/>
  <c r="M167" i="70"/>
  <c r="J67" i="70"/>
  <c r="L67" i="70"/>
  <c r="M191" i="70"/>
  <c r="J88" i="70"/>
  <c r="L88" i="70"/>
  <c r="M88" i="70" s="1"/>
  <c r="M126" i="70"/>
  <c r="J199" i="70"/>
  <c r="L199" i="70"/>
  <c r="M199" i="70" s="1"/>
  <c r="M230" i="70"/>
  <c r="M263" i="70"/>
  <c r="M226" i="70"/>
  <c r="L7" i="70"/>
  <c r="M8" i="70"/>
  <c r="J102" i="70"/>
  <c r="L102" i="70"/>
  <c r="M102" i="70" s="1"/>
  <c r="M222" i="70"/>
  <c r="M109" i="70"/>
  <c r="I241" i="70"/>
  <c r="L241" i="70" s="1"/>
  <c r="I252" i="70"/>
  <c r="L252" i="70" s="1"/>
  <c r="I48" i="70"/>
  <c r="L48" i="70" s="1"/>
  <c r="J135" i="70"/>
  <c r="I287" i="70"/>
  <c r="L287" i="70" s="1"/>
  <c r="I85" i="70"/>
  <c r="J85" i="70" s="1"/>
  <c r="R10" i="134"/>
  <c r="S10" i="134" s="1"/>
  <c r="I10" i="134"/>
  <c r="J10" i="134" s="1"/>
  <c r="L10" i="134"/>
  <c r="M10" i="134" s="1"/>
  <c r="I20" i="70"/>
  <c r="L20" i="70" s="1"/>
  <c r="P20" i="70" s="1"/>
  <c r="O22" i="70"/>
  <c r="G46" i="70"/>
  <c r="I46" i="70"/>
  <c r="I51" i="70"/>
  <c r="L51" i="70" s="1"/>
  <c r="P51" i="70" s="1"/>
  <c r="I77" i="70"/>
  <c r="I83" i="70"/>
  <c r="I94" i="70"/>
  <c r="L94" i="70" s="1"/>
  <c r="P94" i="70" s="1"/>
  <c r="I183" i="70"/>
  <c r="I198" i="70"/>
  <c r="I231" i="70"/>
  <c r="L231" i="70" s="1"/>
  <c r="I234" i="70"/>
  <c r="L234" i="70" s="1"/>
  <c r="P234" i="70" s="1"/>
  <c r="I239" i="70"/>
  <c r="L239" i="70" s="1"/>
  <c r="P239" i="70" s="1"/>
  <c r="I246" i="70"/>
  <c r="I256" i="70"/>
  <c r="I32" i="70"/>
  <c r="G38" i="70"/>
  <c r="I38" i="70"/>
  <c r="L38" i="70" s="1"/>
  <c r="P38" i="70" s="1"/>
  <c r="I57" i="70"/>
  <c r="G63" i="70"/>
  <c r="I63" i="70"/>
  <c r="I91" i="70"/>
  <c r="L91" i="70" s="1"/>
  <c r="P91" i="70" s="1"/>
  <c r="G103" i="70"/>
  <c r="I103" i="70"/>
  <c r="I107" i="70"/>
  <c r="I115" i="70"/>
  <c r="I142" i="70"/>
  <c r="L142" i="70" s="1"/>
  <c r="P142" i="70" s="1"/>
  <c r="I159" i="70"/>
  <c r="I165" i="70"/>
  <c r="I189" i="70"/>
  <c r="I193" i="70"/>
  <c r="L193" i="70" s="1"/>
  <c r="P193" i="70" s="1"/>
  <c r="I207" i="70"/>
  <c r="I227" i="70"/>
  <c r="L227" i="70" s="1"/>
  <c r="I240" i="70"/>
  <c r="I24" i="70"/>
  <c r="L24" i="70" s="1"/>
  <c r="P24" i="70" s="1"/>
  <c r="I35" i="70"/>
  <c r="L35" i="70" s="1"/>
  <c r="P35" i="70" s="1"/>
  <c r="I78" i="70"/>
  <c r="I84" i="70"/>
  <c r="I87" i="70"/>
  <c r="L87" i="70" s="1"/>
  <c r="P87" i="70" s="1"/>
  <c r="I92" i="70"/>
  <c r="I110" i="70"/>
  <c r="I130" i="70"/>
  <c r="J139" i="70"/>
  <c r="I149" i="70"/>
  <c r="L149" i="70" s="1"/>
  <c r="P149" i="70" s="1"/>
  <c r="I154" i="70"/>
  <c r="J169" i="70"/>
  <c r="I184" i="70"/>
  <c r="I203" i="70"/>
  <c r="L203" i="70" s="1"/>
  <c r="P203" i="70" s="1"/>
  <c r="I212" i="70"/>
  <c r="I223" i="70"/>
  <c r="L223" i="70" s="1"/>
  <c r="I232" i="70"/>
  <c r="I235" i="70"/>
  <c r="G247" i="70"/>
  <c r="I247" i="70"/>
  <c r="I251" i="70"/>
  <c r="I257" i="70"/>
  <c r="I17" i="70"/>
  <c r="L17" i="70" s="1"/>
  <c r="P17" i="70" s="1"/>
  <c r="I21" i="70"/>
  <c r="I33" i="70"/>
  <c r="G49" i="70"/>
  <c r="J49" i="70"/>
  <c r="I52" i="70"/>
  <c r="G58" i="70"/>
  <c r="I58" i="70"/>
  <c r="I64" i="70"/>
  <c r="G116" i="70"/>
  <c r="I116" i="70"/>
  <c r="G144" i="70"/>
  <c r="I144" i="70"/>
  <c r="L144" i="70" s="1"/>
  <c r="I160" i="70"/>
  <c r="I194" i="70"/>
  <c r="I219" i="70"/>
  <c r="L219" i="70" s="1"/>
  <c r="I228" i="70"/>
  <c r="I270" i="70"/>
  <c r="L270" i="70" s="1"/>
  <c r="P270" i="70" s="1"/>
  <c r="I18" i="70"/>
  <c r="I25" i="70"/>
  <c r="I36" i="70"/>
  <c r="G39" i="70"/>
  <c r="I39" i="70"/>
  <c r="I111" i="70"/>
  <c r="I131" i="70"/>
  <c r="G140" i="70"/>
  <c r="I140" i="70"/>
  <c r="I150" i="70"/>
  <c r="I155" i="70"/>
  <c r="I170" i="70"/>
  <c r="I185" i="70"/>
  <c r="I200" i="70"/>
  <c r="G208" i="70"/>
  <c r="I208" i="70"/>
  <c r="I213" i="70"/>
  <c r="I224" i="70"/>
  <c r="I236" i="70"/>
  <c r="J258" i="70"/>
  <c r="I14" i="70"/>
  <c r="L14" i="70" s="1"/>
  <c r="P14" i="70" s="1"/>
  <c r="I28" i="70"/>
  <c r="L28" i="70" s="1"/>
  <c r="P28" i="70" s="1"/>
  <c r="P53" i="70"/>
  <c r="I53" i="70"/>
  <c r="G59" i="70"/>
  <c r="I59" i="70"/>
  <c r="G68" i="70"/>
  <c r="I68" i="70"/>
  <c r="I74" i="70"/>
  <c r="G126" i="70"/>
  <c r="I145" i="70"/>
  <c r="I204" i="70"/>
  <c r="I214" i="70"/>
  <c r="I220" i="70"/>
  <c r="I242" i="70"/>
  <c r="I253" i="70"/>
  <c r="I259" i="70"/>
  <c r="L259" i="70" s="1"/>
  <c r="I267" i="70"/>
  <c r="L267" i="70" s="1"/>
  <c r="P267" i="70" s="1"/>
  <c r="I271" i="70"/>
  <c r="I15" i="70"/>
  <c r="I26" i="70"/>
  <c r="I40" i="70"/>
  <c r="G65" i="70"/>
  <c r="J65" i="70"/>
  <c r="I80" i="70"/>
  <c r="I112" i="70"/>
  <c r="G117" i="70"/>
  <c r="J117" i="70"/>
  <c r="G132" i="70"/>
  <c r="I132" i="70"/>
  <c r="L132" i="70" s="1"/>
  <c r="P151" i="70"/>
  <c r="I151" i="70"/>
  <c r="I161" i="70"/>
  <c r="I171" i="70"/>
  <c r="I201" i="70"/>
  <c r="I243" i="70"/>
  <c r="I11" i="70"/>
  <c r="L11" i="70" s="1"/>
  <c r="P11" i="70" s="1"/>
  <c r="I29" i="70"/>
  <c r="I54" i="70"/>
  <c r="I60" i="70"/>
  <c r="I69" i="70"/>
  <c r="I127" i="70"/>
  <c r="I146" i="70"/>
  <c r="I156" i="70"/>
  <c r="J186" i="70"/>
  <c r="G209" i="70"/>
  <c r="I209" i="70"/>
  <c r="G216" i="70"/>
  <c r="I216" i="70"/>
  <c r="I264" i="70"/>
  <c r="L264" i="70" s="1"/>
  <c r="I268" i="70"/>
  <c r="L268" i="70" s="1"/>
  <c r="P268" i="70" s="1"/>
  <c r="I277" i="70"/>
  <c r="I12" i="70"/>
  <c r="I44" i="70"/>
  <c r="I81" i="70"/>
  <c r="G97" i="70"/>
  <c r="I97" i="70"/>
  <c r="L97" i="70" s="1"/>
  <c r="P97" i="70" s="1"/>
  <c r="G101" i="70"/>
  <c r="I101" i="70"/>
  <c r="L101" i="70" s="1"/>
  <c r="P101" i="70" s="1"/>
  <c r="G113" i="70"/>
  <c r="I113" i="70"/>
  <c r="G133" i="70"/>
  <c r="I133" i="70"/>
  <c r="I152" i="70"/>
  <c r="J163" i="70"/>
  <c r="I172" i="70"/>
  <c r="L172" i="70" s="1"/>
  <c r="P172" i="70" s="1"/>
  <c r="I244" i="70"/>
  <c r="J254" i="70"/>
  <c r="I260" i="70"/>
  <c r="J272" i="70"/>
  <c r="G8" i="70"/>
  <c r="I30" i="70"/>
  <c r="I55" i="70"/>
  <c r="G61" i="70"/>
  <c r="I61" i="70"/>
  <c r="I70" i="70"/>
  <c r="G118" i="70"/>
  <c r="I118" i="70"/>
  <c r="I128" i="70"/>
  <c r="I147" i="70"/>
  <c r="I157" i="70"/>
  <c r="I182" i="70"/>
  <c r="L182" i="70" s="1"/>
  <c r="P182" i="70" s="1"/>
  <c r="J187" i="70"/>
  <c r="I197" i="70"/>
  <c r="L197" i="70" s="1"/>
  <c r="P197" i="70" s="1"/>
  <c r="I210" i="70"/>
  <c r="I265" i="70"/>
  <c r="I278" i="70"/>
  <c r="I45" i="70"/>
  <c r="I82" i="70"/>
  <c r="G98" i="70"/>
  <c r="I98" i="70"/>
  <c r="L98" i="70" s="1"/>
  <c r="P98" i="70" s="1"/>
  <c r="I245" i="70"/>
  <c r="I255" i="70"/>
  <c r="I261" i="70"/>
  <c r="I273" i="70"/>
  <c r="I31" i="70"/>
  <c r="P56" i="70"/>
  <c r="I56" i="70"/>
  <c r="I62" i="70"/>
  <c r="I106" i="70"/>
  <c r="L106" i="70" s="1"/>
  <c r="P106" i="70" s="1"/>
  <c r="J109" i="70"/>
  <c r="I114" i="70"/>
  <c r="I129" i="70"/>
  <c r="I134" i="70"/>
  <c r="J153" i="70"/>
  <c r="I158" i="70"/>
  <c r="J164" i="70"/>
  <c r="I168" i="70"/>
  <c r="I188" i="70"/>
  <c r="J192" i="70"/>
  <c r="I206" i="70"/>
  <c r="L206" i="70" s="1"/>
  <c r="P206" i="70" s="1"/>
  <c r="I211" i="70"/>
  <c r="I250" i="70"/>
  <c r="L250" i="70" s="1"/>
  <c r="P250" i="70" s="1"/>
  <c r="I279" i="70"/>
  <c r="I276" i="70"/>
  <c r="I274" i="70"/>
  <c r="I275" i="70"/>
  <c r="G85" i="70"/>
  <c r="G79" i="70"/>
  <c r="I79" i="70"/>
  <c r="L79" i="70" s="1"/>
  <c r="G75" i="70"/>
  <c r="I75" i="70"/>
  <c r="G76" i="70"/>
  <c r="I76" i="70"/>
  <c r="G71" i="70"/>
  <c r="I71" i="70"/>
  <c r="G72" i="70"/>
  <c r="I72" i="70"/>
  <c r="G73" i="70"/>
  <c r="I73" i="70"/>
  <c r="G18" i="70"/>
  <c r="O9" i="70"/>
  <c r="G263" i="70"/>
  <c r="G52" i="70"/>
  <c r="G163" i="70"/>
  <c r="G170" i="70"/>
  <c r="G62" i="70"/>
  <c r="G28" i="70"/>
  <c r="G60" i="70"/>
  <c r="G145" i="70"/>
  <c r="G159" i="70"/>
  <c r="G266" i="70"/>
  <c r="G87" i="70"/>
  <c r="G108" i="70"/>
  <c r="G172" i="70"/>
  <c r="G227" i="70"/>
  <c r="G200" i="70"/>
  <c r="G20" i="70"/>
  <c r="G191" i="70"/>
  <c r="G161" i="70"/>
  <c r="G261" i="70"/>
  <c r="G214" i="70"/>
  <c r="G210" i="70"/>
  <c r="G70" i="70"/>
  <c r="G21" i="70"/>
  <c r="O43" i="70"/>
  <c r="G99" i="70"/>
  <c r="G102" i="70"/>
  <c r="G134" i="70"/>
  <c r="G198" i="70"/>
  <c r="G240" i="70"/>
  <c r="G82" i="70"/>
  <c r="G112" i="70"/>
  <c r="G231" i="70"/>
  <c r="G53" i="70"/>
  <c r="G78" i="70"/>
  <c r="G151" i="70"/>
  <c r="G186" i="70"/>
  <c r="G253" i="70"/>
  <c r="G48" i="70"/>
  <c r="G91" i="70"/>
  <c r="G190" i="70"/>
  <c r="G246" i="70"/>
  <c r="G257" i="70"/>
  <c r="G273" i="70"/>
  <c r="G16" i="70"/>
  <c r="G129" i="70"/>
  <c r="G183" i="70"/>
  <c r="G199" i="70"/>
  <c r="G223" i="70"/>
  <c r="G54" i="70"/>
  <c r="G83" i="70"/>
  <c r="G107" i="70"/>
  <c r="G160" i="70"/>
  <c r="G25" i="70"/>
  <c r="G27" i="70"/>
  <c r="G36" i="70"/>
  <c r="G44" i="70"/>
  <c r="G51" i="70"/>
  <c r="G149" i="70"/>
  <c r="G264" i="70"/>
  <c r="G267" i="70"/>
  <c r="G270" i="70"/>
  <c r="G17" i="70"/>
  <c r="G114" i="70"/>
  <c r="G184" i="70"/>
  <c r="G188" i="70"/>
  <c r="G213" i="70"/>
  <c r="G235" i="70"/>
  <c r="G11" i="70"/>
  <c r="G15" i="70"/>
  <c r="G153" i="70"/>
  <c r="G157" i="70"/>
  <c r="G243" i="70"/>
  <c r="G31" i="70"/>
  <c r="G130" i="70"/>
  <c r="G271" i="70"/>
  <c r="G81" i="70"/>
  <c r="G115" i="70"/>
  <c r="G219" i="70"/>
  <c r="G239" i="70"/>
  <c r="G255" i="70"/>
  <c r="G259" i="70"/>
  <c r="G12" i="70"/>
  <c r="G14" i="70"/>
  <c r="G30" i="70"/>
  <c r="G33" i="70"/>
  <c r="G45" i="70"/>
  <c r="G57" i="70"/>
  <c r="G88" i="70"/>
  <c r="G92" i="70"/>
  <c r="G109" i="70"/>
  <c r="G131" i="70"/>
  <c r="G146" i="70"/>
  <c r="G154" i="70"/>
  <c r="G165" i="70"/>
  <c r="G185" i="70"/>
  <c r="G201" i="70"/>
  <c r="G204" i="70"/>
  <c r="G222" i="70"/>
  <c r="G236" i="70"/>
  <c r="G245" i="70"/>
  <c r="G251" i="70"/>
  <c r="C22" i="128"/>
  <c r="G278" i="70"/>
  <c r="G228" i="70"/>
  <c r="G234" i="70"/>
  <c r="G24" i="70"/>
  <c r="G55" i="70"/>
  <c r="G84" i="70"/>
  <c r="G100" i="70"/>
  <c r="G106" i="70"/>
  <c r="G127" i="70"/>
  <c r="G138" i="70"/>
  <c r="G155" i="70"/>
  <c r="G171" i="70"/>
  <c r="G194" i="70"/>
  <c r="G197" i="70"/>
  <c r="G206" i="70"/>
  <c r="G241" i="70"/>
  <c r="G260" i="70"/>
  <c r="G287" i="70"/>
  <c r="C12" i="128"/>
  <c r="G211" i="70"/>
  <c r="G226" i="70"/>
  <c r="G252" i="70"/>
  <c r="G254" i="70"/>
  <c r="G256" i="70"/>
  <c r="G258" i="70"/>
  <c r="O6" i="70"/>
  <c r="G35" i="70"/>
  <c r="G64" i="70"/>
  <c r="G77" i="70"/>
  <c r="G80" i="70"/>
  <c r="O100" i="70"/>
  <c r="G110" i="70"/>
  <c r="G147" i="70"/>
  <c r="G169" i="70"/>
  <c r="G272" i="70"/>
  <c r="G279" i="70"/>
  <c r="G158" i="70"/>
  <c r="G164" i="70"/>
  <c r="G167" i="70"/>
  <c r="G189" i="70"/>
  <c r="G192" i="70"/>
  <c r="G203" i="70"/>
  <c r="G220" i="70"/>
  <c r="G232" i="70"/>
  <c r="G244" i="70"/>
  <c r="G250" i="70"/>
  <c r="G262" i="70"/>
  <c r="C18" i="128"/>
  <c r="G13" i="70"/>
  <c r="G29" i="70"/>
  <c r="G32" i="70"/>
  <c r="G56" i="70"/>
  <c r="G74" i="70"/>
  <c r="G94" i="70"/>
  <c r="O108" i="70"/>
  <c r="G128" i="70"/>
  <c r="G139" i="70"/>
  <c r="G152" i="70"/>
  <c r="G156" i="70"/>
  <c r="G182" i="70"/>
  <c r="G187" i="70"/>
  <c r="G205" i="70"/>
  <c r="G207" i="70"/>
  <c r="G218" i="70"/>
  <c r="G230" i="70"/>
  <c r="G242" i="70"/>
  <c r="G277" i="70"/>
  <c r="G111" i="70"/>
  <c r="G135" i="70"/>
  <c r="G142" i="70"/>
  <c r="G193" i="70"/>
  <c r="G212" i="70"/>
  <c r="G224" i="70"/>
  <c r="G26" i="70"/>
  <c r="G40" i="70"/>
  <c r="O96" i="70"/>
  <c r="G105" i="70"/>
  <c r="G150" i="70"/>
  <c r="G168" i="70"/>
  <c r="G202" i="70"/>
  <c r="G265" i="70"/>
  <c r="G268" i="70"/>
  <c r="C8" i="128"/>
  <c r="C78" i="128"/>
  <c r="G69" i="70"/>
  <c r="G67" i="70"/>
  <c r="G283" i="70"/>
  <c r="G282" i="70"/>
  <c r="I282" i="70" s="1"/>
  <c r="J282" i="70" s="1"/>
  <c r="L282" i="70" s="1"/>
  <c r="G280" i="70"/>
  <c r="G281" i="70"/>
  <c r="I281" i="70" s="1"/>
  <c r="J281" i="70" s="1"/>
  <c r="L281" i="70" s="1"/>
  <c r="P281" i="70" s="1"/>
  <c r="G274" i="70"/>
  <c r="G275" i="70"/>
  <c r="G276" i="70"/>
  <c r="C83" i="128"/>
  <c r="C82" i="128"/>
  <c r="O248" i="70"/>
  <c r="O238" i="70"/>
  <c r="C79" i="128"/>
  <c r="C77" i="128"/>
  <c r="C76" i="128"/>
  <c r="C75" i="128"/>
  <c r="O180" i="70"/>
  <c r="G176" i="70"/>
  <c r="I176" i="70" s="1"/>
  <c r="J176" i="70" s="1"/>
  <c r="L176" i="70" s="1"/>
  <c r="G173" i="70"/>
  <c r="I173" i="70" s="1"/>
  <c r="J173" i="70" s="1"/>
  <c r="L173" i="70" s="1"/>
  <c r="G177" i="70"/>
  <c r="I177" i="70" s="1"/>
  <c r="J177" i="70" s="1"/>
  <c r="L177" i="70" s="1"/>
  <c r="G174" i="70"/>
  <c r="I174" i="70" s="1"/>
  <c r="J174" i="70" s="1"/>
  <c r="L174" i="70" s="1"/>
  <c r="G178" i="70"/>
  <c r="I178" i="70" s="1"/>
  <c r="J178" i="70" s="1"/>
  <c r="L178" i="70" s="1"/>
  <c r="G175" i="70"/>
  <c r="I175" i="70" s="1"/>
  <c r="J175" i="70" s="1"/>
  <c r="L175" i="70" s="1"/>
  <c r="G179" i="70"/>
  <c r="I179" i="70" s="1"/>
  <c r="J179" i="70" s="1"/>
  <c r="L179" i="70" s="1"/>
  <c r="C66" i="128"/>
  <c r="C70" i="128" s="1"/>
  <c r="C65" i="128"/>
  <c r="O136" i="70"/>
  <c r="C63" i="128"/>
  <c r="C58" i="128"/>
  <c r="M164" i="70" l="1"/>
  <c r="M139" i="70"/>
  <c r="P139" i="70"/>
  <c r="P144" i="70"/>
  <c r="M135" i="70"/>
  <c r="P135" i="70"/>
  <c r="B62" i="128"/>
  <c r="D62" i="128" s="1"/>
  <c r="M179" i="70"/>
  <c r="P179" i="70"/>
  <c r="M223" i="70"/>
  <c r="P223" i="70"/>
  <c r="P137" i="70"/>
  <c r="M177" i="70"/>
  <c r="P177" i="70"/>
  <c r="M258" i="70"/>
  <c r="P258" i="70"/>
  <c r="M178" i="70"/>
  <c r="P178" i="70"/>
  <c r="M174" i="70"/>
  <c r="P174" i="70"/>
  <c r="M173" i="70"/>
  <c r="P173" i="70"/>
  <c r="M282" i="70"/>
  <c r="P282" i="70"/>
  <c r="B60" i="128"/>
  <c r="D60" i="128" s="1"/>
  <c r="P132" i="70"/>
  <c r="M153" i="70"/>
  <c r="P153" i="70"/>
  <c r="M176" i="70"/>
  <c r="P176" i="70"/>
  <c r="M264" i="70"/>
  <c r="P264" i="70"/>
  <c r="B86" i="128"/>
  <c r="P287" i="70"/>
  <c r="P7" i="70"/>
  <c r="B8" i="128"/>
  <c r="D8" i="128" s="1"/>
  <c r="M254" i="70"/>
  <c r="P254" i="70"/>
  <c r="M192" i="70"/>
  <c r="P192" i="70"/>
  <c r="M175" i="70"/>
  <c r="P175" i="70"/>
  <c r="M259" i="70"/>
  <c r="P259" i="70"/>
  <c r="M219" i="70"/>
  <c r="P219" i="70"/>
  <c r="M169" i="70"/>
  <c r="P169" i="70"/>
  <c r="M227" i="70"/>
  <c r="P227" i="70"/>
  <c r="M231" i="70"/>
  <c r="P231" i="70"/>
  <c r="C9" i="128"/>
  <c r="P117" i="70"/>
  <c r="C16" i="128"/>
  <c r="C11" i="128"/>
  <c r="L190" i="70"/>
  <c r="P190" i="70" s="1"/>
  <c r="M287" i="70"/>
  <c r="L253" i="70"/>
  <c r="L243" i="70"/>
  <c r="L85" i="70"/>
  <c r="J79" i="70"/>
  <c r="M79" i="70"/>
  <c r="J188" i="70"/>
  <c r="L188" i="70"/>
  <c r="J129" i="70"/>
  <c r="L129" i="70"/>
  <c r="J152" i="70"/>
  <c r="L152" i="70"/>
  <c r="J44" i="70"/>
  <c r="L44" i="70"/>
  <c r="J271" i="70"/>
  <c r="L271" i="70"/>
  <c r="J214" i="70"/>
  <c r="L214" i="70"/>
  <c r="J92" i="70"/>
  <c r="L92" i="70"/>
  <c r="L90" i="70" s="1"/>
  <c r="P90" i="70" s="1"/>
  <c r="M193" i="70"/>
  <c r="J107" i="70"/>
  <c r="L107" i="70"/>
  <c r="J32" i="70"/>
  <c r="L32" i="70"/>
  <c r="J77" i="70"/>
  <c r="L77" i="70"/>
  <c r="J245" i="70"/>
  <c r="L245" i="70"/>
  <c r="J157" i="70"/>
  <c r="L157" i="70"/>
  <c r="M67" i="70"/>
  <c r="J279" i="70"/>
  <c r="L279" i="70"/>
  <c r="J98" i="70"/>
  <c r="M98" i="70"/>
  <c r="J210" i="70"/>
  <c r="L210" i="70"/>
  <c r="J147" i="70"/>
  <c r="L147" i="70"/>
  <c r="J30" i="70"/>
  <c r="L30" i="70"/>
  <c r="J277" i="70"/>
  <c r="L277" i="70"/>
  <c r="J156" i="70"/>
  <c r="L156" i="70"/>
  <c r="J29" i="70"/>
  <c r="L29" i="70"/>
  <c r="J171" i="70"/>
  <c r="L171" i="70"/>
  <c r="J80" i="70"/>
  <c r="L80" i="70"/>
  <c r="J53" i="70"/>
  <c r="L53" i="70"/>
  <c r="M53" i="70" s="1"/>
  <c r="J236" i="70"/>
  <c r="L236" i="70"/>
  <c r="J170" i="70"/>
  <c r="L170" i="70"/>
  <c r="J39" i="70"/>
  <c r="L39" i="70"/>
  <c r="M39" i="70" s="1"/>
  <c r="J160" i="70"/>
  <c r="L160" i="70"/>
  <c r="J232" i="70"/>
  <c r="L232" i="70"/>
  <c r="J265" i="70"/>
  <c r="L265" i="70"/>
  <c r="P265" i="70" s="1"/>
  <c r="J54" i="70"/>
  <c r="L54" i="70"/>
  <c r="J112" i="70"/>
  <c r="L112" i="70"/>
  <c r="J59" i="70"/>
  <c r="L59" i="70"/>
  <c r="M59" i="70" s="1"/>
  <c r="J185" i="70"/>
  <c r="L185" i="70"/>
  <c r="J111" i="70"/>
  <c r="L111" i="70"/>
  <c r="J194" i="70"/>
  <c r="L194" i="70"/>
  <c r="J52" i="70"/>
  <c r="L52" i="70"/>
  <c r="J235" i="70"/>
  <c r="L235" i="70"/>
  <c r="J73" i="70"/>
  <c r="L73" i="70"/>
  <c r="M73" i="70" s="1"/>
  <c r="J168" i="70"/>
  <c r="L168" i="70"/>
  <c r="P168" i="70" s="1"/>
  <c r="J114" i="70"/>
  <c r="L114" i="70"/>
  <c r="J133" i="70"/>
  <c r="L133" i="70"/>
  <c r="J12" i="70"/>
  <c r="L12" i="70"/>
  <c r="L266" i="70"/>
  <c r="M267" i="70"/>
  <c r="J204" i="70"/>
  <c r="L204" i="70"/>
  <c r="J154" i="70"/>
  <c r="L154" i="70"/>
  <c r="M87" i="70"/>
  <c r="L86" i="70"/>
  <c r="J189" i="70"/>
  <c r="L189" i="70"/>
  <c r="J103" i="70"/>
  <c r="L103" i="70"/>
  <c r="M51" i="70"/>
  <c r="I47" i="70"/>
  <c r="J47" i="70" s="1"/>
  <c r="J275" i="70"/>
  <c r="L275" i="70"/>
  <c r="M250" i="70"/>
  <c r="J82" i="70"/>
  <c r="L82" i="70"/>
  <c r="M197" i="70"/>
  <c r="J128" i="70"/>
  <c r="L128" i="70"/>
  <c r="J260" i="70"/>
  <c r="L260" i="70"/>
  <c r="J268" i="70"/>
  <c r="M268" i="70"/>
  <c r="J146" i="70"/>
  <c r="L146" i="70"/>
  <c r="M11" i="70"/>
  <c r="J161" i="70"/>
  <c r="L161" i="70"/>
  <c r="M28" i="70"/>
  <c r="J224" i="70"/>
  <c r="L224" i="70"/>
  <c r="J155" i="70"/>
  <c r="L155" i="70"/>
  <c r="J36" i="70"/>
  <c r="L36" i="70"/>
  <c r="M144" i="70"/>
  <c r="J33" i="70"/>
  <c r="L33" i="70"/>
  <c r="J198" i="70"/>
  <c r="L198" i="70"/>
  <c r="J287" i="70"/>
  <c r="J48" i="70"/>
  <c r="L221" i="70"/>
  <c r="J201" i="70"/>
  <c r="L201" i="70"/>
  <c r="M281" i="70"/>
  <c r="L280" i="70"/>
  <c r="P280" i="70" s="1"/>
  <c r="J72" i="70"/>
  <c r="L72" i="70"/>
  <c r="M72" i="70" s="1"/>
  <c r="J113" i="70"/>
  <c r="L113" i="70"/>
  <c r="J145" i="70"/>
  <c r="L145" i="70"/>
  <c r="B69" i="128" s="1"/>
  <c r="D69" i="128" s="1"/>
  <c r="M149" i="70"/>
  <c r="J84" i="70"/>
  <c r="L84" i="70"/>
  <c r="J165" i="70"/>
  <c r="L165" i="70"/>
  <c r="P165" i="70" s="1"/>
  <c r="M91" i="70"/>
  <c r="J256" i="70"/>
  <c r="L256" i="70"/>
  <c r="J46" i="70"/>
  <c r="L46" i="70"/>
  <c r="J274" i="70"/>
  <c r="L274" i="70"/>
  <c r="M106" i="70"/>
  <c r="J273" i="70"/>
  <c r="L273" i="70"/>
  <c r="J45" i="70"/>
  <c r="L45" i="70"/>
  <c r="J118" i="70"/>
  <c r="L118" i="70"/>
  <c r="J127" i="70"/>
  <c r="L127" i="70"/>
  <c r="J151" i="70"/>
  <c r="L151" i="70"/>
  <c r="M151" i="70" s="1"/>
  <c r="M14" i="70"/>
  <c r="J213" i="70"/>
  <c r="L213" i="70"/>
  <c r="J150" i="70"/>
  <c r="L150" i="70"/>
  <c r="J25" i="70"/>
  <c r="L25" i="70"/>
  <c r="M270" i="70"/>
  <c r="J116" i="70"/>
  <c r="L116" i="70"/>
  <c r="J21" i="70"/>
  <c r="L21" i="70"/>
  <c r="J257" i="70"/>
  <c r="L257" i="70"/>
  <c r="J240" i="70"/>
  <c r="L240" i="70"/>
  <c r="J183" i="70"/>
  <c r="L183" i="70"/>
  <c r="J71" i="70"/>
  <c r="L71" i="70"/>
  <c r="M71" i="70" s="1"/>
  <c r="J211" i="70"/>
  <c r="L211" i="70"/>
  <c r="J158" i="70"/>
  <c r="L158" i="70"/>
  <c r="M101" i="70"/>
  <c r="L100" i="70"/>
  <c r="P100" i="70" s="1"/>
  <c r="J40" i="70"/>
  <c r="L40" i="70"/>
  <c r="J212" i="70"/>
  <c r="L212" i="70"/>
  <c r="J78" i="70"/>
  <c r="L78" i="70"/>
  <c r="J159" i="70"/>
  <c r="L159" i="70"/>
  <c r="J63" i="70"/>
  <c r="L63" i="70"/>
  <c r="M63" i="70" s="1"/>
  <c r="J246" i="70"/>
  <c r="L246" i="70"/>
  <c r="J276" i="70"/>
  <c r="L276" i="70"/>
  <c r="J62" i="70"/>
  <c r="L62" i="70"/>
  <c r="J261" i="70"/>
  <c r="L261" i="70"/>
  <c r="J70" i="70"/>
  <c r="L70" i="70"/>
  <c r="J244" i="70"/>
  <c r="L244" i="70"/>
  <c r="J216" i="70"/>
  <c r="L216" i="70"/>
  <c r="J69" i="70"/>
  <c r="L69" i="70"/>
  <c r="J132" i="70"/>
  <c r="M132" i="70"/>
  <c r="J74" i="70"/>
  <c r="L74" i="70"/>
  <c r="J208" i="70"/>
  <c r="L208" i="70"/>
  <c r="M208" i="70" s="1"/>
  <c r="J140" i="70"/>
  <c r="L140" i="70"/>
  <c r="J18" i="70"/>
  <c r="L18" i="70"/>
  <c r="L16" i="70" s="1"/>
  <c r="P16" i="70" s="1"/>
  <c r="J228" i="70"/>
  <c r="L228" i="70"/>
  <c r="J64" i="70"/>
  <c r="L64" i="70"/>
  <c r="M17" i="70"/>
  <c r="J251" i="70"/>
  <c r="L251" i="70"/>
  <c r="M20" i="70"/>
  <c r="J76" i="70"/>
  <c r="L76" i="70"/>
  <c r="M76" i="70" s="1"/>
  <c r="M206" i="70"/>
  <c r="M182" i="70"/>
  <c r="M97" i="70"/>
  <c r="L96" i="70"/>
  <c r="J26" i="70"/>
  <c r="L26" i="70"/>
  <c r="J242" i="70"/>
  <c r="L242" i="70"/>
  <c r="M203" i="70"/>
  <c r="J130" i="70"/>
  <c r="L130" i="70"/>
  <c r="M35" i="70"/>
  <c r="M142" i="70"/>
  <c r="L141" i="70"/>
  <c r="J57" i="70"/>
  <c r="L57" i="70"/>
  <c r="M239" i="70"/>
  <c r="M94" i="70"/>
  <c r="L93" i="70"/>
  <c r="J56" i="70"/>
  <c r="L56" i="70"/>
  <c r="M56" i="70" s="1"/>
  <c r="J255" i="70"/>
  <c r="L255" i="70"/>
  <c r="J278" i="70"/>
  <c r="L278" i="70"/>
  <c r="J61" i="70"/>
  <c r="L61" i="70"/>
  <c r="M61" i="70" s="1"/>
  <c r="J172" i="70"/>
  <c r="M172" i="70"/>
  <c r="J209" i="70"/>
  <c r="L209" i="70"/>
  <c r="M209" i="70" s="1"/>
  <c r="J60" i="70"/>
  <c r="L60" i="70"/>
  <c r="J68" i="70"/>
  <c r="L68" i="70"/>
  <c r="M68" i="70" s="1"/>
  <c r="J200" i="70"/>
  <c r="L200" i="70"/>
  <c r="J131" i="70"/>
  <c r="L131" i="70"/>
  <c r="J58" i="70"/>
  <c r="L58" i="70"/>
  <c r="M58" i="70" s="1"/>
  <c r="J247" i="70"/>
  <c r="L247" i="70"/>
  <c r="M247" i="70" s="1"/>
  <c r="J252" i="70"/>
  <c r="M252" i="70"/>
  <c r="J31" i="70"/>
  <c r="L31" i="70"/>
  <c r="J55" i="70"/>
  <c r="L55" i="70"/>
  <c r="J75" i="70"/>
  <c r="L75" i="70"/>
  <c r="M75" i="70" s="1"/>
  <c r="J134" i="70"/>
  <c r="L134" i="70"/>
  <c r="J81" i="70"/>
  <c r="L81" i="70"/>
  <c r="J15" i="70"/>
  <c r="L15" i="70"/>
  <c r="J220" i="70"/>
  <c r="L220" i="70"/>
  <c r="J184" i="70"/>
  <c r="L184" i="70"/>
  <c r="J110" i="70"/>
  <c r="L110" i="70"/>
  <c r="P110" i="70" s="1"/>
  <c r="M24" i="70"/>
  <c r="J207" i="70"/>
  <c r="L207" i="70"/>
  <c r="J115" i="70"/>
  <c r="L115" i="70"/>
  <c r="M38" i="70"/>
  <c r="M234" i="70"/>
  <c r="J83" i="70"/>
  <c r="L83" i="70"/>
  <c r="J241" i="70"/>
  <c r="M241" i="70"/>
  <c r="I196" i="70"/>
  <c r="J197" i="70"/>
  <c r="J97" i="70"/>
  <c r="I96" i="70"/>
  <c r="J96" i="70" s="1"/>
  <c r="J267" i="70"/>
  <c r="I266" i="70"/>
  <c r="J266" i="70" s="1"/>
  <c r="O42" i="70"/>
  <c r="J230" i="70"/>
  <c r="I229" i="70"/>
  <c r="J229" i="70" s="1"/>
  <c r="I262" i="70"/>
  <c r="J262" i="70" s="1"/>
  <c r="J263" i="70"/>
  <c r="J144" i="70"/>
  <c r="J227" i="70"/>
  <c r="I86" i="70"/>
  <c r="J86" i="70" s="1"/>
  <c r="J87" i="70"/>
  <c r="J239" i="70"/>
  <c r="I238" i="70"/>
  <c r="J138" i="70"/>
  <c r="I137" i="70"/>
  <c r="M137" i="70" s="1"/>
  <c r="J191" i="70"/>
  <c r="I190" i="70"/>
  <c r="J190" i="70" s="1"/>
  <c r="J8" i="70"/>
  <c r="I7" i="70"/>
  <c r="M7" i="70" s="1"/>
  <c r="J259" i="70"/>
  <c r="J28" i="70"/>
  <c r="I27" i="70"/>
  <c r="J27" i="70" s="1"/>
  <c r="J223" i="70"/>
  <c r="J106" i="70"/>
  <c r="I105" i="70"/>
  <c r="J105" i="70" s="1"/>
  <c r="I10" i="70"/>
  <c r="J11" i="70"/>
  <c r="J243" i="70"/>
  <c r="J270" i="70"/>
  <c r="I269" i="70"/>
  <c r="J269" i="70" s="1"/>
  <c r="J222" i="70"/>
  <c r="I221" i="70"/>
  <c r="J221" i="70" s="1"/>
  <c r="J142" i="70"/>
  <c r="I141" i="70"/>
  <c r="J141" i="70" s="1"/>
  <c r="J20" i="70"/>
  <c r="I19" i="70"/>
  <c r="J19" i="70" s="1"/>
  <c r="J253" i="70"/>
  <c r="J126" i="70"/>
  <c r="I125" i="70"/>
  <c r="J125" i="70" s="1"/>
  <c r="I13" i="70"/>
  <c r="J13" i="70" s="1"/>
  <c r="J14" i="70"/>
  <c r="J218" i="70"/>
  <c r="I217" i="70"/>
  <c r="J217" i="70" s="1"/>
  <c r="J149" i="70"/>
  <c r="I148" i="70"/>
  <c r="J148" i="70" s="1"/>
  <c r="J234" i="70"/>
  <c r="I233" i="70"/>
  <c r="J233" i="70" s="1"/>
  <c r="I93" i="70"/>
  <c r="J93" i="70" s="1"/>
  <c r="J94" i="70"/>
  <c r="J206" i="70"/>
  <c r="I205" i="70"/>
  <c r="J205" i="70" s="1"/>
  <c r="J264" i="70"/>
  <c r="I16" i="70"/>
  <c r="J16" i="70" s="1"/>
  <c r="J17" i="70"/>
  <c r="I37" i="70"/>
  <c r="J37" i="70" s="1"/>
  <c r="J38" i="70"/>
  <c r="I90" i="70"/>
  <c r="J91" i="70"/>
  <c r="J182" i="70"/>
  <c r="I181" i="70"/>
  <c r="J181" i="70" s="1"/>
  <c r="J231" i="70"/>
  <c r="J250" i="70"/>
  <c r="I249" i="70"/>
  <c r="I108" i="70"/>
  <c r="J108" i="70" s="1"/>
  <c r="J219" i="70"/>
  <c r="J193" i="70"/>
  <c r="I166" i="70"/>
  <c r="J166" i="70" s="1"/>
  <c r="J167" i="70"/>
  <c r="I202" i="70"/>
  <c r="J202" i="70" s="1"/>
  <c r="J203" i="70"/>
  <c r="I34" i="70"/>
  <c r="J34" i="70" s="1"/>
  <c r="J35" i="70"/>
  <c r="J226" i="70"/>
  <c r="I225" i="70"/>
  <c r="J225" i="70" s="1"/>
  <c r="G47" i="70"/>
  <c r="I100" i="70"/>
  <c r="J100" i="70" s="1"/>
  <c r="J101" i="70"/>
  <c r="I23" i="70"/>
  <c r="J24" i="70"/>
  <c r="J51" i="70"/>
  <c r="I50" i="70"/>
  <c r="I43" i="70" s="1"/>
  <c r="I66" i="70"/>
  <c r="I280" i="70"/>
  <c r="J280" i="70" s="1"/>
  <c r="G269" i="70"/>
  <c r="G181" i="70"/>
  <c r="G221" i="70"/>
  <c r="G238" i="70"/>
  <c r="G180" i="70"/>
  <c r="G141" i="70"/>
  <c r="G86" i="70"/>
  <c r="G96" i="70"/>
  <c r="O89" i="70"/>
  <c r="C21" i="128"/>
  <c r="G217" i="70"/>
  <c r="G50" i="70"/>
  <c r="G93" i="70"/>
  <c r="G90" i="70"/>
  <c r="G229" i="70"/>
  <c r="G37" i="70"/>
  <c r="D63" i="128"/>
  <c r="G137" i="70"/>
  <c r="G136" i="70"/>
  <c r="G10" i="70"/>
  <c r="G7" i="70"/>
  <c r="G34" i="70"/>
  <c r="G19" i="70"/>
  <c r="C7" i="128"/>
  <c r="G125" i="70"/>
  <c r="G166" i="70"/>
  <c r="G249" i="70"/>
  <c r="G233" i="70"/>
  <c r="G196" i="70"/>
  <c r="G148" i="70"/>
  <c r="G225" i="70"/>
  <c r="G23" i="70"/>
  <c r="G237" i="70"/>
  <c r="G66" i="70"/>
  <c r="I41" i="70"/>
  <c r="L41" i="70" s="1"/>
  <c r="C81" i="128"/>
  <c r="O237" i="70"/>
  <c r="C72" i="128"/>
  <c r="C71" i="128"/>
  <c r="G162" i="70"/>
  <c r="D86" i="128" l="1"/>
  <c r="B67" i="128"/>
  <c r="D67" i="128" s="1"/>
  <c r="M134" i="70"/>
  <c r="P134" i="70"/>
  <c r="M212" i="70"/>
  <c r="P212" i="70"/>
  <c r="M183" i="70"/>
  <c r="P183" i="70"/>
  <c r="M235" i="70"/>
  <c r="P235" i="70"/>
  <c r="M170" i="70"/>
  <c r="P170" i="70"/>
  <c r="M156" i="70"/>
  <c r="P156" i="70"/>
  <c r="M279" i="70"/>
  <c r="P279" i="70"/>
  <c r="M129" i="70"/>
  <c r="P129" i="70"/>
  <c r="M41" i="70"/>
  <c r="B14" i="128"/>
  <c r="P96" i="70"/>
  <c r="B21" i="128"/>
  <c r="D21" i="128" s="1"/>
  <c r="M150" i="70"/>
  <c r="P150" i="70"/>
  <c r="B82" i="128"/>
  <c r="D82" i="128" s="1"/>
  <c r="P266" i="70"/>
  <c r="M131" i="70"/>
  <c r="P131" i="70"/>
  <c r="M228" i="70"/>
  <c r="P228" i="70"/>
  <c r="M276" i="70"/>
  <c r="P276" i="70"/>
  <c r="M240" i="70"/>
  <c r="P240" i="70"/>
  <c r="M273" i="70"/>
  <c r="P273" i="70"/>
  <c r="B84" i="128"/>
  <c r="D84" i="128" s="1"/>
  <c r="M201" i="70"/>
  <c r="P201" i="70"/>
  <c r="M155" i="70"/>
  <c r="P155" i="70"/>
  <c r="M260" i="70"/>
  <c r="P260" i="70"/>
  <c r="M236" i="70"/>
  <c r="P236" i="70"/>
  <c r="M277" i="70"/>
  <c r="P277" i="70"/>
  <c r="M188" i="70"/>
  <c r="P188" i="70"/>
  <c r="B65" i="128"/>
  <c r="D65" i="128" s="1"/>
  <c r="P141" i="70"/>
  <c r="M213" i="70"/>
  <c r="P213" i="70"/>
  <c r="M157" i="70"/>
  <c r="P157" i="70"/>
  <c r="M184" i="70"/>
  <c r="P184" i="70"/>
  <c r="M200" i="70"/>
  <c r="P200" i="70"/>
  <c r="M278" i="70"/>
  <c r="P278" i="70"/>
  <c r="P216" i="70"/>
  <c r="B74" i="128"/>
  <c r="D74" i="128" s="1"/>
  <c r="M246" i="70"/>
  <c r="P246" i="70"/>
  <c r="M257" i="70"/>
  <c r="P257" i="70"/>
  <c r="B76" i="128"/>
  <c r="D76" i="128" s="1"/>
  <c r="P221" i="70"/>
  <c r="M224" i="70"/>
  <c r="P224" i="70"/>
  <c r="M128" i="70"/>
  <c r="P128" i="70"/>
  <c r="M189" i="70"/>
  <c r="P189" i="70"/>
  <c r="M133" i="70"/>
  <c r="P133" i="70"/>
  <c r="B61" i="128"/>
  <c r="D61" i="128" s="1"/>
  <c r="M194" i="70"/>
  <c r="P194" i="70"/>
  <c r="M214" i="70"/>
  <c r="P214" i="70"/>
  <c r="M274" i="70"/>
  <c r="P274" i="70"/>
  <c r="M245" i="70"/>
  <c r="P245" i="70"/>
  <c r="L233" i="70"/>
  <c r="M220" i="70"/>
  <c r="P220" i="70"/>
  <c r="M255" i="70"/>
  <c r="P255" i="70"/>
  <c r="M130" i="70"/>
  <c r="P130" i="70"/>
  <c r="M140" i="70"/>
  <c r="B64" i="128"/>
  <c r="D64" i="128" s="1"/>
  <c r="P140" i="70"/>
  <c r="M244" i="70"/>
  <c r="P244" i="70"/>
  <c r="M158" i="70"/>
  <c r="P158" i="70"/>
  <c r="M145" i="70"/>
  <c r="P145" i="70"/>
  <c r="P86" i="70"/>
  <c r="B18" i="128"/>
  <c r="D18" i="128" s="1"/>
  <c r="M232" i="70"/>
  <c r="P232" i="70"/>
  <c r="M147" i="70"/>
  <c r="P147" i="70"/>
  <c r="M271" i="70"/>
  <c r="P271" i="70"/>
  <c r="M198" i="70"/>
  <c r="P198" i="70"/>
  <c r="M161" i="70"/>
  <c r="P161" i="70"/>
  <c r="M251" i="70"/>
  <c r="P251" i="70"/>
  <c r="M159" i="70"/>
  <c r="P159" i="70"/>
  <c r="M211" i="70"/>
  <c r="P211" i="70"/>
  <c r="P127" i="70"/>
  <c r="B59" i="128"/>
  <c r="D59" i="128" s="1"/>
  <c r="M154" i="70"/>
  <c r="P154" i="70"/>
  <c r="M185" i="70"/>
  <c r="P185" i="70"/>
  <c r="M160" i="70"/>
  <c r="P160" i="70"/>
  <c r="M171" i="70"/>
  <c r="P171" i="70"/>
  <c r="M210" i="70"/>
  <c r="P210" i="70"/>
  <c r="M253" i="70"/>
  <c r="P253" i="70"/>
  <c r="M242" i="70"/>
  <c r="P242" i="70"/>
  <c r="M256" i="70"/>
  <c r="P256" i="70"/>
  <c r="M243" i="70"/>
  <c r="P243" i="70"/>
  <c r="P93" i="70"/>
  <c r="B22" i="128"/>
  <c r="D22" i="128" s="1"/>
  <c r="M261" i="70"/>
  <c r="P261" i="70"/>
  <c r="M146" i="70"/>
  <c r="P146" i="70"/>
  <c r="M275" i="70"/>
  <c r="P275" i="70"/>
  <c r="M204" i="70"/>
  <c r="P204" i="70"/>
  <c r="M152" i="70"/>
  <c r="P152" i="70"/>
  <c r="M207" i="70"/>
  <c r="P207" i="70"/>
  <c r="M26" i="70"/>
  <c r="P26" i="70"/>
  <c r="M32" i="70"/>
  <c r="P32" i="70"/>
  <c r="M57" i="70"/>
  <c r="P57" i="70"/>
  <c r="M64" i="70"/>
  <c r="P64" i="70"/>
  <c r="M62" i="70"/>
  <c r="P62" i="70"/>
  <c r="M25" i="70"/>
  <c r="P25" i="70"/>
  <c r="M29" i="70"/>
  <c r="P29" i="70"/>
  <c r="M118" i="70"/>
  <c r="P118" i="70"/>
  <c r="M45" i="70"/>
  <c r="P45" i="70"/>
  <c r="M36" i="70"/>
  <c r="P36" i="70"/>
  <c r="M112" i="70"/>
  <c r="P112" i="70"/>
  <c r="M107" i="70"/>
  <c r="P107" i="70"/>
  <c r="M69" i="70"/>
  <c r="P69" i="70"/>
  <c r="M40" i="70"/>
  <c r="P40" i="70"/>
  <c r="M83" i="70"/>
  <c r="P83" i="70"/>
  <c r="M55" i="70"/>
  <c r="P55" i="70"/>
  <c r="M103" i="70"/>
  <c r="P103" i="70"/>
  <c r="M12" i="70"/>
  <c r="P12" i="70"/>
  <c r="M52" i="70"/>
  <c r="P52" i="70"/>
  <c r="M54" i="70"/>
  <c r="P54" i="70"/>
  <c r="L34" i="70"/>
  <c r="M18" i="70"/>
  <c r="P18" i="70"/>
  <c r="M84" i="70"/>
  <c r="P84" i="70"/>
  <c r="M92" i="70"/>
  <c r="P92" i="70"/>
  <c r="M31" i="70"/>
  <c r="P31" i="70"/>
  <c r="O104" i="70"/>
  <c r="M21" i="70"/>
  <c r="P21" i="70"/>
  <c r="M30" i="70"/>
  <c r="P30" i="70"/>
  <c r="M15" i="70"/>
  <c r="P15" i="70"/>
  <c r="M60" i="70"/>
  <c r="P60" i="70"/>
  <c r="M114" i="70"/>
  <c r="P114" i="70"/>
  <c r="M111" i="70"/>
  <c r="P111" i="70"/>
  <c r="L229" i="70"/>
  <c r="M115" i="70"/>
  <c r="P115" i="70"/>
  <c r="M70" i="70"/>
  <c r="P70" i="70"/>
  <c r="M116" i="70"/>
  <c r="P116" i="70"/>
  <c r="M46" i="70"/>
  <c r="P46" i="70"/>
  <c r="M82" i="70"/>
  <c r="P82" i="70"/>
  <c r="M80" i="70"/>
  <c r="P80" i="70"/>
  <c r="M85" i="70"/>
  <c r="P85" i="70"/>
  <c r="M81" i="70"/>
  <c r="P81" i="70"/>
  <c r="M113" i="70"/>
  <c r="P113" i="70"/>
  <c r="M77" i="70"/>
  <c r="P77" i="70"/>
  <c r="M74" i="70"/>
  <c r="P74" i="70"/>
  <c r="M78" i="70"/>
  <c r="P78" i="70"/>
  <c r="L269" i="70"/>
  <c r="M269" i="70" s="1"/>
  <c r="M33" i="70"/>
  <c r="P33" i="70"/>
  <c r="M44" i="70"/>
  <c r="P44" i="70"/>
  <c r="C15" i="128"/>
  <c r="I42" i="70"/>
  <c r="L23" i="70"/>
  <c r="P23" i="70" s="1"/>
  <c r="L19" i="70"/>
  <c r="M19" i="70" s="1"/>
  <c r="L148" i="70"/>
  <c r="L10" i="70"/>
  <c r="L205" i="70"/>
  <c r="P205" i="70" s="1"/>
  <c r="L136" i="70"/>
  <c r="P136" i="70" s="1"/>
  <c r="L202" i="70"/>
  <c r="L105" i="70"/>
  <c r="L50" i="70"/>
  <c r="P50" i="70" s="1"/>
  <c r="M141" i="70"/>
  <c r="M96" i="70"/>
  <c r="M16" i="70"/>
  <c r="M221" i="70"/>
  <c r="M127" i="70"/>
  <c r="L125" i="70"/>
  <c r="M48" i="70"/>
  <c r="L47" i="70"/>
  <c r="M47" i="70" s="1"/>
  <c r="M34" i="70"/>
  <c r="L181" i="70"/>
  <c r="L217" i="70"/>
  <c r="M110" i="70"/>
  <c r="L108" i="70"/>
  <c r="L27" i="70"/>
  <c r="M266" i="70"/>
  <c r="M233" i="70"/>
  <c r="L196" i="70"/>
  <c r="P196" i="70" s="1"/>
  <c r="M93" i="70"/>
  <c r="M216" i="70"/>
  <c r="M100" i="70"/>
  <c r="M90" i="70"/>
  <c r="L89" i="70"/>
  <c r="L66" i="70"/>
  <c r="B17" i="128" s="1"/>
  <c r="D17" i="128" s="1"/>
  <c r="M265" i="70"/>
  <c r="L262" i="70"/>
  <c r="L37" i="70"/>
  <c r="B13" i="128" s="1"/>
  <c r="D13" i="128" s="1"/>
  <c r="L238" i="70"/>
  <c r="P238" i="70" s="1"/>
  <c r="M165" i="70"/>
  <c r="M280" i="70"/>
  <c r="M190" i="70"/>
  <c r="L249" i="70"/>
  <c r="P249" i="70" s="1"/>
  <c r="M86" i="70"/>
  <c r="L225" i="70"/>
  <c r="L13" i="70"/>
  <c r="P13" i="70" s="1"/>
  <c r="M168" i="70"/>
  <c r="L166" i="70"/>
  <c r="J66" i="70"/>
  <c r="J41" i="70"/>
  <c r="I180" i="70"/>
  <c r="I162" i="70"/>
  <c r="J162" i="70" s="1"/>
  <c r="J23" i="70"/>
  <c r="I22" i="70"/>
  <c r="J22" i="70" s="1"/>
  <c r="J90" i="70"/>
  <c r="I89" i="70"/>
  <c r="J89" i="70" s="1"/>
  <c r="J50" i="70"/>
  <c r="J43" i="70"/>
  <c r="J249" i="70"/>
  <c r="I248" i="70"/>
  <c r="J248" i="70" s="1"/>
  <c r="J10" i="70"/>
  <c r="I9" i="70"/>
  <c r="J9" i="70" s="1"/>
  <c r="J7" i="70"/>
  <c r="I6" i="70"/>
  <c r="J6" i="70" s="1"/>
  <c r="J137" i="70"/>
  <c r="I136" i="70"/>
  <c r="J136" i="70" s="1"/>
  <c r="J196" i="70"/>
  <c r="I195" i="70"/>
  <c r="J195" i="70" s="1"/>
  <c r="J238" i="70"/>
  <c r="I237" i="70"/>
  <c r="J237" i="70" s="1"/>
  <c r="G42" i="70"/>
  <c r="G248" i="70"/>
  <c r="C19" i="128"/>
  <c r="G89" i="70"/>
  <c r="G6" i="70"/>
  <c r="G195" i="70"/>
  <c r="G43" i="70"/>
  <c r="G22" i="70"/>
  <c r="G9" i="70"/>
  <c r="G41" i="70"/>
  <c r="C80" i="128"/>
  <c r="O215" i="70"/>
  <c r="G143" i="70"/>
  <c r="M23" i="70" l="1"/>
  <c r="M202" i="70"/>
  <c r="P202" i="70"/>
  <c r="B58" i="128"/>
  <c r="D58" i="128" s="1"/>
  <c r="P125" i="70"/>
  <c r="P34" i="70"/>
  <c r="B12" i="128"/>
  <c r="D12" i="128" s="1"/>
  <c r="M205" i="70"/>
  <c r="M166" i="70"/>
  <c r="B68" i="128"/>
  <c r="D68" i="128" s="1"/>
  <c r="P166" i="70"/>
  <c r="M262" i="70"/>
  <c r="P262" i="70"/>
  <c r="M50" i="70"/>
  <c r="M225" i="70"/>
  <c r="B77" i="128"/>
  <c r="D77" i="128" s="1"/>
  <c r="P225" i="70"/>
  <c r="P89" i="70"/>
  <c r="B19" i="128"/>
  <c r="B20" i="128" s="1"/>
  <c r="M217" i="70"/>
  <c r="B75" i="128"/>
  <c r="D75" i="128" s="1"/>
  <c r="P217" i="70"/>
  <c r="B79" i="128"/>
  <c r="D79" i="128" s="1"/>
  <c r="P233" i="70"/>
  <c r="M181" i="70"/>
  <c r="P181" i="70"/>
  <c r="M148" i="70"/>
  <c r="P148" i="70"/>
  <c r="B83" i="128"/>
  <c r="D83" i="128" s="1"/>
  <c r="P269" i="70"/>
  <c r="P19" i="70"/>
  <c r="B10" i="128"/>
  <c r="D10" i="128" s="1"/>
  <c r="M229" i="70"/>
  <c r="B78" i="128"/>
  <c r="D78" i="128" s="1"/>
  <c r="P229" i="70"/>
  <c r="O119" i="70"/>
  <c r="M37" i="70"/>
  <c r="P37" i="70"/>
  <c r="M27" i="70"/>
  <c r="P27" i="70"/>
  <c r="M66" i="70"/>
  <c r="P66" i="70"/>
  <c r="M108" i="70"/>
  <c r="P108" i="70"/>
  <c r="M10" i="70"/>
  <c r="P10" i="70"/>
  <c r="M105" i="70"/>
  <c r="P105" i="70"/>
  <c r="L9" i="70"/>
  <c r="B9" i="128" s="1"/>
  <c r="D9" i="128" s="1"/>
  <c r="L43" i="70"/>
  <c r="B16" i="128" s="1"/>
  <c r="D16" i="128" s="1"/>
  <c r="L248" i="70"/>
  <c r="M249" i="70"/>
  <c r="M125" i="70"/>
  <c r="M89" i="70"/>
  <c r="M136" i="70"/>
  <c r="L22" i="70"/>
  <c r="B11" i="128" s="1"/>
  <c r="D11" i="128" s="1"/>
  <c r="L162" i="70"/>
  <c r="P162" i="70" s="1"/>
  <c r="M13" i="70"/>
  <c r="L6" i="70"/>
  <c r="B7" i="128" s="1"/>
  <c r="D7" i="128" s="1"/>
  <c r="M238" i="70"/>
  <c r="L237" i="70"/>
  <c r="L180" i="70"/>
  <c r="B71" i="128" s="1"/>
  <c r="D71" i="128" s="1"/>
  <c r="M196" i="70"/>
  <c r="L195" i="70"/>
  <c r="I104" i="70"/>
  <c r="I3" i="70" s="1"/>
  <c r="J42" i="70"/>
  <c r="J180" i="70"/>
  <c r="I215" i="70"/>
  <c r="J215" i="70" s="1"/>
  <c r="I143" i="70"/>
  <c r="J143" i="70" s="1"/>
  <c r="C20" i="128"/>
  <c r="O286" i="70"/>
  <c r="C73" i="128"/>
  <c r="C6" i="128"/>
  <c r="G215" i="70"/>
  <c r="G104" i="70"/>
  <c r="G286" i="70"/>
  <c r="D19" i="128" l="1"/>
  <c r="D20" i="128"/>
  <c r="M195" i="70"/>
  <c r="B72" i="128"/>
  <c r="D72" i="128" s="1"/>
  <c r="P195" i="70"/>
  <c r="M248" i="70"/>
  <c r="B81" i="128"/>
  <c r="D81" i="128" s="1"/>
  <c r="P248" i="70"/>
  <c r="M237" i="70"/>
  <c r="B80" i="128"/>
  <c r="D80" i="128" s="1"/>
  <c r="P237" i="70"/>
  <c r="M180" i="70"/>
  <c r="P180" i="70"/>
  <c r="O288" i="70"/>
  <c r="M43" i="70"/>
  <c r="P43" i="70"/>
  <c r="M9" i="70"/>
  <c r="P9" i="70"/>
  <c r="M6" i="70"/>
  <c r="P6" i="70"/>
  <c r="M22" i="70"/>
  <c r="P22" i="70"/>
  <c r="L215" i="70"/>
  <c r="L42" i="70"/>
  <c r="B15" i="128" s="1"/>
  <c r="M162" i="70"/>
  <c r="L143" i="70"/>
  <c r="J104" i="70"/>
  <c r="I286" i="70"/>
  <c r="J286" i="70" s="1"/>
  <c r="C25" i="128"/>
  <c r="G119" i="70"/>
  <c r="C57" i="128"/>
  <c r="C85" i="128"/>
  <c r="G289" i="70"/>
  <c r="G288" i="70"/>
  <c r="B66" i="128" l="1"/>
  <c r="P143" i="70"/>
  <c r="D15" i="128"/>
  <c r="B6" i="128"/>
  <c r="B73" i="128"/>
  <c r="P215" i="70"/>
  <c r="O289" i="70"/>
  <c r="M42" i="70"/>
  <c r="P42" i="70"/>
  <c r="M215" i="70"/>
  <c r="L104" i="70"/>
  <c r="M143" i="70"/>
  <c r="L286" i="70"/>
  <c r="P286" i="70" s="1"/>
  <c r="I119" i="70"/>
  <c r="J119" i="70" s="1"/>
  <c r="I288" i="70"/>
  <c r="J288" i="70" s="1"/>
  <c r="C88" i="128"/>
  <c r="B25" i="128" l="1"/>
  <c r="D6" i="128"/>
  <c r="B85" i="128"/>
  <c r="D73" i="128"/>
  <c r="B70" i="128"/>
  <c r="D66" i="128"/>
  <c r="B57" i="128"/>
  <c r="L3" i="70"/>
  <c r="P104" i="70"/>
  <c r="M104" i="70"/>
  <c r="L119" i="70"/>
  <c r="L288" i="70"/>
  <c r="P288" i="70" s="1"/>
  <c r="M286" i="70"/>
  <c r="I289" i="70"/>
  <c r="J289" i="70" s="1"/>
  <c r="B88" i="128" l="1"/>
  <c r="D57" i="128"/>
  <c r="D70" i="128"/>
  <c r="B89" i="128"/>
  <c r="D85" i="128"/>
  <c r="B90" i="128"/>
  <c r="M288" i="70"/>
  <c r="M119" i="70"/>
  <c r="P119" i="70"/>
  <c r="L289" i="70"/>
  <c r="M289" i="70" l="1"/>
  <c r="P289"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65" authorId="0" shapeId="0" xr:uid="{D677856D-7020-4575-A1D2-132129FF2C9A}">
      <text>
        <r>
          <rPr>
            <b/>
            <sz val="9"/>
            <color indexed="81"/>
            <rFont val="Tahoma"/>
            <family val="2"/>
            <charset val="186"/>
          </rPr>
          <t>Sarmīte Mūze:</t>
        </r>
        <r>
          <rPr>
            <sz val="9"/>
            <color indexed="81"/>
            <rFont val="Tahoma"/>
            <family val="2"/>
            <charset val="186"/>
          </rPr>
          <t xml:space="preserve">
1010 supervizijas EKK 18.6.3.</t>
        </r>
      </text>
    </comment>
    <comment ref="O169" authorId="0" shapeId="0" xr:uid="{C0143836-E46C-4F99-B8A5-69C0B83FDD69}">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76" authorId="0" shapeId="0" xr:uid="{F33940A2-2E62-4AAF-8657-1EBDE77A525C}">
      <text>
        <r>
          <rPr>
            <b/>
            <sz val="9"/>
            <color indexed="81"/>
            <rFont val="Tahoma"/>
            <family val="2"/>
            <charset val="186"/>
          </rPr>
          <t>Sarmīte Mūze:</t>
        </r>
        <r>
          <rPr>
            <sz val="9"/>
            <color indexed="81"/>
            <rFont val="Tahoma"/>
            <family val="2"/>
            <charset val="186"/>
          </rPr>
          <t xml:space="preserve">
Šis ir jāizņem no 0930 un jāliek 0982 algā.
</t>
        </r>
      </text>
    </comment>
    <comment ref="F276"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276" authorId="0" shapeId="0" xr:uid="{C1793B49-E91C-49A0-9E6F-EBC7E506CC3D}">
      <text>
        <r>
          <rPr>
            <b/>
            <sz val="9"/>
            <color indexed="81"/>
            <rFont val="Tahoma"/>
            <family val="2"/>
            <charset val="186"/>
          </rPr>
          <t>Sarmīte Mūze:</t>
        </r>
        <r>
          <rPr>
            <sz val="9"/>
            <color indexed="81"/>
            <rFont val="Tahoma"/>
            <family val="2"/>
            <charset val="186"/>
          </rPr>
          <t xml:space="preserve">
Šis ir jāizņem no 0930 un jāliek 0982 algā.
</t>
        </r>
      </text>
    </comment>
    <comment ref="L276" authorId="0" shapeId="0" xr:uid="{171867FF-331A-42A4-AEC4-85D600C02756}">
      <text>
        <r>
          <rPr>
            <b/>
            <sz val="9"/>
            <color indexed="81"/>
            <rFont val="Tahoma"/>
            <family val="2"/>
            <charset val="186"/>
          </rPr>
          <t>Sarmīte Mūze:</t>
        </r>
        <r>
          <rPr>
            <sz val="9"/>
            <color indexed="81"/>
            <rFont val="Tahoma"/>
            <family val="2"/>
            <charset val="186"/>
          </rPr>
          <t xml:space="preserve">
Šis ir jāizņem no 0930 un jāliek 0982 algā.
</t>
        </r>
      </text>
    </comment>
    <comment ref="O276" authorId="0" shapeId="0" xr:uid="{E851798F-1597-4D7B-A3B7-40BA5FED72B6}">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B67" authorId="0" shapeId="0" xr:uid="{3E0ED01F-C397-419E-9F33-9F5C89FC53E9}">
      <text>
        <r>
          <rPr>
            <b/>
            <sz val="9"/>
            <color indexed="81"/>
            <rFont val="Tahoma"/>
            <family val="2"/>
            <charset val="186"/>
          </rPr>
          <t>Sarmīte Mūze:</t>
        </r>
        <r>
          <rPr>
            <sz val="9"/>
            <color indexed="81"/>
            <rFont val="Tahoma"/>
            <family val="2"/>
            <charset val="186"/>
          </rPr>
          <t xml:space="preserve">
Uz projekta sadaļu pārcelts - Uzņēmējdarbības veicināšanas programmas izveide; Piekrastes apsaimniekošanas projekts</t>
        </r>
      </text>
    </comment>
  </commentList>
</comments>
</file>

<file path=xl/sharedStrings.xml><?xml version="1.0" encoding="utf-8"?>
<sst xmlns="http://schemas.openxmlformats.org/spreadsheetml/2006/main" count="1769" uniqueCount="1531">
  <si>
    <t xml:space="preserve">Ieņēmumu daļa </t>
  </si>
  <si>
    <t xml:space="preserve">N.p.k. </t>
  </si>
  <si>
    <t>Sadaļa</t>
  </si>
  <si>
    <t>Komentāri</t>
  </si>
  <si>
    <t>Komentāri par izpildi</t>
  </si>
  <si>
    <t>1., 2., 3., 4., 5.</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</si>
  <si>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</si>
  <si>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</si>
  <si>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</si>
  <si>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</si>
  <si>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</si>
  <si>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</si>
  <si>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</si>
  <si>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</si>
  <si>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</si>
  <si>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</si>
  <si>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</si>
  <si>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</si>
  <si>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</si>
  <si>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</si>
  <si>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</si>
  <si>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</si>
  <si>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</si>
  <si>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</si>
  <si>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</si>
  <si>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</si>
  <si>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</si>
  <si>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</si>
  <si>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</si>
  <si>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</si>
  <si>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</si>
  <si>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</si>
  <si>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</si>
  <si>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</si>
  <si>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</si>
  <si>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</si>
  <si>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</si>
  <si>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</si>
  <si>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</si>
  <si>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</si>
  <si>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</si>
  <si>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</si>
  <si>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</si>
  <si>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</si>
  <si>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</si>
  <si>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</si>
  <si>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</si>
  <si>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</si>
  <si>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</si>
  <si>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</si>
  <si>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</si>
  <si>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</si>
  <si>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</si>
  <si>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</si>
  <si>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</si>
  <si>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</si>
  <si>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</si>
  <si>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</si>
  <si>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</si>
  <si>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</si>
  <si>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</si>
  <si>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</si>
  <si>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</si>
  <si>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</si>
  <si>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</si>
  <si>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</si>
  <si>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</si>
  <si>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</si>
  <si>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</si>
  <si>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</si>
  <si>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</si>
  <si>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</si>
  <si>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</si>
  <si>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</si>
  <si>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</si>
  <si>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</si>
  <si>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</si>
  <si>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</si>
  <si>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</si>
  <si>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</si>
  <si>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</si>
  <si>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</si>
  <si>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</si>
  <si>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</si>
  <si>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</si>
  <si>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</si>
  <si>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</si>
  <si>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</si>
  <si>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</si>
  <si>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</si>
  <si>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</si>
  <si>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</si>
  <si>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</si>
  <si>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</si>
  <si>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</si>
  <si>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</si>
  <si>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</si>
  <si>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</si>
  <si>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</si>
  <si>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</si>
  <si>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</si>
  <si>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</si>
  <si>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</si>
  <si>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</si>
  <si>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</si>
  <si>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</si>
  <si>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</si>
  <si>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</si>
  <si>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</si>
  <si>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</si>
  <si>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</si>
  <si>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</si>
  <si>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</si>
  <si>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</si>
  <si>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</si>
  <si>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</si>
  <si>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</si>
  <si>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</si>
  <si>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</si>
  <si>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</si>
  <si>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</si>
  <si>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</si>
  <si>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</si>
  <si>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</si>
  <si>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</si>
  <si>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</si>
  <si>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</si>
  <si>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</si>
  <si>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</si>
  <si>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</si>
  <si>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</si>
  <si>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</si>
  <si>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</si>
  <si>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</si>
  <si>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</si>
  <si>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</si>
  <si>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</si>
  <si>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</si>
  <si>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</si>
  <si>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</si>
  <si>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</si>
  <si>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</si>
  <si>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</si>
  <si>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</si>
  <si>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</si>
  <si>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</si>
  <si>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</si>
  <si>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</si>
  <si>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</si>
  <si>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</si>
  <si>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</si>
  <si>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</si>
  <si>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</si>
  <si>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</si>
  <si>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</si>
  <si>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</si>
  <si>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</si>
  <si>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Izdevumi neparedzētiem gadījumiem</t>
  </si>
  <si>
    <t>Sabiedriskā kārtība un drošība</t>
  </si>
  <si>
    <t>Sabiedriskās attiecības, laikraksts</t>
  </si>
  <si>
    <t>Pašvaldības teritoriju un mājokļu apsaimniekošana</t>
  </si>
  <si>
    <t>5.1.</t>
  </si>
  <si>
    <t>Būvvalde</t>
  </si>
  <si>
    <t>5.2.</t>
  </si>
  <si>
    <t>nodaļa</t>
  </si>
  <si>
    <t>5.3.</t>
  </si>
  <si>
    <t>Objektu un teritorijas apsaimniekošana un uzturēšana</t>
  </si>
  <si>
    <t>5.4.</t>
  </si>
  <si>
    <t>Atpūta, kultūra un reliģija</t>
  </si>
  <si>
    <t>6.3.</t>
  </si>
  <si>
    <t>Sporta daļa</t>
  </si>
  <si>
    <t>6.4.</t>
  </si>
  <si>
    <t>Evaņģēliski luteriskās draudzes</t>
  </si>
  <si>
    <t>6.5.</t>
  </si>
  <si>
    <t>Sociālā aizsardzība</t>
  </si>
  <si>
    <t>Sociālais dienests</t>
  </si>
  <si>
    <t>Stipendiāti / bezdarbnieki</t>
  </si>
  <si>
    <t>7.3.</t>
  </si>
  <si>
    <t>Bāriņtiesa</t>
  </si>
  <si>
    <t>Izglītība</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</si>
  <si>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</si>
  <si>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</si>
  <si>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</si>
  <si>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</si>
  <si>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</si>
  <si>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</si>
  <si>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</si>
  <si>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</si>
  <si>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</si>
  <si>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</si>
  <si>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</si>
  <si>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</si>
  <si>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</si>
  <si>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</si>
  <si>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</si>
  <si>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</si>
  <si>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</si>
  <si>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</si>
  <si>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</si>
  <si>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</si>
  <si>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</si>
  <si>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</si>
  <si>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</si>
  <si>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</si>
  <si>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</si>
  <si>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</si>
  <si>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Samaksa par virsstundu darbu un darbu svētku dienās</t>
  </si>
  <si>
    <t>Naudas balvas</t>
  </si>
  <si>
    <t>Informācijas sistēmas uzturēšana</t>
  </si>
  <si>
    <t>Maksājumi par pašvaldību parāda apkalpošanu</t>
  </si>
  <si>
    <t>Mācību līdzekļi un materiāli</t>
  </si>
  <si>
    <t>Pārējās preces</t>
  </si>
  <si>
    <t>Datorprogrammas</t>
  </si>
  <si>
    <t>Datortehnika, sakaru un cita biroja tehnika</t>
  </si>
  <si>
    <t>Pašvaldības iemaksa pašvaldību finanšu izlīdzināšanas fondā</t>
  </si>
  <si>
    <t>Pārējo darbinieku mēnešalga (darba alga)</t>
  </si>
  <si>
    <t>Izdevumi par transporta pakalpojumiem</t>
  </si>
  <si>
    <t>Pārējie iepriekš neklasificētie pakalpojumu veidi</t>
  </si>
  <si>
    <t>Piemaksa par nakts darbu</t>
  </si>
  <si>
    <t>Darba devēja pabalsti un kompensācijas, no kuriem aprēķina ienākuma nodokli, valsts sociālās apdrošināšanas obligātās iemaksas</t>
  </si>
  <si>
    <t>Darba devēja pabalsti un kompensācijas, no kā neaprēķina ienākuma nodokli, valsts sociālās apdrošināšanas obligātās iemaksas</t>
  </si>
  <si>
    <t>Izdevumi par ūdeni un kanalizāciju</t>
  </si>
  <si>
    <t>Izdevumi par elektroenerģiju</t>
  </si>
  <si>
    <t>Apdrošināšanas izdevumi</t>
  </si>
  <si>
    <t>Kurināmais</t>
  </si>
  <si>
    <t>Formas tērpi un speciālais apģērbs</t>
  </si>
  <si>
    <t>Attīstības pasākumi un programmas</t>
  </si>
  <si>
    <t>Valsts un pašvaldību budžeta dotācija biedrībām un nodibinājumiem</t>
  </si>
  <si>
    <t>Degviela</t>
  </si>
  <si>
    <t>Zāles, ķimikālijas, laboratorijas preces</t>
  </si>
  <si>
    <t>Iekārtas, inventāra un aparatūras remonts, tehniskā apkalpošana</t>
  </si>
  <si>
    <t>Ēku, telpu īre un noma</t>
  </si>
  <si>
    <t>Inventārs</t>
  </si>
  <si>
    <t>Darba devēja sociāla rakstura pabalsti, kompensācijas un citi maksājumi</t>
  </si>
  <si>
    <t>Zemes noma</t>
  </si>
  <si>
    <t>Biroja preces</t>
  </si>
  <si>
    <t>Pārējie remontdarbu un iestāžu uzturēšanas pakalpojumi</t>
  </si>
  <si>
    <t>Pārējie klasifikācijā neminētie no valsts un pašvaldību budžeta veiktie maksājumi iedzīvotājiem naudā</t>
  </si>
  <si>
    <t>Izdevumi brīvprātīgo iniciatīvu izpildei</t>
  </si>
  <si>
    <t>Nekustamā īpašuma uzturēšana</t>
  </si>
  <si>
    <t>Kapitālais remonts un rekonstrukcija</t>
  </si>
  <si>
    <t>Izdevumi par pārējiem komunālajiem pakalpojumiem</t>
  </si>
  <si>
    <t>Transporta būves</t>
  </si>
  <si>
    <t>0110</t>
  </si>
  <si>
    <t>0111</t>
  </si>
  <si>
    <t>0120</t>
  </si>
  <si>
    <t>0130</t>
  </si>
  <si>
    <t>0140</t>
  </si>
  <si>
    <t>0150</t>
  </si>
  <si>
    <t>0490</t>
  </si>
  <si>
    <t>0340</t>
  </si>
  <si>
    <t>0610</t>
  </si>
  <si>
    <t>0630</t>
  </si>
  <si>
    <t>0812</t>
  </si>
  <si>
    <t>0830</t>
  </si>
  <si>
    <t>0880</t>
  </si>
  <si>
    <t>0910</t>
  </si>
  <si>
    <t>0950</t>
  </si>
  <si>
    <t>0965</t>
  </si>
  <si>
    <t>0970</t>
  </si>
  <si>
    <t>Mērķdotācija</t>
  </si>
  <si>
    <t>Pašvaldības finansējums</t>
  </si>
  <si>
    <t>Pabalsti</t>
  </si>
  <si>
    <t>7.1.1.</t>
  </si>
  <si>
    <t>Asistentu pakalpojumi</t>
  </si>
  <si>
    <t>7.1.2.</t>
  </si>
  <si>
    <t>Domes finansējums</t>
  </si>
  <si>
    <t>NVA finansējums</t>
  </si>
  <si>
    <t>0930</t>
  </si>
  <si>
    <t>5.6.</t>
  </si>
  <si>
    <t>pārējās komisijas</t>
  </si>
  <si>
    <t>projekts Erasmus+</t>
  </si>
  <si>
    <t>pedagogu algas, grāmatas (mērķdotācija)</t>
  </si>
  <si>
    <t>6.6.</t>
  </si>
  <si>
    <t>13.1.0.0.</t>
  </si>
  <si>
    <t>Transportlīdzekļu noma</t>
  </si>
  <si>
    <t>Darba devēja valsts sociālās apdrošināšanas obligātās iemaksas</t>
  </si>
  <si>
    <t>SAM 9.2.4.2. projekts "Pasākumi vietējās sabiedrības veselības veicināšanai Ādažu novadā"</t>
  </si>
  <si>
    <t>0340 Pašvaldības policija</t>
  </si>
  <si>
    <t>Multihalle</t>
  </si>
  <si>
    <t>0950 Ādažu vidusskola</t>
  </si>
  <si>
    <t>0620 Būvvalde</t>
  </si>
  <si>
    <t>Piemaksa par papildu darbu</t>
  </si>
  <si>
    <t>1010 Sociālais dienests</t>
  </si>
  <si>
    <t>0110 Pārvalde</t>
  </si>
  <si>
    <t>Atalgojums</t>
  </si>
  <si>
    <t>0981</t>
  </si>
  <si>
    <t>Valsts un pašvaldību budžeta dotācija komersantiem</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</si>
  <si>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</si>
  <si>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</si>
  <si>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</si>
  <si>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</si>
  <si>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</si>
  <si>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</si>
  <si>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VISA projekts "Atbalsts izglītojamo individuālo kompetenču attīstībai"</t>
  </si>
  <si>
    <t>Darba devēja piešķirtie labumi un maksājumi</t>
  </si>
  <si>
    <t>SAM 9311 Deinstitucionalizācija - Dienas centrs</t>
  </si>
  <si>
    <t>Pašvaldību uzturēšanas izdevumu transferti (izņemot atmaksas) uz valsts budžetu</t>
  </si>
  <si>
    <t>0956</t>
  </si>
  <si>
    <t>7.4.</t>
  </si>
  <si>
    <t>dotācija sociālajiem darbiniekiem, kuri strādā ar ģimenēm un bērniem</t>
  </si>
  <si>
    <t>Pašvaldību līdzekļi neparedzētiem gadījumiem</t>
  </si>
  <si>
    <t>Pašvaldību atmaksa valsts budžetam par iepriekšējos gados saņemto, bet neizlietoto valsts budžeta transfertu uzturēšanas izdevumiem</t>
  </si>
  <si>
    <t xml:space="preserve">18.6.3.13. </t>
  </si>
  <si>
    <t>sākumskolas uzturēšanas izmaksas</t>
  </si>
  <si>
    <t xml:space="preserve">Komentāri </t>
  </si>
  <si>
    <t>projekts "Skolas soma"</t>
  </si>
  <si>
    <t>dotācija māksliniecisko kolektīvu vadītāju atalgojumam</t>
  </si>
  <si>
    <t>Licences, koncesijas un patenti, preču zīmes un līdzīgas tiesības</t>
  </si>
  <si>
    <t>18.6.2.6.1.</t>
  </si>
  <si>
    <t>Piemaksa par personisko darba ieguldījumu un darba kvalitāti</t>
  </si>
  <si>
    <t>Pārējās privātās vidējās izglītības iestādes</t>
  </si>
  <si>
    <t>Izdevumi par apkuri</t>
  </si>
  <si>
    <t>Saeimas frakciju, komisiju un administrācijas darbinieku mēnešalga</t>
  </si>
  <si>
    <t>ēdināšana (mērķdotācija)</t>
  </si>
  <si>
    <t>sākumskolas ēdināšana (mērķdotācija)</t>
  </si>
  <si>
    <t>18.6.2.10.; 18.6.2.11</t>
  </si>
  <si>
    <t>0911</t>
  </si>
  <si>
    <t>0921</t>
  </si>
  <si>
    <t>valsts dotācija ceļu uzturēšanai</t>
  </si>
  <si>
    <t>Izmaiņa</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</si>
  <si>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</si>
  <si>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</si>
  <si>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</si>
  <si>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</si>
  <si>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</si>
  <si>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</si>
  <si>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</si>
  <si>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</si>
  <si>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reklāmas, afišu un sludinājumu izvietošanu publiskās vietās</t>
  </si>
  <si>
    <t>t.sk.: - nodeva par būvatļaujas saņemšanu</t>
  </si>
  <si>
    <t>t.sk.: - pārējās nodevas</t>
  </si>
  <si>
    <t>t.sk.: - skolotāju algām</t>
  </si>
  <si>
    <t>t.sk.: - interešu izglītība</t>
  </si>
  <si>
    <t>Bibliotēku krājumi</t>
  </si>
  <si>
    <t>t.sk.: - nodeva par izklaidējoša rakstura pasākumu sarīkošanu publiskās vietās</t>
  </si>
  <si>
    <t>12.4.1.</t>
  </si>
  <si>
    <t>12.4.2.</t>
  </si>
  <si>
    <t>12.5.</t>
  </si>
  <si>
    <t>1.9.</t>
  </si>
  <si>
    <t>Autoceļu fonds</t>
  </si>
  <si>
    <t>CKS</t>
  </si>
  <si>
    <t>Projekts "Sabiedrība ar dvēseli"</t>
  </si>
  <si>
    <t>Pirmsskolas izglītības iestāde "Riekstiņš"</t>
  </si>
  <si>
    <t>Carnikava</t>
  </si>
  <si>
    <t>Kultūra</t>
  </si>
  <si>
    <t>Pirmsskolas izglītības iestādes "Piejūra"</t>
  </si>
  <si>
    <t>7.1.3.</t>
  </si>
  <si>
    <t>Projekts "Skolas soma" Ādaži</t>
  </si>
  <si>
    <t>ESF projekts Karjeras atbalsts vispārējās un profesionālās izglītības iestādēs ©</t>
  </si>
  <si>
    <t>12.3.1.</t>
  </si>
  <si>
    <t>12.3.2.</t>
  </si>
  <si>
    <t>ieņēmumi par telpu nomu</t>
  </si>
  <si>
    <t>ieņēmumi par zemes nomu</t>
  </si>
  <si>
    <t>12.3.3.</t>
  </si>
  <si>
    <t>pārējie ieņēmumi par nomu ©</t>
  </si>
  <si>
    <t>ieņēmumi no zvejas tiesību nomas</t>
  </si>
  <si>
    <t>Informācijas tehnoloģiju nodaļa, vispārējas nozīmes dienestu darbība un pakalpojumi - datortīkla uzturēšana ©</t>
  </si>
  <si>
    <t>Tautas nams "Ozolaine" ©</t>
  </si>
  <si>
    <t>SAM 5.5.1. Kultūras objektu būvniecība (maksājumi projekta partneriem) ©</t>
  </si>
  <si>
    <t>ES projekts Eiropa pilsoņiem (diskriminētām personām) ©</t>
  </si>
  <si>
    <t>Ādažu pašvaldības apvienotais budžets</t>
  </si>
  <si>
    <t>Ādaži</t>
  </si>
  <si>
    <t>ERASMUS + projekti</t>
  </si>
  <si>
    <t>Samaksa par ilgstošas sociālās aprūpes un sociālās rehabilitācijas institūciju sniegtajiem pakalpojumiem</t>
  </si>
  <si>
    <t>Pasta, telefona un citi sakaru pakalpojumi</t>
  </si>
  <si>
    <t>Transportlīdzekļu uzturēšana un remonts</t>
  </si>
  <si>
    <t>0952.1</t>
  </si>
  <si>
    <t>0954</t>
  </si>
  <si>
    <t>0957</t>
  </si>
  <si>
    <t>Transporta izdevumu kompensācijas</t>
  </si>
  <si>
    <t>Samaksa par aprūpi mājās</t>
  </si>
  <si>
    <t>09824</t>
  </si>
  <si>
    <t>Informācijas tehnoloģiju pakalpojumi</t>
  </si>
  <si>
    <t>Budžeta iestāžu pievienotās vērtības nodokļa maksājumi</t>
  </si>
  <si>
    <t>Pārējie budžeta iestāžu pārskaitītie nodokļi un nodevas</t>
  </si>
  <si>
    <t>Darba devēja izdevumi veselības, dzīvības un nelaimes gadījumu apdrošināšanai</t>
  </si>
  <si>
    <t>09011</t>
  </si>
  <si>
    <t>Citas normatīvajos aktos noteiktās piemaksas, kas nav iepriekš klasificētas</t>
  </si>
  <si>
    <t>Virtuves inventārs, trauki un galda piederumi</t>
  </si>
  <si>
    <t>0901; 650_0901</t>
  </si>
  <si>
    <t>0902; 650_0902</t>
  </si>
  <si>
    <t>09021</t>
  </si>
  <si>
    <t>0982</t>
  </si>
  <si>
    <t>09821</t>
  </si>
  <si>
    <t>09822</t>
  </si>
  <si>
    <t>0932</t>
  </si>
  <si>
    <t>0931</t>
  </si>
  <si>
    <t>0830 Ādažu bibliotēka</t>
  </si>
  <si>
    <t>0831 Carnikavas bibliotēka</t>
  </si>
  <si>
    <t>Izdevumi par saņemtajiem mācību pakalpojumiem</t>
  </si>
  <si>
    <t>Ēdināšanas izdevumi</t>
  </si>
  <si>
    <t>Mācību maksas kompensācija</t>
  </si>
  <si>
    <t>5.5.</t>
  </si>
  <si>
    <t>7.5.</t>
  </si>
  <si>
    <t>0831</t>
  </si>
  <si>
    <t>0170</t>
  </si>
  <si>
    <t>0670</t>
  </si>
  <si>
    <t>0170 Informācijas tehnoloģiju nodaļa</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</si>
  <si>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</si>
  <si>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</si>
  <si>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</si>
  <si>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</si>
  <si>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</si>
  <si>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</si>
  <si>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</si>
  <si>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</si>
  <si>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</si>
  <si>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</si>
  <si>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mācību vides labiekārtošana</t>
  </si>
  <si>
    <t>I.</t>
  </si>
  <si>
    <t>KOPĀ IEŅĒMUMI</t>
  </si>
  <si>
    <t>Nodokļi un maksājumi par tiesībām lietot atsevišķas preces</t>
  </si>
  <si>
    <t>II.</t>
  </si>
  <si>
    <t>II.1</t>
  </si>
  <si>
    <t>Izdevumi atbilstoši funkcionālajām kategorijām</t>
  </si>
  <si>
    <t>Ekonomiskā darbība</t>
  </si>
  <si>
    <t>Teritoriju un mājokļu apsaimniekošana</t>
  </si>
  <si>
    <t>II.2</t>
  </si>
  <si>
    <t>Izdevumi atbilstoši ekonomiskajām kategorijām</t>
  </si>
  <si>
    <t>Atlīdzība</t>
  </si>
  <si>
    <t>Preces un pakalpojumi</t>
  </si>
  <si>
    <t>Procentu izdevumi</t>
  </si>
  <si>
    <t>Subsīdijas un dotācijas</t>
  </si>
  <si>
    <t>Sociāla rakstura maksājumi un kompensācijas</t>
  </si>
  <si>
    <t>Pamatkapitāla veidošana</t>
  </si>
  <si>
    <t>Dabas resursu nodokļa izlietojums</t>
  </si>
  <si>
    <t>Vides aizsardzība</t>
  </si>
  <si>
    <t>7.6.</t>
  </si>
  <si>
    <t>7.7.</t>
  </si>
  <si>
    <t>8.3.3.</t>
  </si>
  <si>
    <t>Ieņēmumu avoti un izdevumi atbilstīgi funkcionālajām un ekonomiskajām kategorijām</t>
  </si>
  <si>
    <t>Sabiedrisko attiecību nodaļa</t>
  </si>
  <si>
    <t>Sociālie pabalsti</t>
  </si>
  <si>
    <t>KOPĀ IEŅĒMUMI AR FINANSĒŠANU</t>
  </si>
  <si>
    <t>1.0.0.0.</t>
  </si>
  <si>
    <t>Ienākuma nodokļi</t>
  </si>
  <si>
    <t>4.1.0.0.</t>
  </si>
  <si>
    <t>Nekustamā īpašuma nodoklis</t>
  </si>
  <si>
    <t>Valsts (pašvaldību) nodevas un kancelejas nodevas</t>
  </si>
  <si>
    <t>13.0.0.0.</t>
  </si>
  <si>
    <t>Ieņēmumi no pašvaldības īpašumu pārdošanas</t>
  </si>
  <si>
    <t>18.0.0.0.</t>
  </si>
  <si>
    <t>19.0.0.0.</t>
  </si>
  <si>
    <t>Pašvaldību budžetu transferti</t>
  </si>
  <si>
    <t>21.0.0.0.</t>
  </si>
  <si>
    <t>F 40320010</t>
  </si>
  <si>
    <t>Naudas līdzekļu atlikums</t>
  </si>
  <si>
    <t>KOPĀ IZDEVUMI AR FINANSĒŠANU</t>
  </si>
  <si>
    <t>F 40320020</t>
  </si>
  <si>
    <t>Aizņēmumu atmaksa</t>
  </si>
  <si>
    <t>Uzturēšanas izdevumu transferti, pašu resursu maksājumi, starptautiskā sadarbība</t>
  </si>
  <si>
    <t>0841.3</t>
  </si>
  <si>
    <t>0841.2</t>
  </si>
  <si>
    <t>1014.1</t>
  </si>
  <si>
    <t>0510</t>
  </si>
  <si>
    <t>0420</t>
  </si>
  <si>
    <t>0633.1</t>
  </si>
  <si>
    <t>0633.2</t>
  </si>
  <si>
    <t>0841.1</t>
  </si>
  <si>
    <t>1013.1</t>
  </si>
  <si>
    <t>Nemateriālo ieguldījumu izveidošana</t>
  </si>
  <si>
    <t>1., 2., 3., 4.</t>
  </si>
  <si>
    <t>Nekustamā īpašuma nodokļu ieņēmumi</t>
  </si>
  <si>
    <t>Dabas resursu nodoklis</t>
  </si>
  <si>
    <t>5.5.3.1.</t>
  </si>
  <si>
    <t>5.4.1.0.</t>
  </si>
  <si>
    <t>Izdevumi par tiesvedības darbiem</t>
  </si>
  <si>
    <t>Piemaksa par darbu īpašos apstākļos, speciālās piemaksas</t>
  </si>
  <si>
    <t>Pārējie neklasificētie izdevumi</t>
  </si>
  <si>
    <t>Pašvaldību pabalsti naudā krīzes situācijā</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</si>
  <si>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</si>
  <si>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</si>
  <si>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</si>
  <si>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</si>
  <si>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</si>
  <si>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</si>
  <si>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</si>
  <si>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</si>
  <si>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</si>
  <si>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</si>
  <si>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</si>
  <si>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</si>
  <si>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</si>
  <si>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</si>
  <si>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</si>
  <si>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</si>
  <si>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</si>
  <si>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10.2.5.</t>
  </si>
  <si>
    <t>10.2.6.</t>
  </si>
  <si>
    <t>10.2.8.</t>
  </si>
  <si>
    <t>10.2.10.</t>
  </si>
  <si>
    <t>10.2.11.</t>
  </si>
  <si>
    <t>18.6.4.0.</t>
  </si>
  <si>
    <t>IIN budžeta dotācija</t>
  </si>
  <si>
    <t>10.3.</t>
  </si>
  <si>
    <t>0620</t>
  </si>
  <si>
    <t>0633.4</t>
  </si>
  <si>
    <t>0634</t>
  </si>
  <si>
    <t>0844.1</t>
  </si>
  <si>
    <t>0844.2</t>
  </si>
  <si>
    <t>0420 (18.6.2.9.)</t>
  </si>
  <si>
    <t>F40321210</t>
  </si>
  <si>
    <t>0933</t>
  </si>
  <si>
    <t>Pašvaldības un tās iestāžu savstarpējie transferti</t>
  </si>
  <si>
    <t>09651</t>
  </si>
  <si>
    <t>0920</t>
  </si>
  <si>
    <t>09825</t>
  </si>
  <si>
    <t>0660</t>
  </si>
  <si>
    <t>Ādažu vēstis</t>
  </si>
  <si>
    <t>Iedzīvotāju iniciatīvas un konkursi.</t>
  </si>
  <si>
    <t>10.2.13.</t>
  </si>
  <si>
    <t>10.2.14.</t>
  </si>
  <si>
    <t>0630.2</t>
  </si>
  <si>
    <t>0630.1</t>
  </si>
  <si>
    <t>Dienas nauda - ārpus LV</t>
  </si>
  <si>
    <t>Pārējie komandējumu un dienesta, darba braucienu izdevumi - ārpus LV</t>
  </si>
  <si>
    <t>Atalgojums fiziskajām personām uz tiesiskās attiecības regulējošu dokumentu pamata (atalgojums par autoratlīdzību un uzņēmuma līgumu iestādes darbiniekiem vai citām fiziskajām personām)</t>
  </si>
  <si>
    <t>PFIF</t>
  </si>
  <si>
    <t>Pārējie komandējumu un dienesta, darba braucienu izdevumi- LV</t>
  </si>
  <si>
    <t>Iestāžu uzturēšanas materiāli un preces</t>
  </si>
  <si>
    <t>Izdevumi par piešķirumiem iedzīvotājiem natūrā brīvprātīgo iniciatīvu izpildei</t>
  </si>
  <si>
    <t>Izdevumi par atkritumu izvešanu</t>
  </si>
  <si>
    <t>Inženierbūves</t>
  </si>
  <si>
    <t>Samaksa par pārējiem sociālajiem pakalpojumiem saskaņā ar pašvaldību saistošajiem noteikumiem</t>
  </si>
  <si>
    <t>1030 Bāriņtiesa</t>
  </si>
  <si>
    <t>Dotācijas Ukrainas pilsoņu atbalstam</t>
  </si>
  <si>
    <t xml:space="preserve">  10.1.4.1.</t>
  </si>
  <si>
    <t xml:space="preserve">  10.1.4.2.</t>
  </si>
  <si>
    <t>t.sk.: - dotācija mācību grāmatām</t>
  </si>
  <si>
    <t>dotācija mācību līdzekļiem</t>
  </si>
  <si>
    <t>t.sk.: - dotācija digitālajiem mācību līdzekļiem</t>
  </si>
  <si>
    <t>Rādītāju nosaukumi</t>
  </si>
  <si>
    <t>10.2.16.</t>
  </si>
  <si>
    <t>IIN</t>
  </si>
  <si>
    <t>21.3.8.9.</t>
  </si>
  <si>
    <t>Pabalsti ēdināšanai natūrā</t>
  </si>
  <si>
    <t>Prēmijas un naudas balvas</t>
  </si>
  <si>
    <t>NODOKĻI PAR PAKALPOJUMIEM UN PRECĒM</t>
  </si>
  <si>
    <t>5.0.0.0.</t>
  </si>
  <si>
    <t xml:space="preserve">  Nodokļi un maksājumi par tiesībām lietot atsevišķas preces</t>
  </si>
  <si>
    <t xml:space="preserve">  5.5.0.0.</t>
  </si>
  <si>
    <t xml:space="preserve">    Dabas resursu nodoklis</t>
  </si>
  <si>
    <t xml:space="preserve">    5.5.3.0.</t>
  </si>
  <si>
    <t xml:space="preserve">    Dabas resursu nodoklis par dabas resursu ieguvi un vides piesārņošanu</t>
  </si>
  <si>
    <t xml:space="preserve">      5.5.3.1.</t>
  </si>
  <si>
    <t>VALSTS (PAŠVALDĪBU) NODEVAS UN KANCELEJAS NODEVAS</t>
  </si>
  <si>
    <t xml:space="preserve">  Valsts nodevas, kuras ieskaita pašvaldību budžetā</t>
  </si>
  <si>
    <t xml:space="preserve">  9.4.0.0.</t>
  </si>
  <si>
    <t xml:space="preserve">    Valsts nodeva par apliecinājumiem un citu funkciju pildīšanu bāriņtiesās</t>
  </si>
  <si>
    <t xml:space="preserve">    9.4.2.0.</t>
  </si>
  <si>
    <t xml:space="preserve">  Pašvaldību nodevas</t>
  </si>
  <si>
    <t xml:space="preserve">  9.5.0.0.</t>
  </si>
  <si>
    <t xml:space="preserve">    Pašvaldības nodeva par izklaidējoša rakstura pasākumu sarīkošanu publiskās vietās</t>
  </si>
  <si>
    <t xml:space="preserve">    9.5.1.2.</t>
  </si>
  <si>
    <t xml:space="preserve">    Pašvaldības nodeva par tirdzniecību publiskās vietās</t>
  </si>
  <si>
    <t xml:space="preserve">    9.5.1.4.</t>
  </si>
  <si>
    <t xml:space="preserve">    Pašvaldības nodeva par reklāmas, afišu un sludinājumu izvietošanu publiskās vietās</t>
  </si>
  <si>
    <t xml:space="preserve">    9.5.1.7.</t>
  </si>
  <si>
    <t xml:space="preserve">    Pašvaldības nodeva par būvatļaujas saņemšanu</t>
  </si>
  <si>
    <t xml:space="preserve">    9.5.2.1.</t>
  </si>
  <si>
    <t>PĀRĒJIE NENODOKĻU IEŅĒMUMI</t>
  </si>
  <si>
    <t xml:space="preserve">  Dažādi nenodokļu ieņēmumi</t>
  </si>
  <si>
    <t xml:space="preserve">  12.3.0.0.</t>
  </si>
  <si>
    <t xml:space="preserve">    Citi dažādi nenodokļu ieņēmumi</t>
  </si>
  <si>
    <t xml:space="preserve">    12.3.9.0.</t>
  </si>
  <si>
    <t xml:space="preserve">    Pārējie dažādi nenodokļu ieņēmumi, kas nav iepriekš klasificēti šajā klasifikācijā</t>
  </si>
  <si>
    <t xml:space="preserve">      12.3.9.9.</t>
  </si>
  <si>
    <t>Ieņēmumi no valsts (pašvaldību) īpašuma iznomāšanas, pārdošanas un no nodokļu pamatparāda kapitalizācijas</t>
  </si>
  <si>
    <t xml:space="preserve">  Ieņēmumi no zemes, meža īpašuma pārdošanas</t>
  </si>
  <si>
    <t xml:space="preserve">  13.2.0.0.</t>
  </si>
  <si>
    <t xml:space="preserve">    Ieņēmumi no zemes īpašuma pārdošanas</t>
  </si>
  <si>
    <t xml:space="preserve">    13.2.1.0.</t>
  </si>
  <si>
    <t>No valsts budžeta daļēji finansēto atvasināto publisko personu un budžeta nefinansēto iestāžu transferti</t>
  </si>
  <si>
    <t>17.0.0.0.</t>
  </si>
  <si>
    <t xml:space="preserve">  Pašvaldību saņemtie transferti no valsts budžeta daļēji finansētām atvasinātām publiskām personām un no budžeta nefinansētām iestādēm</t>
  </si>
  <si>
    <t xml:space="preserve">  17.2.0.0.</t>
  </si>
  <si>
    <t xml:space="preserve">  Pašvaldību saņemtie transferti no valsts budžeta</t>
  </si>
  <si>
    <t xml:space="preserve">  18.6.0.0.</t>
  </si>
  <si>
    <t xml:space="preserve">    Pašvaldību saņemtie valsts budžeta transferti</t>
  </si>
  <si>
    <t xml:space="preserve">    18.6.2.0.</t>
  </si>
  <si>
    <t xml:space="preserve">    Valsts kase-skolotāju algas</t>
  </si>
  <si>
    <t xml:space="preserve">      18.6.2.1.</t>
  </si>
  <si>
    <t xml:space="preserve">    Pašv.izgl.iest. 5 un 6 gad.apm</t>
  </si>
  <si>
    <t xml:space="preserve">      18.6.2.2.</t>
  </si>
  <si>
    <t xml:space="preserve">    MMS pedagogu darba samaksa</t>
  </si>
  <si>
    <t xml:space="preserve">      18.6.2.3.</t>
  </si>
  <si>
    <t xml:space="preserve">    Pierīgas BJSS</t>
  </si>
  <si>
    <t xml:space="preserve">      18.6.2.4.</t>
  </si>
  <si>
    <t xml:space="preserve">    Mācību grāmatu iegāde</t>
  </si>
  <si>
    <t xml:space="preserve">      18.6.2.5.</t>
  </si>
  <si>
    <t xml:space="preserve">    Bezdarbnieku atlīdzība , koord. darba samaksa</t>
  </si>
  <si>
    <t xml:space="preserve">      18.6.2.6.1.</t>
  </si>
  <si>
    <t xml:space="preserve">    Asistenta pakalpojumu nodrošināšanai</t>
  </si>
  <si>
    <t xml:space="preserve">      18.6.2.7.</t>
  </si>
  <si>
    <t xml:space="preserve">    Pārējās mērķdotācijas - investi</t>
  </si>
  <si>
    <t xml:space="preserve">      18.6.2.9.</t>
  </si>
  <si>
    <t xml:space="preserve">    Vidusskolas brīvpusdienu nodrošināšanai</t>
  </si>
  <si>
    <t xml:space="preserve">      18.6.2.10.</t>
  </si>
  <si>
    <t xml:space="preserve">    Valdorfa skolas brīvpusdienu nodrošināšanai</t>
  </si>
  <si>
    <t xml:space="preserve">      18.6.2.11.</t>
  </si>
  <si>
    <t xml:space="preserve">    Latvijas skolas soma</t>
  </si>
  <si>
    <t xml:space="preserve">      18.6.2.14.</t>
  </si>
  <si>
    <t xml:space="preserve">    Carnikavas pamatskolas brīvpusdienu nodrošināšanai</t>
  </si>
  <si>
    <t xml:space="preserve">      18.6.2.19.</t>
  </si>
  <si>
    <t xml:space="preserve">    Ukrainas civiliedzīvotāju mērķdotācija</t>
  </si>
  <si>
    <t xml:space="preserve">      18.6.2.20.</t>
  </si>
  <si>
    <t xml:space="preserve">    Pašvaldību no valsts budžeta iestādēm saņemtie transferti Eiropas Savienības politiku instrumentu un pārējās ārvalstu finanšu palīdzības līdzfinansētajiem projektiem (pasākumiem)</t>
  </si>
  <si>
    <t xml:space="preserve">    18.6.3.0.</t>
  </si>
  <si>
    <t xml:space="preserve">    Deinstitucionalizācijas projekts</t>
  </si>
  <si>
    <t xml:space="preserve">      18.6.3.4.</t>
  </si>
  <si>
    <t xml:space="preserve">    Plūdu riska samazināšana</t>
  </si>
  <si>
    <t xml:space="preserve">      18.6.3.6.</t>
  </si>
  <si>
    <t xml:space="preserve">    Erasmus +  projekti</t>
  </si>
  <si>
    <t xml:space="preserve">      18.6.3.7.</t>
  </si>
  <si>
    <t xml:space="preserve">    ĀPII siltināšanas projekts/ SAM 4.2.2.</t>
  </si>
  <si>
    <t xml:space="preserve">      18.6.3.11.</t>
  </si>
  <si>
    <t xml:space="preserve">    Laivu ielas (no Cēlāju ciema līdz jūrai Carnikavā) un tai piegulošā auto stāvlaukuma projektēšana un būvniecība</t>
  </si>
  <si>
    <t xml:space="preserve">      18.6.3.12.</t>
  </si>
  <si>
    <t xml:space="preserve">    Pasākumi vietējās sabiedrības veselības veicināšanai/ SAM 9.2.4.2.</t>
  </si>
  <si>
    <t xml:space="preserve">      18.6.3.13.</t>
  </si>
  <si>
    <t xml:space="preserve">    VISA projekts "Atbalsts izglītojamo individuālo kompetenču attīstībai"</t>
  </si>
  <si>
    <t xml:space="preserve">      18.6.3.14.</t>
  </si>
  <si>
    <t xml:space="preserve">  Budžeta iestādes ieņēmumi no ārvalstu finanšu palīdzības</t>
  </si>
  <si>
    <t xml:space="preserve">  21.1.0.0.</t>
  </si>
  <si>
    <t xml:space="preserve">    Ieņēmumi no Eiropas Savienības finansēto palīdzības programmu īstenošanas</t>
  </si>
  <si>
    <t xml:space="preserve">    21.1.9.0.</t>
  </si>
  <si>
    <t xml:space="preserve">    Ieņēmumi no citu Eiropas Savienības politiku instrumentu līdzfinansēto projektu un pasākumu īstenošanas un saņemtās ārvalstu finanšu palīdzības, kas nav Eiropas Savienības struktūrfondi</t>
  </si>
  <si>
    <t xml:space="preserve">      21.1.9.1.</t>
  </si>
  <si>
    <t xml:space="preserve">  Ieņēmumi no budžeta iestāžu sniegtajiem maksas pakalpojumiem un citi pašu ieņēmumi</t>
  </si>
  <si>
    <t xml:space="preserve">  21.3.0.0.</t>
  </si>
  <si>
    <t xml:space="preserve">    Maksa par izglītības pakalpojumiem</t>
  </si>
  <si>
    <t xml:space="preserve">    21.3.5.0.</t>
  </si>
  <si>
    <t xml:space="preserve">    Ieņēmumi no vecāku maksām</t>
  </si>
  <si>
    <t xml:space="preserve">      21.3.5.2.</t>
  </si>
  <si>
    <t xml:space="preserve">    Pārējie ieņēmumi par izglītības pakalpojumiem</t>
  </si>
  <si>
    <t xml:space="preserve">      21.3.5.9.</t>
  </si>
  <si>
    <t xml:space="preserve">    Ieņēmumi par nomu un īri</t>
  </si>
  <si>
    <t xml:space="preserve">    21.3.8.0.</t>
  </si>
  <si>
    <t xml:space="preserve">    Ieņēmumi par telpu nomu</t>
  </si>
  <si>
    <t xml:space="preserve">      21.3.8.1.</t>
  </si>
  <si>
    <t xml:space="preserve">    Ieņēmumi par pārējiem budžeta iestāžu sniegtajiem maksas pakalpojumiem</t>
  </si>
  <si>
    <t xml:space="preserve">    21.3.9.0.</t>
  </si>
  <si>
    <t xml:space="preserve">    Ieņēmumi par biļešu realizāciju</t>
  </si>
  <si>
    <t xml:space="preserve">      21.3.9.3.</t>
  </si>
  <si>
    <t xml:space="preserve">    Budžeta iestādes saņemtā atlīdzība no apdrošināšanas sabiedrības par bojātu nekustamo īpašumu un kustamo mantu, tai skaitā autoavārijā cietušu automašīnu</t>
  </si>
  <si>
    <t xml:space="preserve">      21.3.9.7.</t>
  </si>
  <si>
    <t xml:space="preserve">    Citi ieņēmumi par maksas pakalpojumiem</t>
  </si>
  <si>
    <t xml:space="preserve">      21.3.9.9.</t>
  </si>
  <si>
    <t xml:space="preserve">  Pārējie 21.3.0.0.grupā neklasificētie budžeta iestāžu ieņēmumi par budžeta iestāžu sniegtajiem maksas pakalpojumiem un citi pašu ieņēmumi</t>
  </si>
  <si>
    <t xml:space="preserve">  21.4.0.0.</t>
  </si>
  <si>
    <t xml:space="preserve">     Citi iepriekš neklasificētie pašu ieņēmumi</t>
  </si>
  <si>
    <t xml:space="preserve">    21.4.9.0.</t>
  </si>
  <si>
    <t xml:space="preserve">    (Svītrots ar MK 27.11.2018. noteikumiem Nr. 745) Inventarizācijās konstatētie pārpalikumi</t>
  </si>
  <si>
    <t xml:space="preserve">      21.4.9.1.</t>
  </si>
  <si>
    <t xml:space="preserve">    (Svītrots ar MK 29.09.2020. noteikumiem Nr. 607) Pārējie iepriekš neklasificētie pašu ieņēmumi</t>
  </si>
  <si>
    <t xml:space="preserve">      21.4.9.9.</t>
  </si>
  <si>
    <t>II IZDEVUMI - kopā</t>
  </si>
  <si>
    <t/>
  </si>
  <si>
    <t>1</t>
  </si>
  <si>
    <t>2</t>
  </si>
  <si>
    <t>Transferti ,uzturēšanas izdevumu transferti, pašu resursu maksājumi, starptautiskā sadarbība</t>
  </si>
  <si>
    <t>Kopsavilkums struktūrvienības</t>
  </si>
  <si>
    <t>7.2.1.</t>
  </si>
  <si>
    <t>7.2.2.</t>
  </si>
  <si>
    <t>Pārējie iepriekš neklasificētie pamatlīdzekļi un ieguldījuma īpašumi</t>
  </si>
  <si>
    <t>Pamatlīdzekļu un ieguldījumu īpašumu izveidošana un nepabeigtā būvniecība</t>
  </si>
  <si>
    <t>Dienas nauda komandējumiem - LV</t>
  </si>
  <si>
    <t>Budžeta kategoriju kodi</t>
  </si>
  <si>
    <t>I IEŅĒMUMI - kopā</t>
  </si>
  <si>
    <t xml:space="preserve">    Skolas celtniecībai vienošanās 8.1.2.0/17/I/028</t>
  </si>
  <si>
    <t xml:space="preserve">      18.6.3.16.</t>
  </si>
  <si>
    <t>Maksājumu pakalpojumi un komisijas (bankas komisija, pakalpojumi)</t>
  </si>
  <si>
    <t>CKS_Ādaži</t>
  </si>
  <si>
    <t>Pārējie enerģētiskie materiāli</t>
  </si>
  <si>
    <t>Transportlīdzekļi</t>
  </si>
  <si>
    <t>CKS_apsaimniekošana</t>
  </si>
  <si>
    <t xml:space="preserve">0633.1 </t>
  </si>
  <si>
    <t xml:space="preserve"> ”Mobilitātes punkta infrastruktūras izveidošana Rīgas metropoles areālā – “Carnikava””</t>
  </si>
  <si>
    <t>Projekts "Eiropas pilsētu iniciatīva"</t>
  </si>
  <si>
    <t>Dotācijas "Energoresursu atbalsts"</t>
  </si>
  <si>
    <t>Valsts finansējums projektu konkursā "Atbalsts jaunatnes politikas īstenošanai vietējā līmenī"  projekts "Mobilais darbs ar jaunatni Ādažu novadā"</t>
  </si>
  <si>
    <t>TEP “Atjaunojamo energoresursu izmantošana Ādažu novadā” (EUCF)</t>
  </si>
  <si>
    <t>SAM 5.1.1. Pretplūdu pasākumi Ādažu centra polderī, Ādažu novadā</t>
  </si>
  <si>
    <t>0632.5</t>
  </si>
  <si>
    <t>14.1.</t>
  </si>
  <si>
    <t>14.2.</t>
  </si>
  <si>
    <t>14.4.</t>
  </si>
  <si>
    <t>14.5.</t>
  </si>
  <si>
    <t>14.6.</t>
  </si>
  <si>
    <t>Plūdu risku projekts</t>
  </si>
  <si>
    <t>Dotācija nodarbinātības pasākumiem</t>
  </si>
  <si>
    <t>10.2.9.</t>
  </si>
  <si>
    <t>10.2.12.</t>
  </si>
  <si>
    <t>10.2.17.</t>
  </si>
  <si>
    <t>10.2.18.</t>
  </si>
  <si>
    <t>DI centra uzturēšanas izdevumi</t>
  </si>
  <si>
    <t>DI centra pakalpojumi (projekts)</t>
  </si>
  <si>
    <t>Ādažu novada  Mākslu skola</t>
  </si>
  <si>
    <t>DI projekts- specializētās darbnīcas</t>
  </si>
  <si>
    <t>ieņēmumi no vecāku maksām (PII)</t>
  </si>
  <si>
    <t>ieņēmumi no vecāku maksām (ĀMMS; BJSS)</t>
  </si>
  <si>
    <t>21.3.9.3.</t>
  </si>
  <si>
    <t>ieņēmumi no biļešu realizācijas</t>
  </si>
  <si>
    <t>Iekārtu, aparatūras un inventāra īre un noma</t>
  </si>
  <si>
    <t>maksa par izglītības pakalpojumiem</t>
  </si>
  <si>
    <t>pārējie ieņēmumi/stāvvietu ieņēmumi</t>
  </si>
  <si>
    <t>Valsts un pašvaldību budžeta dotācija valsts un pašvaldību komersantiem</t>
  </si>
  <si>
    <t>09.5.1.2.</t>
  </si>
  <si>
    <t>KA</t>
  </si>
  <si>
    <t>uzturēšanas izmaksas (CKS)</t>
  </si>
  <si>
    <t>Muzejs un Carnikavas novadpētniecības centrs</t>
  </si>
  <si>
    <t>0843</t>
  </si>
  <si>
    <t>1014.3</t>
  </si>
  <si>
    <t>10.2.20.</t>
  </si>
  <si>
    <t>14.10.</t>
  </si>
  <si>
    <t>EKII projekts</t>
  </si>
  <si>
    <t>Draudzības iela posmā no Saules ielai līdz Podnieku ielai ar ietvi 0.35km</t>
  </si>
  <si>
    <t>Pārējā zeme</t>
  </si>
  <si>
    <t>Ēku, būvju un telpu būvdarbi</t>
  </si>
  <si>
    <t>Dotācija CKS teritorijas uzturēšanai</t>
  </si>
  <si>
    <t>Dotācija CKS ceļu uzturēšanai</t>
  </si>
  <si>
    <t>Teritorijas uzturēšana (Dome)</t>
  </si>
  <si>
    <t>10.1.12.</t>
  </si>
  <si>
    <t>10.1.13.</t>
  </si>
  <si>
    <t>10.1.14.</t>
  </si>
  <si>
    <t>Izmaiņa 23.03.2023. - 26.01.2023.</t>
  </si>
  <si>
    <t>Tiek ieskaitīts reizi ceturksnī.</t>
  </si>
  <si>
    <t>Realizē CKS</t>
  </si>
  <si>
    <t>Par projekta gaitu ziņo izpilddirektors.</t>
  </si>
  <si>
    <t>Par projekta gaitu ziņo CKS.</t>
  </si>
  <si>
    <t>Lielākās izmaksas maijā - Gaujas svētki, pasākumi siltajā sezonā.</t>
  </si>
  <si>
    <t>Lielākās izmaksas - Nēģu svētki, pasākumi siltajā sezonā.</t>
  </si>
  <si>
    <t>Pedagogiem atvaļinājumi vasarā.</t>
  </si>
  <si>
    <t>2022/2021</t>
  </si>
  <si>
    <t>2023/2022</t>
  </si>
  <si>
    <t>2024/2023</t>
  </si>
  <si>
    <t>08412</t>
  </si>
  <si>
    <t>Izdevumi par profesionālās darbības paklpojumiem (auditoru, tulku pakalp., izdevumi par iestāžu pasūtītajiem pētījumiem)</t>
  </si>
  <si>
    <t>Periods:</t>
  </si>
  <si>
    <t>IEŅĒMUMI</t>
  </si>
  <si>
    <t>IEŅĒMUMI kopā</t>
  </si>
  <si>
    <t>1. Nodokļu ieņēmumi</t>
  </si>
  <si>
    <t>1.1. Iedzīvotāju ienākuma nodoklis</t>
  </si>
  <si>
    <t>1.2. Nekustamā īpašuma nodokļu ieņēmumi</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</si>
  <si>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</si>
  <si>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</si>
  <si>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</si>
  <si>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</si>
  <si>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</si>
  <si>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</si>
  <si>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7. Pašvaldību budžeta transferti</t>
  </si>
  <si>
    <t>8. Budžeta iestāžu ieņēmumi</t>
  </si>
  <si>
    <t>IZDEVUMI</t>
  </si>
  <si>
    <t>IZDEVUMI kopā</t>
  </si>
  <si>
    <t>1. Vispārējie valdības dienesti</t>
  </si>
  <si>
    <t>2. Sabiedriskā kārtība un drošība (bāze)</t>
  </si>
  <si>
    <t>3. Sabiedriskās attiecības, laikraksts</t>
  </si>
  <si>
    <t>4. Autoceļu fonds</t>
  </si>
  <si>
    <t>5. Vides aizsardzība (DRN izlietojums)</t>
  </si>
  <si>
    <t>6. Pašv. teritoriju un mājokļu apsaimniekošana</t>
  </si>
  <si>
    <t>7. Atpūta, kultūra un reliģija</t>
  </si>
  <si>
    <t>8. Sociālā aizsardzība</t>
  </si>
  <si>
    <t>9. Izglītība</t>
  </si>
  <si>
    <t>10. Kredītu pamatsummas atmaksa</t>
  </si>
  <si>
    <t>Rēķins par visu gadu gada sākumā, var nomaksāt 4os maksājumos.</t>
  </si>
  <si>
    <t>Pēc faktiskās izpildes.</t>
  </si>
  <si>
    <t>Par projektiem ziņo IDR</t>
  </si>
  <si>
    <t>Lielākās plāna pozīcijas bērnu radošās nometnes vasarā.</t>
  </si>
  <si>
    <t>1.1. Pārvalde, deputāti, komisijas</t>
  </si>
  <si>
    <t>1.2. Aizņēmumu procentu maksājumi</t>
  </si>
  <si>
    <t>1.3. Iemaksas PFIF</t>
  </si>
  <si>
    <t>6.4. Projekti</t>
  </si>
  <si>
    <t>6.2. ES struktūrfondu līdzekļi un aktivitāšu līdzfin.</t>
  </si>
  <si>
    <t>8.2. Ieņēmumi par nomu un īri</t>
  </si>
  <si>
    <t>6.1. APN, NĪN, TPN, Būvvalde</t>
  </si>
  <si>
    <t>9.6. Privātās izglītības iestādes</t>
  </si>
  <si>
    <t>9.8. Ādažu vidusskola</t>
  </si>
  <si>
    <t>9.9. Ādažu novada  Mākslu skola</t>
  </si>
  <si>
    <t>9.10. Sporta skola</t>
  </si>
  <si>
    <t xml:space="preserve">9.11. Izglītības un jauniešu lietu pārvalde </t>
  </si>
  <si>
    <t>9.12. Projekti</t>
  </si>
  <si>
    <t>9.2. Ādažu PII "Strautiņš"</t>
  </si>
  <si>
    <t>9.3. Kadagas PII "Mežavēji"</t>
  </si>
  <si>
    <t>9.4. Carnikavas PII "Riekstiņš"</t>
  </si>
  <si>
    <t>9.5. Siguļu PII "Piejūra"</t>
  </si>
  <si>
    <t>9.1. Norēķini ar pašvaldībām par izglītības iestāžu pakalp.</t>
  </si>
  <si>
    <t>Līdzfinansējums skolēnu dalībai konkursos</t>
  </si>
  <si>
    <t>Izglītības un jaunatnes nodaļa</t>
  </si>
  <si>
    <t>0633.6</t>
  </si>
  <si>
    <t>Pabalsti veselības aprūpei naudā</t>
  </si>
  <si>
    <t>Sociālās garantijas bāreņiem un audžuģimenēm naudā</t>
  </si>
  <si>
    <t>Pārējā papildus sociālā palīdzība atsevišķu izdevumu apmaksai naudā</t>
  </si>
  <si>
    <t>Mājokļa pabalsts naudā</t>
  </si>
  <si>
    <t>Garantētā minimālā ienākumu pabalsts naudā</t>
  </si>
  <si>
    <t>Dzīvokļa pabalsts natūrā</t>
  </si>
  <si>
    <t>2024-2023</t>
  </si>
  <si>
    <t>IIN-PFIF</t>
  </si>
  <si>
    <t>PFIF pret IIN</t>
  </si>
  <si>
    <t>Par tik saņemtajiem eur  IIN aizmaksājam 1 eur uz PFIF</t>
  </si>
  <si>
    <t>2023-2022</t>
  </si>
  <si>
    <t>2022-2021</t>
  </si>
  <si>
    <t>Mīkstais inventārs</t>
  </si>
  <si>
    <t>Izdevumi par precēm iestādes sabiedrisko aktivitāšu īstenošanai</t>
  </si>
  <si>
    <t>Tūrisms</t>
  </si>
  <si>
    <t>ANM pasākuma "Atbalsta pasākumi cilvēkiem ar invaliditāti mājokļu vides pieejamības nodrošināšanai" projekts</t>
  </si>
  <si>
    <t>Ādažu vidusskolas ēkas A korpusa, savienojuma daļas starp korpusiem (A un B), kā arī, vidusskolas centrālās daļas, tai skaitā torņa fasādes atjaunošana.</t>
  </si>
  <si>
    <t>Zeme zem būvēm</t>
  </si>
  <si>
    <t>0632.6</t>
  </si>
  <si>
    <t>LIFE NewBauhaus projekts</t>
  </si>
  <si>
    <t>Krastupes ielas projekts</t>
  </si>
  <si>
    <t>Dzirnupes ielas tilta projekts, Carnikava</t>
  </si>
  <si>
    <t xml:space="preserve">Pārējās privātās PII </t>
  </si>
  <si>
    <t>Izdevumi iestādes sabiedrisko aktivitāšu īstenošana</t>
  </si>
  <si>
    <t>Budžeta iestāžu dabas resursu nodokļa maksājumi</t>
  </si>
  <si>
    <t>Publiskās ārtelpas izveide Gaujas ielā 31 Ādažos</t>
  </si>
  <si>
    <t>Attekas ielas turpinājums 0,5 km - projektēšana</t>
  </si>
  <si>
    <t>Valsts finansējums projektu konkursā "Atbalsts jaunatnes politikas īstenošanai vietējā līmenī" Projekts "Mobilais darbs ar jaunatni Ādažu novadā"</t>
  </si>
  <si>
    <t>Projekts par energokopienām. Magliano Alpi pašvaldības Itālijā CERV Town Twinning programmas projektsa ietvaros</t>
  </si>
  <si>
    <t>Projekts jauniešu asociāciju federācija Eiropas mobilitātei. CERV programmas projekts "YOUTth and democracy: empowering Europe's next generation"</t>
  </si>
  <si>
    <t>21.3.9.9.; CKS</t>
  </si>
  <si>
    <t>AM līdzfinansējums Vecštāles ceļa rekonstrukcijai</t>
  </si>
  <si>
    <t>7.1.4.</t>
  </si>
  <si>
    <t xml:space="preserve">ESF projekts Atbalsts priekšlaicīgas mācību pārtraukšanas samazināšanai © </t>
  </si>
  <si>
    <t>10.1.15.</t>
  </si>
  <si>
    <t>2024. gada budžets</t>
  </si>
  <si>
    <t>projekti Erasmus+; NordPlus</t>
  </si>
  <si>
    <t xml:space="preserve">Apgaismes stabi Attekas ielas savienojumā no Ķiršu līdz Draudzības ielai. </t>
  </si>
  <si>
    <t>61 803 978</t>
  </si>
  <si>
    <t>50 914 203</t>
  </si>
  <si>
    <t>34 831 773</t>
  </si>
  <si>
    <t>5.5.3.0.</t>
  </si>
  <si>
    <t>70 000</t>
  </si>
  <si>
    <t>6 453</t>
  </si>
  <si>
    <t>5 856</t>
  </si>
  <si>
    <t>10 153 512</t>
  </si>
  <si>
    <t xml:space="preserve">    Maksas pakalpojumi un citi pašu ieņēmumi</t>
  </si>
  <si>
    <t>2 153 758</t>
  </si>
  <si>
    <t>F 40020010</t>
  </si>
  <si>
    <t xml:space="preserve">   Aizņēmumi Valsts kasē</t>
  </si>
  <si>
    <t>1 873 161</t>
  </si>
  <si>
    <t>9 016 614</t>
  </si>
  <si>
    <t xml:space="preserve">2024. gada plāns </t>
  </si>
  <si>
    <t>58 317 823</t>
  </si>
  <si>
    <t>11 584 926</t>
  </si>
  <si>
    <t>1 032 368</t>
  </si>
  <si>
    <t>521 949</t>
  </si>
  <si>
    <t>14 182 678</t>
  </si>
  <si>
    <t>2 519 182</t>
  </si>
  <si>
    <t>24 609 695</t>
  </si>
  <si>
    <t>3 797 026</t>
  </si>
  <si>
    <t>3 486 155</t>
  </si>
  <si>
    <t>24 369 680</t>
  </si>
  <si>
    <t>12 837 828</t>
  </si>
  <si>
    <t>192 269</t>
  </si>
  <si>
    <t>2 229 302</t>
  </si>
  <si>
    <t xml:space="preserve"> Pamatkapitāla veidošana</t>
  </si>
  <si>
    <t>4 408 846</t>
  </si>
  <si>
    <t>2 064 458</t>
  </si>
  <si>
    <t>8 486 299</t>
  </si>
  <si>
    <t>10.2.7.</t>
  </si>
  <si>
    <t>- uzturēšanas izmaksas (CKS)</t>
  </si>
  <si>
    <t>sākumskolas uzturēšanas izmaksas (CKS)</t>
  </si>
  <si>
    <t>-  sporta funkcijas nodrošināšana</t>
  </si>
  <si>
    <t>Dalība atveseļošanas un noturības mehānisma pasākumā “Atbalsta pasākumi cilvēkiem ar invaliditāti mājokļu vides pieejamības nodrošināšanai”</t>
  </si>
  <si>
    <t>AND trūkstošais finansējums uz, ko jāatmaksā citām pašv.</t>
  </si>
  <si>
    <t>Jaunas pirmsskolas izglītības iestādes Podniekos būvniecība</t>
  </si>
  <si>
    <t>0632.7 LAD, Jūras Zeme projekts, Mākslu skolas ārtelpas projekts Garā iela 20, Carnikavā</t>
  </si>
  <si>
    <t>0903</t>
  </si>
  <si>
    <t>12.2.3.0.</t>
  </si>
  <si>
    <t>18.6.2.14.</t>
  </si>
  <si>
    <t>18.6.2.20.</t>
  </si>
  <si>
    <t>MD pedagogiem</t>
  </si>
  <si>
    <t>MD interešu izglītība</t>
  </si>
  <si>
    <t>MD mācību līdzekļiem</t>
  </si>
  <si>
    <t>0954.1</t>
  </si>
  <si>
    <t>09821.1</t>
  </si>
  <si>
    <t>Kompensācijas, kuras Latvijas valsts izmaksā personām, pamatojoties uz Eiropas Kopienu Tiesas lēmumu</t>
  </si>
  <si>
    <t>- pedagogu algas, māc. līdzekļi (mērķdotācija)</t>
  </si>
  <si>
    <t>Pašvaldības DRN maksājums</t>
  </si>
  <si>
    <t>Projekts noslēdzies, konta atlikums.</t>
  </si>
  <si>
    <t>0632.7</t>
  </si>
  <si>
    <t>Atņemts EKK 7230, jo tā izpilde nāk no CKS</t>
  </si>
  <si>
    <t>1.3. Atbilstoši plānam.</t>
  </si>
  <si>
    <t>Kļavu ielā divkārtas virsmas apstrāde 0.35km</t>
  </si>
  <si>
    <t>Mežmalas ielas seguma vienkāršotā atjaunošana, 0.22km, Alderi</t>
  </si>
  <si>
    <t>Pašvaldību transferti citām pašvaldībām</t>
  </si>
  <si>
    <t>Naudas līdzekļu pārvietošana</t>
  </si>
  <si>
    <t>Mēnešalga</t>
  </si>
  <si>
    <t>Deputātu mēnešalga</t>
  </si>
  <si>
    <t>Ministru kabineta locekļu, valsts ministru un ministriju parlamentāro sekretāru mēnešalga</t>
  </si>
  <si>
    <t>Valsts civildienesta ierēdņu mēnešalga</t>
  </si>
  <si>
    <t>Specializētā valsts civildienesta ierēdņu mēnešalga</t>
  </si>
  <si>
    <t>Mēnešalga amatpersonām ar speciālajām dienesta pakāpēm</t>
  </si>
  <si>
    <t>Piemaksas, prēmijas un naudas balvas</t>
  </si>
  <si>
    <t>Piemaksas par speciālo dienesta pakāpi un diplomātisko rangu</t>
  </si>
  <si>
    <t>Piemaksa par izdienu</t>
  </si>
  <si>
    <t>Darba devēja valsts sociālās apdrošināšanas obligātās iemaksas, sociāla rakstura pabalsti un kompensācijas</t>
  </si>
  <si>
    <t>Studējošo kredītu dzēšana no iedalītajiem budžeta līdzekļiem</t>
  </si>
  <si>
    <t>Ārvalstīs nodarbināto amatpersonu (darbinieku) pabalsti un kompensācijas</t>
  </si>
  <si>
    <t>Darba devēja uzturdevas kompensācija</t>
  </si>
  <si>
    <t>Dienesta pienākumu izpildei nepieciešamā apģērba iegādes kompensācija</t>
  </si>
  <si>
    <t>Darbības ar valsts fondēto pensiju shēmas līdzekļiem</t>
  </si>
  <si>
    <t>Mācību, darba un dienesta komandējumi, dienesta, darba braucieni</t>
  </si>
  <si>
    <t>Iekšzemes mācību, darba un dienesta komandējumi, dienesta, darba braucieni</t>
  </si>
  <si>
    <t>Ārvalstu mācību, darba un dienesta komandējumi, dienesta, darba braucieni</t>
  </si>
  <si>
    <t>Pakalpojumi</t>
  </si>
  <si>
    <t>Valsts nozīmes datu pārraides tīkla pakalpojumi (pieslēguma punkta abonēšanas maksa, pieslēguma punkta ierīkošanas maksa un citi izdevumi)</t>
  </si>
  <si>
    <t>Pārējie sakaru pakalpojumi</t>
  </si>
  <si>
    <t>Izdevumi par komunālajiem pakalpojumiem</t>
  </si>
  <si>
    <t>Dažādi pakalpojumi</t>
  </si>
  <si>
    <t>Normatīvajos aktos noteiktie ceselības un fiziskās sagatavotības pārbaudes</t>
  </si>
  <si>
    <t>Ārvalstīs strādājošo darbinieku bērna pirmsskolas un skolas izdevumu kompensācija</t>
  </si>
  <si>
    <t>Ārvalstīs nodarbināto amatpersonu (darbinieku) kompensācijas</t>
  </si>
  <si>
    <t>Remontdarbi un iestāžu uzturēšanas pakalpojumi (izņemot kapitālo remontu)</t>
  </si>
  <si>
    <t>Autoceļu un ielu pārvaldīšana un uzturēšana</t>
  </si>
  <si>
    <t>(Svītrots ar MK 27.11.2018. noteikumiem Nr.746) Profesionālās darbības civiltiesiskās apdrošināšanas izdevumi</t>
  </si>
  <si>
    <t>(Nelietot) Informācijas tehnoloģiju pakalpojumi</t>
  </si>
  <si>
    <t>(Svītrots ar MK 27.11.2018. noteikumiem Nr.482) Informācijas sistēmas licenču nomas izdevumi</t>
  </si>
  <si>
    <t>Pārējie informācijas tehnoloģiju pakalpojumi</t>
  </si>
  <si>
    <t>Īre un noma</t>
  </si>
  <si>
    <t>Pārējā noma</t>
  </si>
  <si>
    <t>Pārējie pakalpojumi</t>
  </si>
  <si>
    <t>Izdevumi, kas saistīti ar operatīvo darbību</t>
  </si>
  <si>
    <t>Maksa par zinātniskās pētniecības darbu izpildi</t>
  </si>
  <si>
    <t>Izdevumi juridiskās palīdzības sniedzējiem un zvērinātiem tiesu izpildītājiem</t>
  </si>
  <si>
    <t>(Svītrots ar MK 15.10.2016. noteikumiem Nr.560) Iestādes iekšējo kolektīvo pasākumu organizēšanas izdevumi</t>
  </si>
  <si>
    <t>Maksājumi par saņemtajiem finanšu pakalpojumiem</t>
  </si>
  <si>
    <t>Maksājumi par valsts parāda apkalpošanu</t>
  </si>
  <si>
    <t>Komisijas maksas par izmantotajiem atvasinātajiem finanšu instrumentiem</t>
  </si>
  <si>
    <t>Maksājumi par parāda apkalpošanu un komisijas maksas par izmantotajiem atvasinātajiem finanšu instrumentiem</t>
  </si>
  <si>
    <t>Krājumi, materiāli, energoresursi, preces, biroja preces un inventārs, kurus neuzskaita kodā 5000</t>
  </si>
  <si>
    <t>Izdevumi par dažādām precēm un inventāru</t>
  </si>
  <si>
    <t>Darba aizsardzības līdzekļi</t>
  </si>
  <si>
    <t>Kurināmais un enerģētiskie materiāli</t>
  </si>
  <si>
    <t>Materiāli un izejvielas palīgražošanai</t>
  </si>
  <si>
    <t>Zāles, ķimikālijas, laboratorijas preces, medicīniskās ierīces, medicīniskie instrumenti, laboratorijas dzīvnieki un to uzturēšana</t>
  </si>
  <si>
    <t>Asins iegāde</t>
  </si>
  <si>
    <t>Medicīnas instrumenti, laboratorijas dzīvnieki un to uzturēšana</t>
  </si>
  <si>
    <t>Valsts un pašvaldību aprūpē, apgādē un dienestā (amatā) esošo personu uzturēšana</t>
  </si>
  <si>
    <t>Uzturdevas kompensācija naudā</t>
  </si>
  <si>
    <t>Apdrošināšanas izdevumi veselības, dzīvības un nelaimes gadījumu apdrošināšanai</t>
  </si>
  <si>
    <t>Pārējie valsts un pašvaldību aprūpē un apgādē esošo personu uzturēšanas izdevumi, kuri nav minēti citos koda 2360 apakškodos</t>
  </si>
  <si>
    <t>Specifiskie materiāli un inventārs</t>
  </si>
  <si>
    <t>Munīcijas un sprāgstvielas</t>
  </si>
  <si>
    <t>(Svītrots ar MK 27.11.2018 noteikumiem Nr.746) Speciālais militārais inventārs</t>
  </si>
  <si>
    <t>(Svītrots ar MK 10.11.2014. noteikumiem Nr.696) Speciālā militārā inventāra remonts un izveidošana</t>
  </si>
  <si>
    <t>Pārējie specifiskas lietošanas materiāli un inventārs</t>
  </si>
  <si>
    <t>Izdevumi periodikas iegādei bibliotēku krājumiem</t>
  </si>
  <si>
    <t>Budžeta iestāžu nodokļu, nodevu un sankciju maksājumi</t>
  </si>
  <si>
    <t>Budžeta iestāžu nodokļu un nodevu maksājumi</t>
  </si>
  <si>
    <t>Budžeta iestāžu nekustamā īpašuma nodokļa (t.sk. zemes nodokļa parāda) maksājumi budžetā</t>
  </si>
  <si>
    <t>Iedzīvotāju ienākuma nodoklis (no maksātnespējīgā darba devēja darbinieku prasījumu summām)</t>
  </si>
  <si>
    <t>Valsts sociālās apdrošināšanas obligātās iemaksas (no maksātnespējīgā darba devēja darbinieku prasījumu summām)</t>
  </si>
  <si>
    <t>Pakalpojumi, kurus budžeta iestādes apmaksā noteikto funkciju ietvaros, kas nav iestādes administratīvie izdevumi</t>
  </si>
  <si>
    <t>Subsīdijas lauksaimniecības ražošanai</t>
  </si>
  <si>
    <t>Subsīdijas lauksaimniecībai saskaņā ar normatīvajiem aktiem par valsts atbalstu lauksaimniecībai kārtējā gadā</t>
  </si>
  <si>
    <t>Produktu subsīdijas lauksaimniecībai saskaņā ar normatīvajiem aktiem par valsts atbalstu lauksaimniecībai kārtējā gadā</t>
  </si>
  <si>
    <t>Citas ražošanas subsīdijas lauksaimniecībai saskaņā ar normatīvajiem aktiem par valsts atbalstu lauksaimniecībai kārtējā gadā</t>
  </si>
  <si>
    <t>Subsīdijas lauksaimniecības tirgus intervencei</t>
  </si>
  <si>
    <t>Pārējās subsīdijas lauksaimniecībai, kuras nevar attiecināt uz kodiem 3110 un 3150</t>
  </si>
  <si>
    <t>Pārējās produktu subsīdijas lauksaimniecībai</t>
  </si>
  <si>
    <t>Pārējās ražošanas subsīdijas lauksaimniecībai</t>
  </si>
  <si>
    <t>Subsīdijas un dotācijas komersantiem, biedrībām, nodibinājumiem un fiziskām personām</t>
  </si>
  <si>
    <t>Subsīdijas valsts un pašvaldību komersantiem, kuras nav attiecināmas uz kodu 3290</t>
  </si>
  <si>
    <t>Produktu subsīdijas valsts un pašvaldību komersantiem</t>
  </si>
  <si>
    <t>Citas ražošanas subsīdijas valsts un pašvaldību komersantiem</t>
  </si>
  <si>
    <t>Subsīdijas biedrībām un nodibinājumiem (t.sk. reliģiskajām organizācijām)</t>
  </si>
  <si>
    <t>Produktu subsīdijas biedrībām un nodibinājumiem</t>
  </si>
  <si>
    <t>Citas ražošanas subsīdijas biedrībām un nodibinājumiem</t>
  </si>
  <si>
    <t>Valsts un pašvaldību budžeta dotācija komersantiem, biedrībām, nodibinājumiem un fiziskām personām</t>
  </si>
  <si>
    <t>Valsts kultūrkapitāla fonda pārskaitījumi fiziskām personām kultūras projektu īstenošanai</t>
  </si>
  <si>
    <t>Subsīdijas komersantiem</t>
  </si>
  <si>
    <t>Produktu subsīdijas komersantiem</t>
  </si>
  <si>
    <t>Citas ražošanas subsīdijas komersantiem</t>
  </si>
  <si>
    <t>Subsīdijas un dotācijas komersantiem, biedrībām un nodibinājumiem Eiropas Savienības politiku instrumentu un pārējās ārvalstu finanšu palīdzības līdzfinansēto projektu un (vai) pasākumu ietvaros</t>
  </si>
  <si>
    <t>Subsīdijas un dotācijas biedrībām un nodibinājumiem Eiropas Savienības politiku instrumentu un pārējās ārvalstu finanšu palīdzības līdzfinansētajiem projektiem (pasākumiem)</t>
  </si>
  <si>
    <t>Subsīdijas un dotācijas komersantiem Eiropas Savienības politiku instrumentu un pārējās ārvalstu finanšu palīdzības līdzfinansētajiem projektiem (pasākumiem)</t>
  </si>
  <si>
    <t>Atmaksa komersantiem par Eiropas Savienības politiku instrumentu un pārējās ārvalstu finanšu palīdzības projektu (pasākumu) īstenošanu</t>
  </si>
  <si>
    <t>Atmaksa biedrībām un nodibinājumiem par Eiropas Savienības politiku instrumentu un pārējās ārvalstu finanšu palīdzības projektu (pasākumu) īstenošanu</t>
  </si>
  <si>
    <t>Atmaksa valsts budžetam no valsts budžeta iestāžu valsts budžeta līdzekļiem vai ārvalstu finanšu palīdzības līdzekļu atlikumiem par iepriekšējos budžeta periodos finansētajiem izdevumiem</t>
  </si>
  <si>
    <t>Subsīdijas komersantiem sabiedriskā transporta pakalpojumu nodrošināšanai (par pasažieru regulārajiem pārvadājumiem)</t>
  </si>
  <si>
    <t>Produktu subsīdijas komersantiem sabiedriskā transporta pakalpojumu nodrošināšanai (par pasažieru regulārajiem pārvadājumiem)</t>
  </si>
  <si>
    <t>Citas ražošanas subsīdijas komersantiem sabiedriskā transporta pakalpojumu nodrošināšanai (par pasažieru regulārajiem pārvadājumiem)</t>
  </si>
  <si>
    <t>Konkursa kārtībā un sadarbības līgumiem un programmām sadalāmie valsts budžeta līdzekļi, kurus valsts budžeta likumā kārtējam gadam objektīvu iemeslu dēļ nav bijis iespējams ieplānot sadalījumā pa ekonomiskajām kategorijām</t>
  </si>
  <si>
    <t>Gadskārtējā valsts budžeta likuma izpildes laikā pārdalāmās budžeta apropriācijas</t>
  </si>
  <si>
    <t>Procentu maksājumi ārvalstu un starptautiskajām finanšu institūcijām</t>
  </si>
  <si>
    <t>Procentu maksājumi ārvalstu un starptautiskajām finnašu institūcijām par aizņēmumiem un vērtspapīriem</t>
  </si>
  <si>
    <t>Procentu maksājumi ārvalstu un starptautiskajām finanšu institūcijām no atvasināto finanšu instrumentu rezultāta</t>
  </si>
  <si>
    <t>Procentu maksājumi iekšzemes kredītiestādēm</t>
  </si>
  <si>
    <t>Procentu maksājumi iekšzemes kredītiestādēm no atvasināto finanšu instrumentu rezultāta</t>
  </si>
  <si>
    <t>Procentu maksājumi iekšzemes finnašu institūcijām par aizņēmumiem un vērtspapīriem</t>
  </si>
  <si>
    <t>Budžeta iestāžu līzinga procentu maksājumi</t>
  </si>
  <si>
    <t>Pārējie procentu maksājumi</t>
  </si>
  <si>
    <t>Budžeta iestāžu procentu maksājumi Valsts kasei</t>
  </si>
  <si>
    <t>Budžeta iestāžu procentu maksājumi Valsts kasei, izņemot valsts sociālās apdrošināšanas speciālo budžetu</t>
  </si>
  <si>
    <t>Valsts sociālās apdrošināšanas speciālā budžeta procentu maksājumi Valsts kasei</t>
  </si>
  <si>
    <t>Valsts budžeta (Valsts kases) procentu maksājumi</t>
  </si>
  <si>
    <t>Valsts budžeta (Valsts kases) procentu maksājumi valsts speciālajam sociālās apdrošināšanas budžetam</t>
  </si>
  <si>
    <t>Valsts budžeta (Valsts kases) procentu maksājumi pārējiem valsts budžeta iestāžu līdzekļu ieguldītājiem</t>
  </si>
  <si>
    <t>Valsts budžeta (Valsts kases) procentu maksājumi par pašvaldību budžeta līdzekļu ieguldījumiem</t>
  </si>
  <si>
    <t>Valsts budžeta (Valsts kases) procentu maksājumi pārējiem ieguldītājiem</t>
  </si>
  <si>
    <t>Pašvaldību iestāžu procentu maksājumi par aizņēmumiem no pašvaldību budžeta</t>
  </si>
  <si>
    <t>Nemateriālie ieguldījumi</t>
  </si>
  <si>
    <t>(Nelietot) Licences, koncesijas un patenti, preču zīmes un līdzīgas tiesības</t>
  </si>
  <si>
    <t>Pārējās licences, koncesijas un patenti, preču zīmes un tamlīdzīgas tiesības</t>
  </si>
  <si>
    <t>Pārējie nemateriālie ieguldījumi</t>
  </si>
  <si>
    <t>Derīgo izrakteņu izpēte un citi līdzīgi neražotie nemateriālie ieguldījumi</t>
  </si>
  <si>
    <t>Kapitālsabiedrību iegādes rezultātā iegūtā nemateriālā vērtība</t>
  </si>
  <si>
    <t>Pamatlīdzekļi, ieguldījuma īpašumi un bioloģsikie aktīvi</t>
  </si>
  <si>
    <t>Zeme un būves</t>
  </si>
  <si>
    <t>Dzīvojamās ēkas</t>
  </si>
  <si>
    <t>Nedzīvojamās ēkas</t>
  </si>
  <si>
    <t>Kultivētā zeme</t>
  </si>
  <si>
    <t>Atpūtai un izklaidei izmantojamā zeme</t>
  </si>
  <si>
    <t>Pārējais nekustamais īpašums</t>
  </si>
  <si>
    <t>Tehnoloģiskās iekārtas un mašīnas</t>
  </si>
  <si>
    <t>Pārējie pamatlīdzekļi</t>
  </si>
  <si>
    <t>(Svītrots ar MK 27.11.2018. noteikumiem Nr.746) Saimniecības pamatlīdzekļi</t>
  </si>
  <si>
    <t>Izklaides, literārie un mākslas oriģināldarbi</t>
  </si>
  <si>
    <t>Dārgakmeņi, dārgmetāli un citas vērtslietas</t>
  </si>
  <si>
    <t>Antīkie un citi mākslas priekšmeti</t>
  </si>
  <si>
    <t>(Svītrots ar MK 27.11.2018. noteikumiem Nr. 746) Citas vērtslietas</t>
  </si>
  <si>
    <t>Bioloģiskie un pazemes aktīvi</t>
  </si>
  <si>
    <t>Pazemes aktīvi</t>
  </si>
  <si>
    <t>Augļu dārzi un citi regulāri ražojošie stādījumi</t>
  </si>
  <si>
    <t>Pārējie bioloģiskie un lauksaimniecības aktīvi</t>
  </si>
  <si>
    <t>Ilgtermiņa ieguldījumi nomātajos pamatlīdzekļos</t>
  </si>
  <si>
    <t>Izdevumi par kapitāla daļu pārdošanu un pārvērtēšanu, vērtspapīru tirdzniecību un pārvērtēšanu un kapitāla daļu iegādi</t>
  </si>
  <si>
    <t>Izdevumi par kapitāla daļu pārdošanu un vērtspapīru tirdzniecību</t>
  </si>
  <si>
    <t>(Svītrots ar MK 27.11.2018. noteikumiem Nr.746) Izdevumi par kapitāla daļu pārdošanu</t>
  </si>
  <si>
    <t>(Svītrots ar MK 27.11.2018. noteikumiem Nr.746) Izdevumi par vērtspapīru tirdzniecību</t>
  </si>
  <si>
    <t>Izdevumi par kapitāla daļu un vērtspapīru pārvērtēšanu un izdevumi par ieguldījumu radniecīgajās un asociētajās kapitālsabiedrībās pārvērtēšanu</t>
  </si>
  <si>
    <t>Izdevumi par kapitāla daļu un par ieguldījumu radniecīgajās un asociētajās kapitālsabiedrībās pārvērtēšanu</t>
  </si>
  <si>
    <t>(Svītrots ar MK 27.11.2018. noteikumiem Nr.746) Izdevumi par vērtspapīru pārvērtēšanu</t>
  </si>
  <si>
    <t>Pensijas un sociālie pabalsti naudā</t>
  </si>
  <si>
    <t>Valsts pensijas</t>
  </si>
  <si>
    <t>Vecuma pensijas</t>
  </si>
  <si>
    <t>Invaliditātes pensijas</t>
  </si>
  <si>
    <t>Pensijas apgādnieka zaudējuma gadījumā</t>
  </si>
  <si>
    <t>Augstākās padomes deputātu pensijas</t>
  </si>
  <si>
    <t>Pensijas saskaņā ar speciāliem lēmumiem</t>
  </si>
  <si>
    <t>Izdienas pensijas</t>
  </si>
  <si>
    <t>Valsts sociālās apdrošināšanas pabalsti naudā</t>
  </si>
  <si>
    <t>Slimības pabalsts</t>
  </si>
  <si>
    <t>Maternitātes pabalsts</t>
  </si>
  <si>
    <t>Atlīdzība par darbspēju zaudējumu</t>
  </si>
  <si>
    <t>Atlīdzība par apgādnieka zaudējumu</t>
  </si>
  <si>
    <t>Apbedīšanas pabalsts</t>
  </si>
  <si>
    <t>Kaitējuma atlīdzība Černobiļas atomelektrostacijas (turpmāk - Černobiļas AES) avārijas rezultātā cietušajām personām</t>
  </si>
  <si>
    <t>Paternitātes pabalsts</t>
  </si>
  <si>
    <t>Darbā nodarītā kaitējuma atlīdzība</t>
  </si>
  <si>
    <t>Pārējie pabalsti</t>
  </si>
  <si>
    <t>Valsts sociālie pabalsti naudā</t>
  </si>
  <si>
    <t>Bērna kopšanas pabalsts</t>
  </si>
  <si>
    <t>Ģimenes valsts pabalsts</t>
  </si>
  <si>
    <t>Piemaksas pie ģimenes valsts pabalsta par bērnu invalīdu</t>
  </si>
  <si>
    <t>Bērna piedzimšanas pabalsts</t>
  </si>
  <si>
    <t>Valsts sociālā nodrošinājuma pabalsts</t>
  </si>
  <si>
    <t>Pabalsts un atlīdzība aizbildnim un audžuģimenei</t>
  </si>
  <si>
    <t>Pabalsts invalīdam, kuram nepieciešama īpaša kopšana</t>
  </si>
  <si>
    <t>Pārējie valsts pabalsti un kompensācijas</t>
  </si>
  <si>
    <t>Valsts un pašvaldību nodarbinātības pabalsti naudā</t>
  </si>
  <si>
    <t>Bezdarbnieka pabalsts</t>
  </si>
  <si>
    <t>Bezdarbnieka stipendija</t>
  </si>
  <si>
    <t>Pašvaldības papildu sociālā palīdzība iedzīvotājiem un sociālās garantijas bāreņiem un audžuģimenēm naudā</t>
  </si>
  <si>
    <t>(Svītrots ar MK 08.04.2021.noteikumiem Nr.223, kas piemērojami ar 01.04.2021.) Pabalsti ēdināšanai naudā</t>
  </si>
  <si>
    <t>Valsts un pašvaldību budžeta maksājumi</t>
  </si>
  <si>
    <t>Stipendijas</t>
  </si>
  <si>
    <t>Pārmaksāto sociālās apdrošināšanas iemaksu atmaksa</t>
  </si>
  <si>
    <t>Maksātnespējīgo darba devēju darbinieku prasījumi</t>
  </si>
  <si>
    <t>Eiropas Savienības pensiju shēmai pārskaitītais pensijas kapitāls</t>
  </si>
  <si>
    <t>Ilgstošas sociālās aprūpes un sociālās rehabilitācijas institūciju veiktie maksājumi klientiem personiskiem izdevumiem no normatīvajos aktos noteiktajiem klientu ienākumiem, kas izmaksāti no valsts budžeta līdzekļiem</t>
  </si>
  <si>
    <t>Sociālie pabalsti natūrā</t>
  </si>
  <si>
    <t>Pašvaldību papildu sociālā palīdzība iedzīvotājiem un sociālās garantijas bāreņiem un audžuģimenēm natūrā</t>
  </si>
  <si>
    <t>Pabalsti veselības aprūpei natūrā</t>
  </si>
  <si>
    <t>Pašvaldību pabalsti natūrā krīzes situācijā</t>
  </si>
  <si>
    <t>Sociālās garantijas bāreņiem un audžuģimenēm natūrā</t>
  </si>
  <si>
    <t>Pārējā papildu sociālā palīdzība natūrā</t>
  </si>
  <si>
    <t>Atbalsta pasākumi un kompensācijas natūrā</t>
  </si>
  <si>
    <t>Darba devēja sociālie pabalsti natūrā</t>
  </si>
  <si>
    <t>(Svītrots ar MK 08.04.2021. noteikumiem Nr.223, kas piemērojami ar 01.04.2021.) Pabalsts garantētā minimālā ienākumu līmeņa nodrošināšanai natūrā</t>
  </si>
  <si>
    <t>Pārējie klasifikācijā neminētie maksājumi iedzīvotājiem natūrā un kompensācijas</t>
  </si>
  <si>
    <t>Pašvaldības pirktie sociālie pakalpojumi iedzīvotājiem</t>
  </si>
  <si>
    <t>Izdevumi par piešķirumiem iedzīvotājiem natūrā, naudas balvas, izdevumi pašvaldību brīvprātīgo iniciatīvu izpildei</t>
  </si>
  <si>
    <t>Valsts budžeta uzturēšanas izdevumu transferti</t>
  </si>
  <si>
    <t>Valsts budžeta uzturēšanas izdevumu transferti no valsts speciālā budžeta uz valsts pamatbudžetu</t>
  </si>
  <si>
    <t>Valsts budžeta uzturēšanas izdevumu transferti no valsts pamatbudžeta uz valsts pamatbudžetu</t>
  </si>
  <si>
    <t>Valsts budžeta uzturēšanas izdevumu transferti no valsts pamatbudžeta dotācijas no vispārējiem ieņēmumiem uz valsts pamatbudžetu</t>
  </si>
  <si>
    <t>Valsts budžeta uzturēšanas izdevumu transferti no valsts pamatbudžeta ārvalstu finanšu palīdzības līdzekļiem uz valsts pamatbudžetu</t>
  </si>
  <si>
    <t>Nenaudas (aktīvu nodošana un saistību uzņemšana bilancē) darījumu transferti no valsts pamatbudžeta uz valsts pamatbudžetu starp vienas institucionālās padotības valsts budžeta iestādēm</t>
  </si>
  <si>
    <t>Nenaudas (aktīvu nodošana un saistību uzņemšana bilancē) darījumu transferti no valsts pamatbudžeta uz valsts pamatbudžetu starp dažādas institucionālās padotības valsts budžeta iestādēm</t>
  </si>
  <si>
    <t>Pārējie valsts budžeta uzturēšanas izdevumu transferti no valsts pamatbudžeta uz valsts pamatbudžetu</t>
  </si>
  <si>
    <t>Valsts budžeta uzturēšanas izdevumu transferti no valsts speciālā budžeta uz valsts speciālo budžetu</t>
  </si>
  <si>
    <t>Pašvaldību transferti uzturēšanas izdevumu transferti</t>
  </si>
  <si>
    <t>Pašvaldību izdevumu iekšējie transferti starp pašvaldības budžeta veidiem</t>
  </si>
  <si>
    <t>(Svītrots ar MK 27.11.2018. moteikumiem Nr.746) Pašvaldības speciālā budžeta uzturēšanas izdevumu transferts uz pašvaldības pamatbudžetu</t>
  </si>
  <si>
    <t>Pašvaldību uzturēšanas izdevumu transferti uz valsts budžetu</t>
  </si>
  <si>
    <t>Pašvaldību atmaksu valsts budžetam par iepriekšējos gados saņemtajiem, bet neizlietotajiem valsts budžeta transfertiem uzturēšanas izdevumiem, par neatbilstoši veiktajiem uzturēšanas izdevumiem Eiropas Savienības politiku instrumentu un pārējās ārval</t>
  </si>
  <si>
    <t>Pašvaldību uzturēšanas izdevumu transferti valsts budžeta daļēji finansētām atvasinātajām publiskajām personām, budžeta nefinansētajām iestādēm</t>
  </si>
  <si>
    <t>Valsts budžeta uzturēšanas izdevumu transferti citiem budžetiem noteiktam mērķim</t>
  </si>
  <si>
    <t>Valsts budžeta uzturēšanas izdevumu transferti pašvaldībām noteiktam mērķim</t>
  </si>
  <si>
    <t>Valsts budžeta uzturēšanas izdevumu transferti pašvaldībām Eiropas Savienības politiku instrumentu un pārējās ārvalstu finanšu palīdzības līdzfinansētajiem projektiem (pasākumiem)</t>
  </si>
  <si>
    <t>Valsts budžeta transferti valsts budžeta daļēji finansētām atvasinātajām publiskajām personām un budžeta nefinansētām iestādēm noteiktam mērķim</t>
  </si>
  <si>
    <t>Valsts budžeta uzturēšanas izdevumu transferti noteiktam mērķim savas ministrijas vai centrālās valsts iestādes padotībā esošajām no valsts budžeta daļēji finansētām atvasinātajām publiskajām personām un budžeta nefinansētām iestādēm</t>
  </si>
  <si>
    <t>Valsts budžeta uzturēšanas izdevumu transferti noteiktam mērķim citas ministrijas, centrālās valsts iestādes padotībā esošajām no valsts budžeta daļēji finansētām atvasinātajām publiskajām personām un budžeta nefinansētajām iestādēm</t>
  </si>
  <si>
    <t>Valsts budžeta uzturēšanas izdevumu transferti savas ministrijas, centrālās valsts iestādes padotībā esošajām no valsts budžeta daļēji finansētām atvasinātajām publiskajām personām un budžeta nefinansētām iestādēm Eiropas Savienības politiku instrume</t>
  </si>
  <si>
    <t>Valsts budžeta uzturēšanas izdevumu transferti citas ministrijas, centrālās valsts iestādes padotībā esošajām no valsts budžeta daļēji finansētām atvasinātajām publiskajām personām un budžeta nefinansētajām iestādēm Eiropas Savienības politiku instru</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</si>
  <si>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</si>
  <si>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</si>
  <si>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atvasinātajām publiskajām personām un budžeta nefinansētajām iestādēm</t>
  </si>
  <si>
    <t>Pārējie valsts budžeta uzturēšanas izdevumu transferti savas ministrijas, centrālās valsts iestādes padotībā esošajām valsts budžeta daļēji finansētām atvasinātām publiskām personām un budžeta nefinansētām iestādēm</t>
  </si>
  <si>
    <t>Pārējie valsts budžeta uzturēšanas izdevumu transferti citas ministrijas, centrālās valsts iestādes padotībā esošajām valsts budžeta daļēji finansētām atvasinātajām publiskajām personām un budžeta nefinansētām iestādēm</t>
  </si>
  <si>
    <t>Atmaksa valsts budžetā par veiktiem uzturēšanas izdevumiem</t>
  </si>
  <si>
    <t>Atmaksa valsts pamatbudžetā par valsts budžeta iestādes veiktajiem uzturēšanas izdevumiem Eiropas Savienības politiku instrumentu un pārējās ārvalstu finanšu palīdzības līdzfinansētajos projektos (pasākumos)</t>
  </si>
  <si>
    <t>Kārtējie maksājumi Eiropas Savienības budžetā</t>
  </si>
  <si>
    <t>Tradicionālo pašu resursu iemaksa Eiropas Savienības budžetā</t>
  </si>
  <si>
    <t>Pārējās iemaksas Eiropas Savienības budžetā</t>
  </si>
  <si>
    <t>Pievienotās vērtības nodokļa resurss</t>
  </si>
  <si>
    <t>Nacionālā kopienākuma resurss un rezerves</t>
  </si>
  <si>
    <t>Soda procenti</t>
  </si>
  <si>
    <t>Apvienotās Karalistes korekcija un citām dalībvalstīm budžeta līdzsvarošanai piešķirtās atlaides</t>
  </si>
  <si>
    <t>Eiropas Komisijai atmaksājamie līdzekļi</t>
  </si>
  <si>
    <t>Eiropas Komisijai atmaksājamie līdzekļi PHARE finansēto programmu ietvaros</t>
  </si>
  <si>
    <t>Eiropas Komisijai atmaksājamie līdzekļi Kohēzijas fonda finansēto programmu ietvaros</t>
  </si>
  <si>
    <t>Eiropas Komisijai atmaksājamie līdzekļi citu Eiropas Savienības politiku instrumentu finansēto programmu ietvaros</t>
  </si>
  <si>
    <t>Starptautiskā sadarbība</t>
  </si>
  <si>
    <t>Biedra naudas un dalības maksa starptautiskajās institūcijās</t>
  </si>
  <si>
    <t>Biedra naudas un dalības maksa Eiropas Savienības starptautiskajās institūcijās, izņemot kodā 7714 iekļaujamās izmaksas</t>
  </si>
  <si>
    <t>Biedra naudas un dalības maksa pārējās starptautiskajās institūcijās, izņemot kodā 7715 iekļaujamās iemaksas</t>
  </si>
  <si>
    <t>Iemaksas NATO budžetā</t>
  </si>
  <si>
    <t>Iemaksas Eiropas Savienības starptautisko institūciju kapitālā</t>
  </si>
  <si>
    <t>Iemaksas pārējo starptautisko institūciju kapitālā</t>
  </si>
  <si>
    <t>Pārējie pārskaitījumi ārvalstīm</t>
  </si>
  <si>
    <t>Starptautiskā palīdzība</t>
  </si>
  <si>
    <t>No valsts budžeta daļēji finansētu atvasināto publisko personu un budžeta nefinansētu iestāžu uzturēšanas izdevumu transferti</t>
  </si>
  <si>
    <t>No valsts budžeta daļēji finansētu atvasināto publisko personu un budžeta nefinansētu iestāžu uzturēšanas izdevumu transferti uz valsts budžetu</t>
  </si>
  <si>
    <t>No valsts budžeta daļēji finansētu atvasināto publisko personu un budžeta nefinansētu iestāžu uzturēšanas izdevumu transferti uz valsts budžetu (ministrijai, centrālajai valsts iestādei, kuras padotībā tā atrodas)</t>
  </si>
  <si>
    <t>No valsts budžeta daļēji finansētu atvasināto publisko personu un budžeta nefinansētu iestāžu uzturēšanas izdevumu transferti uz valsts budžetu (citai ministrijai, centrālajai valsts iestādei)</t>
  </si>
  <si>
    <t>No valsts budžeta daļēji finansētu atvasināto publisko personu un budžeta nefinansētu iestāžu atmaksa valsts budžetam (ministrijai, centrālajai valsts iestādei, kuras padotībā tā atrodas) par iepriekšējos gados saņemtajiem, bet neizlietotajiem valsts</t>
  </si>
  <si>
    <t>No valsts budžeta daļēji finansētu atvasināto publisko personu un budžeta nefinansētu iestāžu atmaksa valsts budžetam (citai ministrijai, centrālajai valsts iestādei) par iepriekšējos gados saņemtajiem, bet neizlietotajiem valsts budžeta transfertiem</t>
  </si>
  <si>
    <t>No valsts budžeta daļēji finansēto atvasināto publisko personu un budžeta nefinansēto iestāžu uzturēšanas izdevumu transferti pašvaldībām</t>
  </si>
  <si>
    <t>No valsts budžeta daļēji finansētu atvasināto publisko personu uzturēšanas izdevumu transferti uz to izveidotām iestādēm</t>
  </si>
  <si>
    <t>No valsts budžeta daļēji finansētu atvasināto publisko personu un budžeta nefinansētu iestāžu savstarpējie uzturēšanas izdevumu transferti</t>
  </si>
  <si>
    <t>No valsts budž.daļēji finans.atvas.publ.pers.un budžeta nefinans.iest.uztur.izd.transf.uz savas ministr.,centr.valsts iest.pad.esošajām no valsts budž.daļ.finans.atvas.publ.pers.un budž.nefin.iest.</t>
  </si>
  <si>
    <t>No valsts budž.daļēji finans.atvas.publ.pers.un budž.nefinans.iest.uztur.izd. transferti uz citas min.,centr.valsts iest.padot.esošajām no VB daļ.finans.atvas.publ.pers.un budž.nefin.iest.</t>
  </si>
  <si>
    <t>Dažādi izdevumi, kas veidojas pēc uzkrāšanas principa un nav klasificēti iepriekš</t>
  </si>
  <si>
    <t>Zaudējumi no valūtas kursa svārstībām</t>
  </si>
  <si>
    <t>Zaudējumi no valūtas kursa svārstībām attiecībā uz speciālā budžeta ārvalstu finanšu palīdzības līdzekļiem</t>
  </si>
  <si>
    <t>Izdevumi nedrošo debitoru parādu norakstīšanai un uzkrājumu veidošanai</t>
  </si>
  <si>
    <t>Izdevumi debitoru parādu norakstīšanai un vērtības samazinājuma atzīšanai</t>
  </si>
  <si>
    <t>Pārējie iepriekš neuzskaitītie budžeta izdevumi, kas veidojas pēc uzkrāšanas principa un nav uzskaitīti citos koda 8000 apakškodos</t>
  </si>
  <si>
    <t>Kapitālo izdevumu transferti</t>
  </si>
  <si>
    <t>Valsts budžeta kapitālo izdevumu transferti</t>
  </si>
  <si>
    <t>Valsts budžeta kapitālo izdevumu transferti no valsts speciālā budžeta uz valsts pamatbudžetu</t>
  </si>
  <si>
    <t>Valsts budžeta kapitālo izdevumu transferti no valsts pamatbudžeta uz valsts speciālo budžetu</t>
  </si>
  <si>
    <t>Valsts budžeta kapitālo izdevumu transferti no valsts pamatbudžeta uz valsts pamatbudžetu</t>
  </si>
  <si>
    <t>Valsts budžeta kapitālo izdevumu transferti no valsts pamatbudžeta dotācijas no vispārējiem ieņēmumiem uz valsts pamatbudžetu</t>
  </si>
  <si>
    <t>Valsts budžeta kapitālo izdevumu transferti no valsts pamatbudžeta ārvalstu finanšu palīdzības līdzekļiem uz valsts pamatbudžetu</t>
  </si>
  <si>
    <t>Nenaudas (aktīvu nodošana un saistību uzņemšana bilancē) darījumu izdevumu transferti no valsts pamatbudžeta uz valsts pamatbudžetu starp vienas institucionālās padotības valsts budžeta iestādēm</t>
  </si>
  <si>
    <t>Nenaudas (aktīvu nodošana un saistību uzņemšana bilancē) darījumu izdevumu transferti no valsts pamatbudžeta uz valsts pamatbudžetu starp dažādas institucionālās padotības valsts budžeta iestādēm</t>
  </si>
  <si>
    <t>Pārējie valsts budžeta kapitālo izdevumu transferti no valsts pamatbudžeta uz valsts pamatbudžetu</t>
  </si>
  <si>
    <t>Valsts budžeta kapitālo izdevumu transferti no valsts speciālā budžeta uz valsts speciālo budžetu</t>
  </si>
  <si>
    <t>Pašvaldību kapitālo izdevumu transferti</t>
  </si>
  <si>
    <t>Pašvaldību kapitālo izdevumu transferti citām pašvaldībām</t>
  </si>
  <si>
    <t>Pašvaldību kapitālo izdevumu transferti starp pašvaldības budžeta veidiem</t>
  </si>
  <si>
    <t>Pašvaldību pamatbudžeta kapitālo izdevumu transferti uz pašvaldības speciālo budžetu</t>
  </si>
  <si>
    <t>Pašvaldību speciālā budžeta kapitālo izdevumu transferti uz pašvaldības pamatbudžetu</t>
  </si>
  <si>
    <t>Pašvaldību kapitālo izdevumu transferti padotības iestādēm</t>
  </si>
  <si>
    <t>Pašvaldību kapitālo izdevumu transferti uz valsts budžetu</t>
  </si>
  <si>
    <t>Pašvaldību kapitālo izdevumu transferti (izņemot atmaksas) uz valsts budžetu</t>
  </si>
  <si>
    <t>Pašvaldību atmaksa valsts budžetam par iepriekšējos gados saņemto, bet neizlietoto valsts budžeta kapitālo izdevumu transfertiem</t>
  </si>
  <si>
    <t>Pašvaldību atmaksa valsts budžetam par iepriekšējos gados saņemtajiem, bet neizlietotajiem valsts budžeta transfertiem kapitālajiem izdevumiem vai atmaksa par neatbilstoši veiktajiem kapitālajiem izdevumiem Eiropas Savienības politiku instrumentu un</t>
  </si>
  <si>
    <t>Pašvaldību kapitālo izdevumu transferti valsts budžeta daļēji finansētām atvasinātām publiskām personām un budžeta nefinansētajām iestādēm</t>
  </si>
  <si>
    <t>Valsts budžeta transferti kapitālajiem izdevumiem citiem budžetiem noteiktam mērķim</t>
  </si>
  <si>
    <t>Valsts budžeta kapitālo izdevumu transferti pašvaldībām noteiktam mērķim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</si>
  <si>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</si>
  <si>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atvasinātajām publiskajām personām un budžeta nefinansētām iestādēm noteiktam mērķim</t>
  </si>
  <si>
    <t>Valsts budžeta kapitālo izdevumu transferti noteiktam mērķim savas ministrijas, centrālās valsts iestādes padotībā esošajām no valsts budžeta daļēji finansētām atvasinātajām publiskajām personām un budžeta nefinansētām iestādēm</t>
  </si>
  <si>
    <t>Valsts budžeta kapitālo izdevumu transferti noteiktam mērķim citas ministrijas, centrālās valsts iestādes padotībā esošajām no valsts budžeta daļēji finansētām atvasinātajām publiskajām personām un budžeta nefinansētām iestādēm</t>
  </si>
  <si>
    <t>Valsts budžeta kapitālo izdevumu transferti savas ministrijas, centrālās valsts iestādes padotībā esošajām no valsts budžeta daļēji finansētām atvasinātajām publiskajām personām un budžeta nefinansētām iestādēm Eiropas Savienības politiku instrumentu</t>
  </si>
  <si>
    <t>Valsts budžeta kapitālo izdevumu transferti citas ministrijas, centrālās valsts iestādes padotībā esošajām no valsts budžeta daļēji finansētām atvasinātajām publiskajām personām un budžeta nefinansētām iestādēm Eiropas Savienības politiku instrumentu</t>
  </si>
  <si>
    <t>Atmaksa valsts budžetā par veiktajiem kapitālajiem izdevumiem</t>
  </si>
  <si>
    <t>Atmaksa valsts pamatbudžetā par valsts budžeta iestādes veiktajiem kapitālajiem izdevumiem Eiropas Savienības politiku instrumentu un pārējās ārvalstu finanšu palīdzības līdzfinansētajos projektos (pasākumos)</t>
  </si>
  <si>
    <t>Pamatsumma IF</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</si>
  <si>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</si>
  <si>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</si>
  <si>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atvasinātajām publiskajām personām un budžeta nefinansētām iestādēm</t>
  </si>
  <si>
    <t>Pārējie valsts budžeta transferti kapitālajiem izdevumiem savas ministrijas, centrālās valsts iestādes padotībā esošajām valsts budžeta daļēji finansētām atvasinātajām publiskajām personām un budžeta nefinansētām iestādēm</t>
  </si>
  <si>
    <t>Pārējie valsts budžeta transferti kapitālajiem izdevumiem citas ministrijas, centrālās valsts iestādes padotībā esošajām valsts budžeta daļēji finansētām atvasinātajām publiskajām personām un budžeta nefinansētām iestādēm</t>
  </si>
  <si>
    <t>No valsts budžeta daļēji finansētu atvasināto publisko personu un budžeta nefinansētu iestāžu kapitālo izdevumu transferti</t>
  </si>
  <si>
    <t>No valsts budžeta daļēji finansētu atvasināto publisko personu un budžeta nefinansētu iestāžu kapitālo izdevumu transferti uz valsts budžetu</t>
  </si>
  <si>
    <t>No valsts budžeta daļēji finansētu atvasināto publisko personu un budžeta nefinansētu iestāžu kapitālo izdevumu transferti uz valsts budžetu (ministrijai, centrālajai valsts iestādei, kuras padotībā tā atrodas)</t>
  </si>
  <si>
    <t>No valsts budžeta daļēji finansētu atvasināto publisko personu un budžeta nefinansētu iestāžu kapitālo izdevumu transferti uz valsts budžetu (citai ministrijai, centrālajai valsts iestādei)</t>
  </si>
  <si>
    <t>No valsts budžeta daļēji finansēto atvasināto publisko personu un budžeta nefinansēto iestāžu atmaksa valsts budžetam (ministrijai, centrālajai valsts iestādei, kuras padotībā tā atrodas) par iepriekšējos gados saņemtajiem, bet neizlietotajiem valsts</t>
  </si>
  <si>
    <t>No valsts budžeta daļēji finansētu atvasināto publisko personu un budžeta nefinansētu iestāžu kapitālo izdevumu transferti pašvaldībām</t>
  </si>
  <si>
    <t>No valsts budžeta daļēji finansētu atvasināto publisko personu kapitālo izdevumu transferti to izveidotām iestādēm</t>
  </si>
  <si>
    <t>No valsts budžeta daļēji finansētu atvasināto publisko personu un budžeta nefinansētu iestāžu savstarpējie kapitālo izdevumu transferti</t>
  </si>
  <si>
    <t>No valsts budž.daļēji finans.atvas.publ.pers.un budž.nefinans.iest.kapit.izdev.transf.uz savas ministr., centr.valsts iest.padotībā esoš.no VB daļēji finans.atvas.publ.pers.un budž.nefinans.iest.</t>
  </si>
  <si>
    <t>No valsts budž.daļēji finans.atvas.publ.pers.un budž.nefinans.iest.kapit.izdev.transf.uz citas ministr., centr.valsts iest.padot.esošajām no VB daļēji finans.atvas.publ.pers.un budž.nefinans.iest.</t>
  </si>
  <si>
    <t>Sporta centa peldbaseina izbūve</t>
  </si>
  <si>
    <t>0111 Deputāti</t>
  </si>
  <si>
    <t>0120 Vēlēšanu komisija</t>
  </si>
  <si>
    <t>0130 Administratīvā komisija</t>
  </si>
  <si>
    <t>0140 Iepirkumu komisija</t>
  </si>
  <si>
    <t>0150 Pārējās komisijas</t>
  </si>
  <si>
    <t>0420 Autoceļu dotācijas izlietojums</t>
  </si>
  <si>
    <t>0490 Sabiedrisko attiecību nodaļa</t>
  </si>
  <si>
    <t>0490.1 Sabiedrisko attiecību nodaļa - Ādažu vēstis</t>
  </si>
  <si>
    <t>0510 Dabas resursa nodokļa izlietojums</t>
  </si>
  <si>
    <t>0610 Neparedzēti gadījumi</t>
  </si>
  <si>
    <t>0630 Attīstības un projektu nodaļa</t>
  </si>
  <si>
    <t>0630.1 Attīstības un projektu nodaļa - iedzīvotāju iniciatīvas</t>
  </si>
  <si>
    <t>0631.1 Pastaigu celiņa izveide gar Gaujas-Baltezera kanālu</t>
  </si>
  <si>
    <t>0631.2 Krastupes ielas projekts</t>
  </si>
  <si>
    <t>0632.5 TEP Atjaunojamo energoresursu izmantošana Ādažu novadā (EUCF)</t>
  </si>
  <si>
    <t>0633.1 Mobilitātes punkta infrastruktūras izveidošana Rīgas metropoles areālā. Carnikava</t>
  </si>
  <si>
    <t>0633.6 EKII projekts (Emisijas kvotu izsolīšanas instruments)</t>
  </si>
  <si>
    <t>0643 Ēka, Gaujas iela 33A</t>
  </si>
  <si>
    <t>0648 Saimniecības un infrastruktūras daļa</t>
  </si>
  <si>
    <t>0649 Ielu un ceļu uzturēšana</t>
  </si>
  <si>
    <t>0660 Teritorijas plānošanas nodaļa</t>
  </si>
  <si>
    <t>0670 Nekustamā īpašuma nodaļa</t>
  </si>
  <si>
    <t>0812 Sporta nodaļa</t>
  </si>
  <si>
    <t>0841.1 Ādažu novada kultūras centrs</t>
  </si>
  <si>
    <t>0841.2 Carnikavas Tautas nams "Ozolaine"</t>
  </si>
  <si>
    <t>0841.3 Carnikavas novadpētniecības centrs</t>
  </si>
  <si>
    <t>0841.4 Tūrisms</t>
  </si>
  <si>
    <t>0843 Multihalle Pirmajā ielā</t>
  </si>
  <si>
    <t>0901 Carnikavas PII "Riekstiņš"</t>
  </si>
  <si>
    <t>09011 Carnikavas PII "Riekstiņš" (VB mērķdotācija)</t>
  </si>
  <si>
    <t>0902 Siguļu PII "Piejūra"</t>
  </si>
  <si>
    <t>09021 Siguļu PII "Piejūra" (VB mērķdotācija)</t>
  </si>
  <si>
    <t>0903 Jauna PII izbūve Podniekos</t>
  </si>
  <si>
    <t>0910 Ādažu PII "Strautiņš"</t>
  </si>
  <si>
    <t>0911 Ādažu PII (VB mērķdotācija)</t>
  </si>
  <si>
    <t>0920 Kadagas PII "Mežavēji"</t>
  </si>
  <si>
    <t>0921 Kadagas PII (VB mērķdotācija)</t>
  </si>
  <si>
    <t>0930 Izglītības un jaunatnes nodaļa</t>
  </si>
  <si>
    <t>0930.2 Jaunatnes nodaļa</t>
  </si>
  <si>
    <t>0931 ESF projekts Atbalsts priekšlaicīgas mācību pārtraukšanas samazināšnai (Pumpurs)</t>
  </si>
  <si>
    <t>0932 ESF projekts Karjeras atbalsts vispārējās un profesionālās izglītības iestādēs ©</t>
  </si>
  <si>
    <t>0933 Mobilais darbs ar jaunatni Ādažu novadā</t>
  </si>
  <si>
    <t>0940.1 Pašvaldību savstarpējie norēķini izglīt.funkc.nodrošināšanai</t>
  </si>
  <si>
    <t>0940.2 Līdzfinansējums privātajiem PII izglīt.funkc.nodrošināšanai</t>
  </si>
  <si>
    <t>0940.3 Līdzfinansējums privātajām skolām izglīt.funkc.nodrošināšanai</t>
  </si>
  <si>
    <t>0951 Projekts "Skolas soma"</t>
  </si>
  <si>
    <t>0952 PII ĀVS</t>
  </si>
  <si>
    <t>0952.1 PII ĀVS (VB mērķdotācija)</t>
  </si>
  <si>
    <t>0954 Ādažu vidusskola (VB mērķdotācija)</t>
  </si>
  <si>
    <t>0954.1 Ādažu vidusskola (VB mērķdotācija - interešu izglītība)</t>
  </si>
  <si>
    <t>0956 Projekts "Atbalsts izglītojamo individuālo kompetenču attīstībai" Ādaži</t>
  </si>
  <si>
    <t>0957 Projekts "ERASMUS+" Ādažu vsk.</t>
  </si>
  <si>
    <t>0960 Ādažu novada Mākslu skola</t>
  </si>
  <si>
    <t>DI centra uzturēšanas izdevumi (CKS)</t>
  </si>
  <si>
    <t>Uzturēšanas izdevumi (CKS)</t>
  </si>
  <si>
    <t>8.9.</t>
  </si>
  <si>
    <t>0632.6 "LIFE BauhausingEurope" pieejas piemērošana sabiedrisko ēku pārveidošanai</t>
  </si>
  <si>
    <t>0633.2 Maģistrālā veloceļa izbūve Rīga-Carnikava</t>
  </si>
  <si>
    <t>0634 Plūdu riska novēršanas pasākumi Ādažu nov.terit.</t>
  </si>
  <si>
    <t>0634.1 Jaunais plūdu projekts - 2.1.3.2. "Nacionālas nozīmes plūdu un krasta erozijas pasākumi" 1.daļa</t>
  </si>
  <si>
    <t>0645 Teritorijas kopšana</t>
  </si>
  <si>
    <t>0844.1 SAM 5.5.1. Kultūras objektu būvniecība (maksājumi projekta partneriem)C</t>
  </si>
  <si>
    <t>0880 Evanģēliski luteriskās draudzes un Garkalnes Evaņģēliski luteriskā draudze</t>
  </si>
  <si>
    <t>0962 Ādažu novada Mākslu skola (VB mērķdotācija)</t>
  </si>
  <si>
    <t>0965 Ādažu Bērnu un jaunatnes sporta skola</t>
  </si>
  <si>
    <t>09651 Ādažu bērnu un jaunatnes sporta skola (VB mērķdotācija)</t>
  </si>
  <si>
    <t>0970 Ādažu brīvā Valdorfa skola</t>
  </si>
  <si>
    <t>0981 Ādažu sākumskola</t>
  </si>
  <si>
    <t>0982 Carnikavas pamatskola</t>
  </si>
  <si>
    <t>09821 Carnikavas pamatskola (VB mērķdotācija)</t>
  </si>
  <si>
    <t>09821.1 Carnikavas pamatskola (VB mērķdotācija - interešu izglītība)</t>
  </si>
  <si>
    <t>09822 Projekts "Skolas soma" Carnikavas pamatskola</t>
  </si>
  <si>
    <t>09823 Carnikavas stadiona rekonstrukcija</t>
  </si>
  <si>
    <t>09825 Projekts "ERASMUS+" Carnikava pamatskola</t>
  </si>
  <si>
    <t>09826 Projekts Nordplus Junior</t>
  </si>
  <si>
    <t>1011 Stipendiāti, bezdarbnieki</t>
  </si>
  <si>
    <t>1012 Asistenti</t>
  </si>
  <si>
    <t>1013.1 Projekts "Pasākumi vietējās sabiedrības veselības veicināšanai"/ SAM 9.2.4.2. Ādaži</t>
  </si>
  <si>
    <t>1013.2 Projekts "Pasākumi vietējās sabiedrības veselības veicināšanai"/ SAM 9.2.4.2. Carnikava</t>
  </si>
  <si>
    <t>1014.1 Projekts "Deinstitucionalizācija - Dienas centra izveide"/ SAM 9.3.1.1. Ādaži</t>
  </si>
  <si>
    <t>1014.3 Projekts Deinstitucionalizācija SAM 9.3.1.1./Dienas aprūpes un rehabilitācijas centrs "Ādažu Ūdensroze"</t>
  </si>
  <si>
    <t>1015 Sociālā centra "Kadiķis" uzturēšana</t>
  </si>
  <si>
    <t>1016 Dotācijas Ukrainas pilsoņu atbalstam</t>
  </si>
  <si>
    <t>1017 Dotācijas "Energoresursu atbalsts"</t>
  </si>
  <si>
    <t>0631.2</t>
  </si>
  <si>
    <t>0634.1</t>
  </si>
  <si>
    <t>Jaunais plūdu projekts - 2.1.3.2. "Nacionālas nozīmes plūdu un krasta erozijas pasākumi" 1.daļa</t>
  </si>
  <si>
    <t xml:space="preserve">Par projekta gaitu ziņo izpilddirektors. </t>
  </si>
  <si>
    <t>8.1. Maksa par izglītības pakalpojumiem u.c. ieņēmumi</t>
  </si>
  <si>
    <t>2. Izpilde atbilstoši plānotajam.</t>
  </si>
  <si>
    <t>Līdzdalības budžets</t>
  </si>
  <si>
    <t>0940.2</t>
  </si>
  <si>
    <t>0940.3</t>
  </si>
  <si>
    <t>Carnikavas vidusskola</t>
  </si>
  <si>
    <t>Norēķini notiek 3x gadā.</t>
  </si>
  <si>
    <t>2025-2024</t>
  </si>
  <si>
    <t>2025/2024</t>
  </si>
  <si>
    <t>Āra lifta izbūve pie A korpusa</t>
  </si>
  <si>
    <t>Ādažu vidusskolas D korpusa siltināšana</t>
  </si>
  <si>
    <t>"Upesceļi II/Ūdenstūrisma pieejamības veicināšana (RiverwaysII/Facilitating access to watertourism activities)".</t>
  </si>
  <si>
    <t>0631.3</t>
  </si>
  <si>
    <t>0904</t>
  </si>
  <si>
    <t>2025. gada budžets</t>
  </si>
  <si>
    <t>21.1.9.1.</t>
  </si>
  <si>
    <t>8.3.9.0.; 8.6.1.2.; 8.6.4.0.; 12.3.9.9.</t>
  </si>
  <si>
    <t>pārrobežu projektu ieņēmumi</t>
  </si>
  <si>
    <t>0690</t>
  </si>
  <si>
    <t>2025. gads</t>
  </si>
  <si>
    <t>3.1.1.</t>
  </si>
  <si>
    <t>3.1.2.</t>
  </si>
  <si>
    <t>5.5.1.</t>
  </si>
  <si>
    <t>5.5.2.</t>
  </si>
  <si>
    <t>5.5.3.</t>
  </si>
  <si>
    <t>5.5.4.</t>
  </si>
  <si>
    <t>5.5.5.</t>
  </si>
  <si>
    <t>5.5.6.</t>
  </si>
  <si>
    <t>5.5.7.</t>
  </si>
  <si>
    <t>5.5.8.</t>
  </si>
  <si>
    <t>5.5.9.</t>
  </si>
  <si>
    <t>5.5.10.</t>
  </si>
  <si>
    <t>5.5.11.</t>
  </si>
  <si>
    <t>5.5.12.</t>
  </si>
  <si>
    <t>5.5.13.</t>
  </si>
  <si>
    <t>5.6.1.</t>
  </si>
  <si>
    <t>5.6.2.</t>
  </si>
  <si>
    <t>5.6.3.</t>
  </si>
  <si>
    <t>5.6.4.</t>
  </si>
  <si>
    <t>5.6.6.</t>
  </si>
  <si>
    <t>5.6.7.</t>
  </si>
  <si>
    <t>5.6.10.</t>
  </si>
  <si>
    <t>5.6.11.</t>
  </si>
  <si>
    <t>5.6.12.</t>
  </si>
  <si>
    <t>5.6.13.</t>
  </si>
  <si>
    <t>5.6.14.</t>
  </si>
  <si>
    <t>5.6.15.</t>
  </si>
  <si>
    <t>5.6.16.</t>
  </si>
  <si>
    <t>6.1.4.</t>
  </si>
  <si>
    <t>7.1.5.</t>
  </si>
  <si>
    <t>7.3.1.</t>
  </si>
  <si>
    <t>7.3.2.</t>
  </si>
  <si>
    <t>7.3.3.</t>
  </si>
  <si>
    <t>7.3.4.</t>
  </si>
  <si>
    <t>8.2.3.</t>
  </si>
  <si>
    <t>8.4.1.</t>
  </si>
  <si>
    <t>8.4.2.</t>
  </si>
  <si>
    <t>8.4.3.</t>
  </si>
  <si>
    <t>8.5.1.</t>
  </si>
  <si>
    <t>8.5.2.</t>
  </si>
  <si>
    <t>8.5.3.</t>
  </si>
  <si>
    <t>8.6.1.</t>
  </si>
  <si>
    <t>8.6.2.</t>
  </si>
  <si>
    <t>8.6.3.</t>
  </si>
  <si>
    <t>8.7.1.</t>
  </si>
  <si>
    <t>8.7.1.1.</t>
  </si>
  <si>
    <t>8.7.1.2.</t>
  </si>
  <si>
    <t>8.7.1.3.</t>
  </si>
  <si>
    <t>8.7.2.</t>
  </si>
  <si>
    <t>8.7.3.</t>
  </si>
  <si>
    <t>8.7.4.</t>
  </si>
  <si>
    <t>8.7.5.</t>
  </si>
  <si>
    <t>8.7.6.</t>
  </si>
  <si>
    <t>8.7.7.</t>
  </si>
  <si>
    <t>8.8.1.</t>
  </si>
  <si>
    <t>8.8.1.1.</t>
  </si>
  <si>
    <t>8.8.1.2.</t>
  </si>
  <si>
    <t>8.8.1.3.</t>
  </si>
  <si>
    <t>8.8.2.</t>
  </si>
  <si>
    <t>8.8.3.</t>
  </si>
  <si>
    <t>8.8.4.</t>
  </si>
  <si>
    <t>8.8.5.</t>
  </si>
  <si>
    <t>8.8.6.</t>
  </si>
  <si>
    <t>8.8.7.</t>
  </si>
  <si>
    <t>8.8.8.</t>
  </si>
  <si>
    <t>8.8.9.</t>
  </si>
  <si>
    <t>8.8.10.</t>
  </si>
  <si>
    <t>8.8.11.</t>
  </si>
  <si>
    <t>8.8.11.1</t>
  </si>
  <si>
    <t>8.8.11.2.</t>
  </si>
  <si>
    <t>8.8.11.3.</t>
  </si>
  <si>
    <t>8.9.1.</t>
  </si>
  <si>
    <t>8.10.</t>
  </si>
  <si>
    <t>8.10.2.</t>
  </si>
  <si>
    <t>8.10.1.</t>
  </si>
  <si>
    <t>8.11</t>
  </si>
  <si>
    <t>8.12.</t>
  </si>
  <si>
    <t>8.13.</t>
  </si>
  <si>
    <t>8.14.</t>
  </si>
  <si>
    <t>8.15.</t>
  </si>
  <si>
    <t>citi pārrobežu projektu ieņēmumi</t>
  </si>
  <si>
    <t xml:space="preserve">0631.4 </t>
  </si>
  <si>
    <t>Projekts “Infrastruktūras uzlabošana uzņēmējdarbības attīstībai Ādažos”</t>
  </si>
  <si>
    <t>8.18.</t>
  </si>
  <si>
    <t>8.18.1.</t>
  </si>
  <si>
    <t>8.18.2</t>
  </si>
  <si>
    <t>Teritorijas novērtēšana pirms būvprojekta izstrādes un būvprojekts jaunas pamatskolas izveidei Ādažu pilsētā</t>
  </si>
  <si>
    <t>"Blusu" kroga pārbūves tehniskā projekta izstrāde.</t>
  </si>
  <si>
    <t>"Blusu" kroga pārbūves tehniskā projekta izstrāde</t>
  </si>
  <si>
    <t>Latvijas Skolu jaunatnes dziesmu un deju svētki</t>
  </si>
  <si>
    <t>Investīcijas energosaimniecības uzlabošanā</t>
  </si>
  <si>
    <t>5.6.4.1.</t>
  </si>
  <si>
    <t>5.6.4.2.</t>
  </si>
  <si>
    <t>5.6.4.3.</t>
  </si>
  <si>
    <t>5.6.5.</t>
  </si>
  <si>
    <t>Investīcijas vides pārvaldībā un uzlabošanā</t>
  </si>
  <si>
    <t>Investīcijas ceļu, ielu infrastruktūras attīstībā un uzlabošanā</t>
  </si>
  <si>
    <t xml:space="preserve">Dzirnupes ielas tilta pārbūve I kārta </t>
  </si>
  <si>
    <t>18.6.2.9.; 18.6.2.6.1.</t>
  </si>
  <si>
    <t xml:space="preserve">Nekustamā īpašuma nodaļa </t>
  </si>
  <si>
    <t>EKII</t>
  </si>
  <si>
    <t>0990</t>
  </si>
  <si>
    <t>VĒRTĪBAS</t>
  </si>
  <si>
    <t>0631.5</t>
  </si>
  <si>
    <t>1010; 1010.1; 1010.2</t>
  </si>
  <si>
    <t xml:space="preserve">Koriģēts interešu izgl. finansējums saskaņā ar 30.01. rīkojumu </t>
  </si>
  <si>
    <t>EUR 1'113 mērķdotācija no ĀVS uz CVSs, saskaņā ar 27.02.2025. lēmumu "Par mācību jomu koordinatoru darba nodrošināšanu".</t>
  </si>
  <si>
    <t>ERASMUS programmas projekts "Nacionālie koordinatori dalības pieaugušo izglītībā veicināšanai Latvijā" (realizē Izglītības nodaļa).</t>
  </si>
  <si>
    <t>Saskaņā ar lēmumprojektu par izmaiņām CKS struktūrā daļa tehnisko darbinieku (atalgojums) tiek pārcelts uz izglītības iestādes budžtu.</t>
  </si>
  <si>
    <t>EUR 1'113 mērķdotācija no ĀVS uz CVS, saskaņā ar 27.02.2025. lēmumu "Par mācību jomu koordinatoru darba nodrošināšanu".</t>
  </si>
  <si>
    <t>Saskaņā ar lēmumprojektu par izmaiņām CKS struktūrā daļa tehnisko darbinieku (atalgojums) tiek pārcelts uz iestādes budžetu.</t>
  </si>
  <si>
    <t>Saskaņā ar lēmumprojektu par izmaiņām CKS struktūrā daļa tehnisko darbinieku (atalgojums) tiek pārcelts uz izglītības iestādes budžetu.</t>
  </si>
  <si>
    <t>27.03.2025. grozījumi</t>
  </si>
  <si>
    <t>Izmaiņa 27.03.2025. - 22.01.2025.</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</si>
  <si>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</si>
  <si>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Projekts “Digitālā darba ar jaunatni sistēmas attīstība pašvaldībās”</t>
  </si>
  <si>
    <t>EUR 30'428 projekta “Digitālā darba ar jaunatni sistēmas attīstība pašvaldībās” ārfinansējums (0932).</t>
  </si>
  <si>
    <t>EUR 21 780 ĀVS D korpusa siltināšanai pārcelt uz ĀVS CKS-investīcijas (līgums ar SIA "US Arhitekti", par paskaidrojuma raksta izstrādi, noslēgts ar CKS) no EKK 5250 uz EKK 7230</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</si>
  <si>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</si>
  <si>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</si>
  <si>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</si>
  <si>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EUR 78'842 no Baltezera kapu atmežotās daļas ceļu un celiņu izveidošanai plānotajiem līdzekļiem novirzīt Ķiršu ielas pārbūves 4.kārtai</t>
  </si>
  <si>
    <t>1010; 1010.3</t>
  </si>
  <si>
    <t>Projekts "Labklājības nozares un pašvaldību sociālās sfēras platformas "DigiSoc" izstrāde un ieviešana</t>
  </si>
  <si>
    <t>EUR 2'000 no ekonomijas plānošanas programmas iegādei iniciatīvu projektu finansējuma palielinājumam.</t>
  </si>
  <si>
    <t>7210 (0940.1)</t>
  </si>
  <si>
    <t>1.3. Dabas resursu nodoklis un azartspēļu nodoklis</t>
  </si>
  <si>
    <t>8.3. Pārrobežu projektu ieņēmumi</t>
  </si>
  <si>
    <t>6.2. Teritorijas uzturēšana</t>
  </si>
  <si>
    <t>6.3. Izdevumi neparedzētiem gadījumiem, līdzdalības budžets</t>
  </si>
  <si>
    <t>1. Nodokļu ieņēmumu izpilde atbilstoši plānotajam.</t>
  </si>
  <si>
    <t>1.1. IIN atbilstoši plānotajam. (I.cet. 22%, II.cet.23%. III.cet.27%, IV.cet. 28%)</t>
  </si>
  <si>
    <t>(I.cet. 22%, II.cet.23%. III.cet.27%, IV.cet. 28%)</t>
  </si>
  <si>
    <t>Par projektu izpildes gaitu ziņo izpilddirektors</t>
  </si>
  <si>
    <t>7. Maksājumi tiek veikti 3 reizes gadā, maksājums par Ādažos deklarēto bērnu skaitu, kas apmeklē citu pašvaldību izglītības iestādes. Pirmais maksājums aprīlī.</t>
  </si>
  <si>
    <t xml:space="preserve">4. Realizē un par izpildi ziņo CKS. </t>
  </si>
  <si>
    <t>5. Pašvaldības DRN maksājums. Plānots novirzīt kapitālieguldījumiem, kas vēl nav realizēti.</t>
  </si>
  <si>
    <t xml:space="preserve">6.2. Realizē un par izpildi ziņo CKS. </t>
  </si>
  <si>
    <t>6.4.  Par projektu gaitu sīkāk ziņo izpilddirektors.</t>
  </si>
  <si>
    <t xml:space="preserve">     9.12. projekti - vēl nav finansiļa izpilde. Par projektu gaitu ziņo izpilddirektors.</t>
  </si>
  <si>
    <t xml:space="preserve">10. Atbilstoši plānotajam. </t>
  </si>
  <si>
    <t>Aizņēmums Skolas ielas rekonstrukcijai</t>
  </si>
  <si>
    <t>29.05.2025. grozījumi</t>
  </si>
  <si>
    <t>Izmaiņa 29.05.2025. - 27.03.2025.</t>
  </si>
  <si>
    <t>6.4.1.</t>
  </si>
  <si>
    <t>6.4.2.</t>
  </si>
  <si>
    <t>EUR 952'269 no IIN klasificējas kā IIN dotācijas, kas jāatspoguļo valsts budžeta transfertu sadaļā (10.p.)</t>
  </si>
  <si>
    <t>Pēdējais maksājums no KA izņemtais VK aizņēmums. Garantija netika saņemta, līdz ar to maksājums garantijas termiņa beigās. Novirzīts VK aizņēmuma atmaksai.</t>
  </si>
  <si>
    <t>Papildus apjoms avīzes drukai, lai iekļautu pašvaldību vēlēšanu informāciju. Līdzekļus pārcelt no nodaļas plānotajiem reprezentācijas izdevumiem.</t>
  </si>
  <si>
    <t>Dalība Zivju fonda projektā par videonovērošanas kameru iegādi. Realizē pašvaldības policija.</t>
  </si>
  <si>
    <t>EUR 14'715 no ekonomijas Sporta centra ventilācijas sistēmu tīrīšanas uz Ādažu vidusskolas siltināšanas procesā konstatēto papildus darbu veikšanai.</t>
  </si>
  <si>
    <t>EUR 1'321 no ekonomijas Sporta centra ventilācijas sistēmu tīrīšanai uz Ādažu vidusskolu (karstā cirkulācijas sūkņa nomaiņai)</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</si>
  <si>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</si>
  <si>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EUR 5'070 no CKS plānotās dotācijas īpašumu apsaimniekošanai uz Teritorijas uzturēšanu (Dome) arboristu čempionāta līguma apmaksai, kas noslēgts ar Domi).</t>
  </si>
  <si>
    <t>Sporta centra POS termināla nomas maksas plānu pārcelt no pārvaldes tāmes uz Sporta centra tāmi (EUR 650)</t>
  </si>
  <si>
    <t>Rīkojums par valsts mērķdotāciju mācību līdzekļiem</t>
  </si>
  <si>
    <t>Precizēts pēc projekta naudas plūsmas</t>
  </si>
  <si>
    <t>Pēdējais maksājums no KA izņemtais VK aizņēmums. Garantija netika saņemta, līdz ar to maksājums garantijas termiņa beigās (2029.gadā). Novirzīts VK aizņēmuma atmaksai.</t>
  </si>
  <si>
    <t>1) Dalība Zivju fonda projektā par videonovērošanas kameru iegādi. Realizē pašvaldības policija.
2) Atbalsts Ukrainas un Latvijas bērnu nometnēm EUR 4'455</t>
  </si>
  <si>
    <t>Atbalsts Ukrainas un Latvijas bērnu nometnēm EUR 4'455</t>
  </si>
  <si>
    <t>EUR 8'000 pārcelts uz CKS ēkas nojaukšanai  Kalmju ielā 2</t>
  </si>
  <si>
    <t>1) EUR 5'070 no CKS plānotās dotācijas īpašumu apsaimniekošanai uz Teritorijas uzturēšanu (Dome) arboristu čempionāta līguma apmaksai, kas noslēgts ar Domi).
2) EUR 8'000 pārcelts uz CKS ēkas nojaukšanai  Kalmju ielā 2</t>
  </si>
  <si>
    <t>26.06.2025. grozījumi</t>
  </si>
  <si>
    <t>Izmaiņa 26.06.2025. - 29.05.2025.</t>
  </si>
  <si>
    <t>Tā kā pamatā pašvaldībai ir mainīgās likmes aizņēmumi, kas šobrīd samazinās salīdzinot ar brīdi, kad tika plānots budžets, tad likmes ir pārskatītas un plānojam, ka 2025.gada maksājamā summa būs mazāka kā sākotnēji plānotā.</t>
  </si>
  <si>
    <t>EUR 300 no Mākslu skolas budžeta uz vidusskolas budžetu par apmācību vadīšanu Bērnu tiesību aizsardzību.</t>
  </si>
  <si>
    <t>14.3.</t>
  </si>
  <si>
    <t>14.7.</t>
  </si>
  <si>
    <t>14.8.</t>
  </si>
  <si>
    <t>14.9.</t>
  </si>
  <si>
    <t>Saņemtā PVN par sniegtajiem pakalpojumiem atmaksa valstij.</t>
  </si>
  <si>
    <t>1) Saņemtā PVN par sporta centra sniegtajiem pakalpojumiem atmaksa valstij.
2) Saskaņā ar atbalstīto lēmumu papildus finansējums EUR 13'800 no nesadalītā konta atlikuma grīdas seguma iegādei Ādažu vsk sporta zālē.</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</si>
  <si>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t>
  </si>
  <si>
    <t>Ieguvumu izdevumu analīzei ERAF projektu pieteikumiem «Multimodāls sabiedriskā transporta tīkls» STACIJA 2.0 (Garciems, Carnikava, Gauja).</t>
  </si>
  <si>
    <t>Papildus plānotajam ieņēmumi Gaujas svētku ietvaros</t>
  </si>
  <si>
    <t>Saskaņā ar 27.02.2025. Domes lēmumu Nr.86 papildus ieņēmumi Gaujas ielas svētku laikā novirzīti svētku organizēšanas izdevumu segšanai.</t>
  </si>
  <si>
    <t>EKII projekts noslēdzies, tiks ieskaitīts gala maksājums, kas jānovirza kredīta atmaksai</t>
  </si>
  <si>
    <t>EUR 5'051 no Gaujas dambja virskārtas atjaunošanai plānotajiem līdzekļiem novirzīt Lavera ceļa drenu kolektora iztekas pārbūvei.</t>
  </si>
  <si>
    <t>1) Apstiprināts projekts Pedagogu profesionālā atbalsta sistēmas izveidei. Precizēts finansējums 35'581 un no pašvaldības nepieciešams 20% avanss (EUR 8'896), ko atgūsim, noslēdzoties projektam (0934).
2) Dalība konkursā "Atbalsts jaunatnes politikas īstenošanai vietējā līmenī" - ārfinansējums EUR 8'781 (0935).
3) Dalība ESF projektu konkursā “Skola – kopienā”. Plānots ienākošais finansējums EUR 38'003 (realizē Izglītības nodaļa) (0936).
4) Valsts izglītības attīstības aģentūras finansējums EUR 5'643 dalībai projektā “Neformālās izglītības pasākumi, t.sk., latviešu valodas apguve, Ukrainas bērniem un jauniešiem” (0930).
5) Apstiprināts valsts finansējums dziesmu un deju svētku dalībnieku ēdināšanai EUR 16'359 (0990).</t>
  </si>
  <si>
    <t>30.06.2025. fakts</t>
  </si>
  <si>
    <t>30.06.2025. fakts (%) pret 2025. plānu</t>
  </si>
  <si>
    <t>Soc. pabalsti pēc faktiskājām izmaksām EUR 52'517;
DI pakalpojumu finansējums pēc faktiskajām izmaksām EUR 22'583.
VB dotācija KAC uzturēšanai un publisko pakalp.sistēmas pilnveidei un pakalp.vadības sistēmas uzturēšana EUR 4'568
Zivju fonda projekts EUR 15 152.</t>
  </si>
  <si>
    <t>Maksājumi tiek veikti 3x gadā</t>
  </si>
  <si>
    <t>2025.g. 1. pusgads</t>
  </si>
  <si>
    <t>EUR 18'420 - % ieņēmumi no nakts depozīta; 
EUR 5'317 AM kompensāciju par Vecštāles ceļa bojājumiem mācību laikā.</t>
  </si>
  <si>
    <t>Līdzfinansējums Baltezera kapu apsaimniekošanai (Ropažu novada pašvaldība) EUR 66'730.
Komunālie ieņēmumi CKS EUR 10'879.
 Pārējie ieņēmumi CKS EUR 17'456.</t>
  </si>
  <si>
    <t>Kopējā ieņēmumu izpilde pret plānoto ir 46%, jeb EUR 28'436'3575.</t>
  </si>
  <si>
    <t>1.2. NĪN rēķins par visu gadu gada sākumā, var nomaksāt gan visu uzreiz, gan 4 maksājumos.</t>
  </si>
  <si>
    <t xml:space="preserve">1.3. DRN plāns bija sastādīts balstoties uz 2024.gada izpildi. Ja būs pārpilde, šie līdzekļi ir novirzāmi konkrētiem mērķiem. Ir plānoti divi projekti (Atkritumu dalītās vākšanas laukums, </t>
  </si>
  <si>
    <t>Laveru sūkņu stacijas pārbūve), kam šo finansējumu uzkrājam.</t>
  </si>
  <si>
    <t xml:space="preserve">3. Pirmajā pusgadā izpilde 62%, taču plāna pārsniegums uz 1.pusgada beigām negarantē, ka tāds pats apjoms būs arī nākamajos mēnešos. </t>
  </si>
  <si>
    <t>Ja arī 2.pusgadā būs tāds pats plāna pārsniegums, tad gada griezumā plāna pārpilde būtu ~ EUR 31'000.</t>
  </si>
  <si>
    <t xml:space="preserve">4. Uz pirmā pusgada beigām plāna pārpilde EUR 15'639. EUR 18'420 - % ieņēmumi no nakts depozīta (plāns EUR 20'000, ātad iespējamā pārpilde ap EUR 20'000); </t>
  </si>
  <si>
    <t>EUR 1 255 - CKS ieņēmumi; EUR 5'317 AM kompensāciju par Vecštāles ceļa bojājumiem mācību laikā; EUR 12'137 ieņēmumi no zvejas tiesību nomas (plānā bija ielikti EUR 10'000).</t>
  </si>
  <si>
    <t xml:space="preserve">5. Divu dzīvokļu izsoles ceļā pārdošana par kopējo summu EUR 80'823. Ieņēmumi par Sintēzes ielu 2 EUR 26'020. Divu zemesgabalu izsoles ieņēmumi EUR 66'800 (nauda vēl nav ieskaitīta). </t>
  </si>
  <si>
    <t>Ieņēmumi no pašvaldības īpašuma pārdošanas uz nomaksu EUR 5'349.</t>
  </si>
  <si>
    <t>6. Valsts budžeta transferti un projektu finansējums ieņēmumu izpilde 39%.</t>
  </si>
  <si>
    <t>6.1. Pedagogu algām 67%, kas ir lielākā pozīcija šajā sadaļā, jo jūnijā tiek ieskaitīta dotācija par 3 mēnešiem (jūn-aug). Dotācija asistenta pakalpojumu nodrošināšanai 54% izpilde un sociālo izmaksu mērķdotācijas izpilde 55% no gadā plānotā.</t>
  </si>
  <si>
    <t>6.2.Izpilde 5%. Par projektu gaitu sīkāk ziņos izpilddirektors.</t>
  </si>
  <si>
    <t>6.3.IIN budžeta dotācijas izpilde 50%. Atbilstoši plānotajam.</t>
  </si>
  <si>
    <t>8. Izpilde atbilst plānotajam, jo šeit parādās zemes nomu ieņēmumi vasaraas brīvdabas svētkos un ERASMUS+ projektu ieņēmumi.</t>
  </si>
  <si>
    <t>Maksas par izglītības pakalpojumiem u.c. ieņēmumiem izpilde 72%, kas gada griezumā varētu būt lielāki kā ieplānots.</t>
  </si>
  <si>
    <t>1. Kopumā izpilde 33%, jeb EUR 25'143'553. Izpilde salidzinoši maza, jo daļa investīciju projektu vēl nav realizēti. Lielākās investīcijas (projekti) sastāda 24% no kopējām plānotajām izmaksām (EUR 17'217'267), kuru kopējā finansiālā izpilde uz 1.pusgada beigām ir 4%.</t>
  </si>
  <si>
    <t>1.1. Izpilde 40% no gada plāna. Ekonomija uz komisiju atalgojuma, kur plānots saskaņā ar nolikumiem atļautās stundas.</t>
  </si>
  <si>
    <t>1.2. Izpilde 46%. Šajā pozīcijā iespējamsbūs ekonomija, taču vairākiem aizņēmumiem likmes mainās gada otrajā pusē.</t>
  </si>
  <si>
    <t>2. Izpilde 39%. Vēl nav veikta formastērpu iegāde EUR 10'960. Speciāli aprīkotais policijas operatīvais transportlīdzeklis vēl nav piegādāts, tāpēc maksājumi vēl nav uzsākti.</t>
  </si>
  <si>
    <t>3. Plāna izpilde 40%. Izdevumi par kalendāru izgatavošanu visam novadam paredzēta gada beigās.</t>
  </si>
  <si>
    <t>6. Kopējā izpilde 17%. Maza izpilde, jo šajā sadaļā ir plānotie projekti EUR 10'670'317 apmērā, kur izpilde uz 30.06. ir 4% (EUR 405'782).</t>
  </si>
  <si>
    <t xml:space="preserve">     6.1. Izpilde 38%. Gada otrajā pusē paredzētas lielākas izmaksas gadskārtējo svētku noformējumam novadā (Valsts svētki, Ziemassvētki utt.). EUR 35'000 ĀŪ nododamo zemes gabalu atdalīšana (rezerve), vēl nav realizēts. </t>
  </si>
  <si>
    <t>6.3. Izdevumi neparedzētiem gadījumiem, līdzdalības budžets - šī gada pirmajā pusē izpilde "0".</t>
  </si>
  <si>
    <t>7.  Kopējā izpilde 43%. Ādažu kultūras centram izpilde 47%, TN Ozolaine, muzejam uz tūrismam  izpilde 32%, jo lielākās izmaksas gada otrajā pusē. Augustā - Nēģu svētki, pasākumi siltajā sezonā.
Sporta daļai izpilde 52%, jo gada pirmajā ceturksnī tiek izmaksātas dotācija biedrībām un nodibinājumiem, kas sastāda 15% no kopējā sporta daļas gada plāna.</t>
  </si>
  <si>
    <t>8. Kopējā izpilde 41%. Iniciatīvu projektu finansēšanai paredzētā summa EUR 15'000 izmaksāta pilnā apmērā.</t>
  </si>
  <si>
    <t>9. Kopējā izpilde 34%. Izglītības iestāžu atalgojuma sadaļā lielākā izpilde vasaras mēnešos, kad lielākā daļa darbinieku dodas atvaļinājumā. Izglītības sektora projektiem paredzēti plānā EUR 6'724'875 no kuriem ir veiktas izmaksas EUR 413'914 apmērā.</t>
  </si>
  <si>
    <t xml:space="preserve">     9.1. Norēķini ar pašvaldībām par izglītības iestāžu pakalp. - izpilde 54%, norēķini notiek 3x gadā un daļai jau samaksāts par periodu līdz šī gada augustam.</t>
  </si>
  <si>
    <t>9.2. - 9.5. Ādažu PII izpilde izpilde vidēji 40%. Darbinieku atvaļinājumi vasarā un mācību līdzekļu iegāde notiek pirms jaunā mācību gada.</t>
  </si>
  <si>
    <t>9.6. Privātās izglītības iestādes. Izpilde 39%, atbilstoši plānotajam.</t>
  </si>
  <si>
    <t>9.7. Carnikavas pamatskola - izpilde 44 %, pedagogu atvaļinājumi vasarā.</t>
  </si>
  <si>
    <t>9.9. Mākslu skola - izpilde 50%, atbilstoši plānotajam.</t>
  </si>
  <si>
    <t>9.10. Sporta skola 39% - vasarā plānotas nometnes.</t>
  </si>
  <si>
    <t>9.11. Izglītības un jauniešu lietu pārvalde 26% - lielākās plāna pozīcijas - bērnu radošās nometnes vasarā un skolēnu apbalvošana par augstiem mācību sasniegumiem pēc mācību gada noslēgšanās.</t>
  </si>
  <si>
    <t>9.8. Ādažu vidusskola 43% - projekts Ādažu vidusskolas ēkas A korpusa, savienojuma daļas starp korpusiem (A un B), kā arī, vidusskolas centrālās daļas, tai skaitā torņa fasādes atjaunošana realizēti 74% apjomā no kopējā plāna. EUR 300'000 plānoti Ādažu vidusskolas D korpusa siltināšanai notiek būvdarbu iepirkums.</t>
  </si>
  <si>
    <t>9.7. Carnikavas vidusskola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</si>
</sst>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426]General"/>
    <numFmt numFmtId="170" formatCode="[$-426]0%"/>
    <numFmt numFmtId="171" formatCode="&quot; &quot;#,##0.00&quot; &quot;;&quot;-&quot;#,##0.00&quot; &quot;;&quot; -&quot;#&quot; &quot;;&quot; &quot;@&quot; &quot;"/>
    <numFmt numFmtId="172" formatCode="[&lt;=9999999]###\-####;\(###\)\ ###\-####"/>
    <numFmt numFmtId="173" formatCode="_-* #,##0.00\ [$EUR]_-;\-* #,##0.00\ [$EUR]_-;_-* &quot;-&quot;??\ [$EUR]_-;_-@_-"/>
    <numFmt numFmtId="174" formatCode="_-&quot;€&quot;* #,##0.00_-;\-&quot;€&quot;* #,##0.00_-;_-&quot;€&quot;* &quot;-&quot;??_-;_-@_-"/>
    <numFmt numFmtId="175" formatCode="&quot; &quot;#,##0.00&quot; &quot;;&quot;-&quot;#,##0.00&quot; &quot;;&quot; -&quot;00&quot; &quot;;&quot; &quot;@&quot; &quot;"/>
  </numFmts>
  <fonts count="138"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i/>
      <sz val="11"/>
      <name val="Times New Roman"/>
      <family val="1"/>
      <charset val="186"/>
    </font>
    <font>
      <sz val="11"/>
      <color theme="1"/>
      <name val="Times New Roman"/>
      <family val="1"/>
      <charset val="186"/>
    </font>
    <font>
      <b/>
      <sz val="9"/>
      <color theme="1"/>
      <name val="Arial"/>
      <family val="2"/>
      <charset val="186"/>
    </font>
    <font>
      <sz val="8"/>
      <name val="Arial"/>
      <family val="2"/>
      <charset val="186"/>
    </font>
    <font>
      <sz val="8"/>
      <color indexed="10"/>
      <name val="Tahoma"/>
      <family val="2"/>
      <charset val="186"/>
    </font>
    <font>
      <sz val="9"/>
      <color indexed="8"/>
      <name val="Arial"/>
      <family val="2"/>
      <charset val="186"/>
    </font>
    <font>
      <sz val="9"/>
      <color theme="3"/>
      <name val="Arial"/>
      <family val="2"/>
      <charset val="186"/>
    </font>
    <font>
      <sz val="9"/>
      <color rgb="FFFF0000"/>
      <name val="Arial"/>
      <family val="2"/>
      <charset val="186"/>
    </font>
    <font>
      <sz val="9"/>
      <color rgb="FF006100"/>
      <name val="Arial"/>
      <family val="2"/>
      <charset val="186"/>
    </font>
    <font>
      <sz val="12"/>
      <name val="Times New Roman"/>
      <family val="1"/>
      <charset val="186"/>
    </font>
    <font>
      <sz val="9"/>
      <name val="Arial"/>
      <family val="2"/>
      <charset val="186"/>
    </font>
    <font>
      <b/>
      <sz val="11"/>
      <color theme="1"/>
      <name val="Calibri"/>
      <family val="2"/>
      <charset val="186"/>
      <scheme val="minor"/>
    </font>
    <font>
      <u/>
      <sz val="11"/>
      <color theme="10"/>
      <name val="Calibri"/>
      <family val="2"/>
      <charset val="186"/>
      <scheme val="minor"/>
    </font>
    <font>
      <sz val="11"/>
      <color rgb="FF000000"/>
      <name val="Calibri"/>
      <family val="2"/>
    </font>
    <font>
      <sz val="10"/>
      <color rgb="FFFF0000"/>
      <name val="Arial"/>
      <family val="2"/>
      <charset val="186"/>
    </font>
    <font>
      <b/>
      <sz val="9"/>
      <name val="Arial"/>
      <family val="2"/>
      <charset val="186"/>
    </font>
    <font>
      <sz val="10"/>
      <color theme="1"/>
      <name val="Arial"/>
      <family val="2"/>
      <charset val="186"/>
    </font>
    <font>
      <sz val="10"/>
      <name val="Arial"/>
      <family val="2"/>
    </font>
    <font>
      <b/>
      <sz val="11"/>
      <name val="Times New Roman"/>
      <family val="1"/>
    </font>
    <font>
      <sz val="9"/>
      <color indexed="81"/>
      <name val="Tahoma"/>
      <family val="2"/>
      <charset val="186"/>
    </font>
    <font>
      <b/>
      <sz val="9"/>
      <color indexed="81"/>
      <name val="Tahoma"/>
      <family val="2"/>
      <charset val="186"/>
    </font>
    <font>
      <sz val="10"/>
      <name val="Arial"/>
      <family val="2"/>
      <charset val="186"/>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b/>
      <sz val="9"/>
      <color indexed="8"/>
      <name val="Arial"/>
      <family val="2"/>
      <charset val="186"/>
    </font>
    <font>
      <u/>
      <sz val="12"/>
      <color theme="10"/>
      <name val="Times New Roman"/>
      <family val="2"/>
      <charset val="186"/>
    </font>
    <font>
      <sz val="11"/>
      <color theme="1"/>
      <name val="Calibri"/>
      <family val="2"/>
      <scheme val="minor"/>
    </font>
    <font>
      <sz val="11"/>
      <name val="Calibri"/>
      <family val="2"/>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sz val="10"/>
      <name val="Helv"/>
    </font>
    <font>
      <sz val="11"/>
      <color rgb="FF000000"/>
      <name val="Calibri"/>
      <family val="2"/>
      <charset val="186"/>
    </font>
    <font>
      <sz val="9"/>
      <color rgb="FF7030A0"/>
      <name val="Arial"/>
      <family val="2"/>
      <charset val="186"/>
    </font>
    <font>
      <u/>
      <sz val="9"/>
      <color theme="10"/>
      <name val="Arial"/>
      <family val="2"/>
      <charset val="186"/>
    </font>
    <font>
      <b/>
      <sz val="11"/>
      <name val="Calibri"/>
      <family val="2"/>
      <scheme val="minor"/>
    </font>
    <font>
      <sz val="11"/>
      <color rgb="FF9C5700"/>
      <name val="Calibri"/>
      <family val="2"/>
      <charset val="186"/>
      <scheme val="minor"/>
    </font>
    <font>
      <u/>
      <sz val="11"/>
      <color theme="10"/>
      <name val="Calibri"/>
      <family val="2"/>
      <charset val="186"/>
    </font>
    <font>
      <b/>
      <sz val="18"/>
      <name val="Calibri"/>
      <family val="2"/>
      <scheme val="minor"/>
    </font>
    <font>
      <sz val="8"/>
      <color rgb="FF000000"/>
      <name val="Times New Roman"/>
      <family val="1"/>
      <charset val="186"/>
    </font>
    <font>
      <sz val="28"/>
      <color theme="0" tint="-0.499984740745262"/>
      <name val="Calibri Light"/>
      <family val="2"/>
      <scheme val="major"/>
    </font>
    <font>
      <b/>
      <i/>
      <sz val="11"/>
      <name val="Calibri"/>
      <family val="2"/>
      <scheme val="minor"/>
    </font>
    <font>
      <i/>
      <sz val="11"/>
      <name val="Calibri"/>
      <family val="2"/>
      <scheme val="minor"/>
    </font>
    <font>
      <b/>
      <sz val="11"/>
      <color theme="1"/>
      <name val="Times New Roman"/>
      <family val="1"/>
      <charset val="186"/>
    </font>
    <font>
      <b/>
      <sz val="10"/>
      <color theme="1"/>
      <name val="Arial"/>
      <family val="2"/>
      <charset val="186"/>
    </font>
    <font>
      <b/>
      <sz val="10"/>
      <color rgb="FFFF0000"/>
      <name val="Arial"/>
      <family val="2"/>
      <charset val="186"/>
    </font>
    <font>
      <b/>
      <sz val="10"/>
      <color theme="0"/>
      <name val="Arial"/>
      <family val="2"/>
      <charset val="186"/>
    </font>
    <font>
      <b/>
      <sz val="11"/>
      <color rgb="FF000000"/>
      <name val="Times New Roman"/>
      <family val="1"/>
      <charset val="186"/>
    </font>
    <font>
      <sz val="11"/>
      <color rgb="FF000000"/>
      <name val="Times New Roman"/>
      <family val="1"/>
      <charset val="186"/>
    </font>
    <font>
      <sz val="11"/>
      <color rgb="FF000000"/>
      <name val="Calibri"/>
      <family val="2"/>
      <charset val="1"/>
    </font>
    <font>
      <i/>
      <sz val="11"/>
      <color indexed="8"/>
      <name val="Times New Roman"/>
      <family val="1"/>
      <charset val="186"/>
    </font>
    <font>
      <u/>
      <sz val="10"/>
      <name val="Arial"/>
      <family val="2"/>
      <charset val="186"/>
    </font>
    <font>
      <b/>
      <sz val="20"/>
      <name val="Times New Roman"/>
      <family val="1"/>
      <charset val="186"/>
    </font>
    <font>
      <b/>
      <sz val="11"/>
      <color rgb="FFEE0000"/>
      <name val="Times New Roman"/>
      <family val="1"/>
      <charset val="186"/>
    </font>
    <font>
      <sz val="11"/>
      <color rgb="FFEE0000"/>
      <name val="Times New Roman"/>
      <family val="1"/>
      <charset val="186"/>
    </font>
    <font>
      <sz val="10"/>
      <color rgb="FFEE0000"/>
      <name val="Arial"/>
      <family val="2"/>
      <charset val="186"/>
    </font>
    <font>
      <i/>
      <sz val="10"/>
      <color theme="1"/>
      <name val="Arial"/>
      <family val="2"/>
      <charset val="186"/>
    </font>
  </fonts>
  <fills count="53">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7999816888943144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theme="1" tint="0.3499862666707357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7"/>
        <bgColor indexed="64"/>
      </patternFill>
    </fill>
    <fill>
      <patternFill patternType="solid">
        <fgColor theme="6" tint="0.59999389629810485"/>
        <bgColor indexed="64"/>
      </patternFill>
    </fill>
  </fills>
  <borders count="9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rgb="FF000000"/>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329">
    <xf numFmtId="0" fontId="0" fillId="0" borderId="0"/>
    <xf numFmtId="43" fontId="62" fillId="0" borderId="0" applyFont="0" applyFill="0" applyBorder="0" applyAlignment="0" applyProtection="0"/>
    <xf numFmtId="9" fontId="62" fillId="0" borderId="0" applyFont="0" applyFill="0" applyBorder="0" applyAlignment="0" applyProtection="0"/>
    <xf numFmtId="0" fontId="54" fillId="0" borderId="0"/>
    <xf numFmtId="9" fontId="60" fillId="0" borderId="0" applyFont="0" applyFill="0" applyBorder="0" applyAlignment="0" applyProtection="0"/>
    <xf numFmtId="43" fontId="60" fillId="0" borderId="0" applyFont="0" applyFill="0" applyBorder="0" applyAlignment="0" applyProtection="0"/>
    <xf numFmtId="9" fontId="60" fillId="0" borderId="0" applyFont="0" applyFill="0" applyBorder="0" applyAlignment="0" applyProtection="0"/>
    <xf numFmtId="0" fontId="63" fillId="0" borderId="0"/>
    <xf numFmtId="43" fontId="60" fillId="0" borderId="0" applyFont="0" applyFill="0" applyBorder="0" applyAlignment="0" applyProtection="0"/>
    <xf numFmtId="9" fontId="60" fillId="0" borderId="0" applyFont="0" applyFill="0" applyBorder="0" applyAlignment="0" applyProtection="0"/>
    <xf numFmtId="0" fontId="63" fillId="0" borderId="0"/>
    <xf numFmtId="43" fontId="63" fillId="0" borderId="0" applyFont="0" applyFill="0" applyBorder="0" applyAlignment="0" applyProtection="0"/>
    <xf numFmtId="43" fontId="60" fillId="0" borderId="0" applyFont="0" applyFill="0" applyBorder="0" applyAlignment="0" applyProtection="0"/>
    <xf numFmtId="0" fontId="53" fillId="0" borderId="0"/>
    <xf numFmtId="9" fontId="63" fillId="0" borderId="0" applyFont="0" applyFill="0" applyBorder="0" applyAlignment="0" applyProtection="0"/>
    <xf numFmtId="43" fontId="60" fillId="0" borderId="0" applyFont="0" applyFill="0" applyBorder="0" applyAlignment="0" applyProtection="0"/>
    <xf numFmtId="0" fontId="60" fillId="0" borderId="0"/>
    <xf numFmtId="43" fontId="60" fillId="0" borderId="0" applyFont="0" applyFill="0" applyBorder="0" applyAlignment="0" applyProtection="0"/>
    <xf numFmtId="0" fontId="67" fillId="0" borderId="0"/>
    <xf numFmtId="43" fontId="62" fillId="0" borderId="0" applyFont="0" applyFill="0" applyBorder="0" applyAlignment="0" applyProtection="0"/>
    <xf numFmtId="43" fontId="60" fillId="0" borderId="0" applyFont="0" applyFill="0" applyBorder="0" applyAlignment="0" applyProtection="0"/>
    <xf numFmtId="166" fontId="62" fillId="0" borderId="0" applyFont="0" applyFill="0" applyBorder="0" applyAlignment="0" applyProtection="0"/>
    <xf numFmtId="43" fontId="60" fillId="0" borderId="0" applyFont="0" applyFill="0" applyBorder="0" applyAlignment="0" applyProtection="0"/>
    <xf numFmtId="43" fontId="73" fillId="0" borderId="0" applyFont="0" applyFill="0" applyBorder="0" applyAlignment="0" applyProtection="0"/>
    <xf numFmtId="43" fontId="53" fillId="0" borderId="0" applyFont="0" applyFill="0" applyBorder="0" applyAlignment="0" applyProtection="0"/>
    <xf numFmtId="43" fontId="60" fillId="0" borderId="0" applyFont="0" applyFill="0" applyBorder="0" applyAlignment="0" applyProtection="0"/>
    <xf numFmtId="0" fontId="53" fillId="0" borderId="0"/>
    <xf numFmtId="0" fontId="76" fillId="2" borderId="0" applyNumberFormat="0" applyBorder="0" applyAlignment="0" applyProtection="0"/>
    <xf numFmtId="0" fontId="63" fillId="0" borderId="0"/>
    <xf numFmtId="43" fontId="63" fillId="0" borderId="0" applyFont="0" applyFill="0" applyBorder="0" applyAlignment="0" applyProtection="0"/>
    <xf numFmtId="43" fontId="63" fillId="0" borderId="0" applyFont="0" applyFill="0" applyBorder="0" applyAlignment="0" applyProtection="0"/>
    <xf numFmtId="9" fontId="63" fillId="0" borderId="0" applyFont="0" applyFill="0" applyBorder="0" applyAlignment="0" applyProtection="0"/>
    <xf numFmtId="0" fontId="52" fillId="0" borderId="0"/>
    <xf numFmtId="0" fontId="51" fillId="0" borderId="0"/>
    <xf numFmtId="9" fontId="51" fillId="0" borderId="0" applyFont="0" applyFill="0" applyBorder="0" applyAlignment="0" applyProtection="0"/>
    <xf numFmtId="0" fontId="51" fillId="0" borderId="0"/>
    <xf numFmtId="43" fontId="60" fillId="0" borderId="0" applyFont="0" applyFill="0" applyBorder="0" applyAlignment="0" applyProtection="0"/>
    <xf numFmtId="0" fontId="60" fillId="0" borderId="0"/>
    <xf numFmtId="0" fontId="60" fillId="0" borderId="0"/>
    <xf numFmtId="43" fontId="51" fillId="0" borderId="0" applyFont="0" applyFill="0" applyBorder="0" applyAlignment="0" applyProtection="0"/>
    <xf numFmtId="0" fontId="77" fillId="0" borderId="0"/>
    <xf numFmtId="0" fontId="80" fillId="0" borderId="0" applyNumberFormat="0" applyFill="0" applyBorder="0" applyAlignment="0" applyProtection="0"/>
    <xf numFmtId="0" fontId="63" fillId="0" borderId="0" applyNumberFormat="0" applyFill="0" applyBorder="0" applyAlignment="0" applyProtection="0"/>
    <xf numFmtId="0" fontId="50" fillId="0" borderId="0"/>
    <xf numFmtId="0" fontId="50" fillId="0" borderId="0"/>
    <xf numFmtId="0" fontId="60" fillId="0" borderId="0"/>
    <xf numFmtId="0" fontId="60" fillId="0" borderId="0"/>
    <xf numFmtId="0" fontId="63" fillId="0" borderId="0"/>
    <xf numFmtId="0" fontId="49" fillId="0" borderId="0"/>
    <xf numFmtId="43" fontId="49" fillId="0" borderId="0" applyFont="0" applyFill="0" applyBorder="0" applyAlignment="0" applyProtection="0"/>
    <xf numFmtId="43" fontId="62" fillId="0" borderId="0" applyFont="0" applyFill="0" applyBorder="0" applyAlignment="0" applyProtection="0"/>
    <xf numFmtId="0" fontId="63" fillId="0" borderId="0"/>
    <xf numFmtId="0" fontId="49" fillId="0" borderId="0"/>
    <xf numFmtId="0" fontId="85" fillId="0" borderId="0"/>
    <xf numFmtId="169" fontId="81" fillId="0" borderId="0"/>
    <xf numFmtId="0" fontId="48" fillId="0" borderId="0"/>
    <xf numFmtId="9" fontId="48" fillId="0" borderId="0" applyFont="0" applyFill="0" applyBorder="0" applyAlignment="0" applyProtection="0"/>
    <xf numFmtId="43" fontId="62" fillId="0" borderId="0" applyFont="0" applyFill="0" applyBorder="0" applyAlignment="0" applyProtection="0"/>
    <xf numFmtId="43" fontId="73" fillId="0" borderId="0" applyFont="0" applyFill="0" applyBorder="0" applyAlignment="0" applyProtection="0"/>
    <xf numFmtId="43" fontId="48" fillId="0" borderId="0" applyFont="0" applyFill="0" applyBorder="0" applyAlignment="0" applyProtection="0"/>
    <xf numFmtId="43" fontId="63" fillId="0" borderId="0" applyFont="0" applyFill="0" applyBorder="0" applyAlignment="0" applyProtection="0"/>
    <xf numFmtId="43" fontId="60" fillId="0" borderId="0" applyFont="0" applyFill="0" applyBorder="0" applyAlignment="0" applyProtection="0"/>
    <xf numFmtId="0" fontId="48" fillId="0" borderId="0"/>
    <xf numFmtId="43" fontId="48" fillId="0" borderId="0" applyFont="0" applyFill="0" applyBorder="0" applyAlignment="0" applyProtection="0"/>
    <xf numFmtId="0" fontId="47" fillId="0" borderId="0"/>
    <xf numFmtId="0" fontId="46" fillId="0" borderId="0"/>
    <xf numFmtId="0" fontId="45" fillId="0" borderId="0"/>
    <xf numFmtId="43" fontId="45" fillId="0" borderId="0" applyFont="0" applyFill="0" applyBorder="0" applyAlignment="0" applyProtection="0"/>
    <xf numFmtId="170" fontId="81" fillId="0" borderId="0" applyBorder="0" applyProtection="0"/>
    <xf numFmtId="171" fontId="81" fillId="0" borderId="0" applyBorder="0" applyProtection="0"/>
    <xf numFmtId="0" fontId="63" fillId="0" borderId="0"/>
    <xf numFmtId="0" fontId="44" fillId="0" borderId="0"/>
    <xf numFmtId="43" fontId="44" fillId="0" borderId="0" applyFont="0" applyFill="0" applyBorder="0" applyAlignment="0" applyProtection="0"/>
    <xf numFmtId="9" fontId="44" fillId="0" borderId="0" applyFont="0" applyFill="0" applyBorder="0" applyAlignment="0" applyProtection="0"/>
    <xf numFmtId="0" fontId="43" fillId="0" borderId="0"/>
    <xf numFmtId="43" fontId="43" fillId="0" borderId="0" applyFont="0" applyFill="0" applyBorder="0" applyAlignment="0" applyProtection="0"/>
    <xf numFmtId="0" fontId="89" fillId="0" borderId="0"/>
    <xf numFmtId="0" fontId="42" fillId="0" borderId="0"/>
    <xf numFmtId="43" fontId="42" fillId="0" borderId="0" applyFont="0" applyFill="0" applyBorder="0" applyAlignment="0" applyProtection="0"/>
    <xf numFmtId="165" fontId="42" fillId="0" borderId="0" applyFont="0" applyFill="0" applyBorder="0" applyAlignment="0" applyProtection="0"/>
    <xf numFmtId="9" fontId="42" fillId="0" borderId="0" applyFont="0" applyFill="0" applyBorder="0" applyAlignment="0" applyProtection="0"/>
    <xf numFmtId="43" fontId="62" fillId="0" borderId="0" applyFont="0" applyFill="0" applyBorder="0" applyAlignment="0" applyProtection="0"/>
    <xf numFmtId="0" fontId="41" fillId="0" borderId="0"/>
    <xf numFmtId="0" fontId="40" fillId="0" borderId="0"/>
    <xf numFmtId="0" fontId="39" fillId="0" borderId="0"/>
    <xf numFmtId="0" fontId="93" fillId="0" borderId="0" applyNumberFormat="0" applyProtection="0">
      <alignment vertical="top"/>
    </xf>
    <xf numFmtId="0" fontId="85" fillId="0" borderId="0"/>
    <xf numFmtId="43" fontId="39" fillId="0" borderId="0" applyFont="0" applyFill="0" applyBorder="0" applyAlignment="0" applyProtection="0"/>
    <xf numFmtId="0" fontId="39" fillId="0" borderId="0"/>
    <xf numFmtId="0" fontId="38" fillId="0" borderId="0"/>
    <xf numFmtId="0" fontId="37" fillId="0" borderId="0"/>
    <xf numFmtId="0" fontId="95" fillId="0" borderId="0" applyNumberFormat="0" applyFill="0" applyBorder="0" applyAlignment="0" applyProtection="0"/>
    <xf numFmtId="0" fontId="96" fillId="0" borderId="0"/>
    <xf numFmtId="0" fontId="35" fillId="0" borderId="0"/>
    <xf numFmtId="0" fontId="35" fillId="0" borderId="0"/>
    <xf numFmtId="9" fontId="63" fillId="0" borderId="0" applyFont="0" applyFill="0" applyBorder="0" applyAlignment="0" applyProtection="0"/>
    <xf numFmtId="0" fontId="34" fillId="0" borderId="0"/>
    <xf numFmtId="0" fontId="63" fillId="0" borderId="0"/>
    <xf numFmtId="43" fontId="63" fillId="0" borderId="0" applyFont="0" applyFill="0" applyBorder="0" applyAlignment="0" applyProtection="0"/>
    <xf numFmtId="43" fontId="34" fillId="0" borderId="0" applyFont="0" applyFill="0" applyBorder="0" applyAlignment="0" applyProtection="0"/>
    <xf numFmtId="0" fontId="62" fillId="0" borderId="0"/>
    <xf numFmtId="0" fontId="98" fillId="0" borderId="0" applyNumberFormat="0" applyFill="0" applyBorder="0" applyAlignment="0" applyProtection="0"/>
    <xf numFmtId="0" fontId="99" fillId="0" borderId="35" applyNumberFormat="0" applyFill="0" applyAlignment="0" applyProtection="0"/>
    <xf numFmtId="0" fontId="100" fillId="0" borderId="36" applyNumberFormat="0" applyFill="0" applyAlignment="0" applyProtection="0"/>
    <xf numFmtId="0" fontId="101" fillId="0" borderId="37" applyNumberFormat="0" applyFill="0" applyAlignment="0" applyProtection="0"/>
    <xf numFmtId="0" fontId="101" fillId="0" borderId="0" applyNumberFormat="0" applyFill="0" applyBorder="0" applyAlignment="0" applyProtection="0"/>
    <xf numFmtId="0" fontId="102" fillId="2" borderId="0" applyNumberFormat="0" applyBorder="0" applyAlignment="0" applyProtection="0"/>
    <xf numFmtId="0" fontId="103" fillId="17" borderId="0" applyNumberFormat="0" applyBorder="0" applyAlignment="0" applyProtection="0"/>
    <xf numFmtId="0" fontId="104" fillId="18" borderId="0" applyNumberFormat="0" applyBorder="0" applyAlignment="0" applyProtection="0"/>
    <xf numFmtId="0" fontId="105" fillId="19" borderId="38" applyNumberFormat="0" applyAlignment="0" applyProtection="0"/>
    <xf numFmtId="0" fontId="106" fillId="20" borderId="39" applyNumberFormat="0" applyAlignment="0" applyProtection="0"/>
    <xf numFmtId="0" fontId="107" fillId="20" borderId="38" applyNumberFormat="0" applyAlignment="0" applyProtection="0"/>
    <xf numFmtId="0" fontId="108" fillId="0" borderId="40" applyNumberFormat="0" applyFill="0" applyAlignment="0" applyProtection="0"/>
    <xf numFmtId="0" fontId="109" fillId="21" borderId="41" applyNumberFormat="0" applyAlignment="0" applyProtection="0"/>
    <xf numFmtId="0" fontId="55" fillId="0" borderId="0" applyNumberFormat="0" applyFill="0" applyBorder="0" applyAlignment="0" applyProtection="0"/>
    <xf numFmtId="0" fontId="110" fillId="0" borderId="0" applyNumberFormat="0" applyFill="0" applyBorder="0" applyAlignment="0" applyProtection="0"/>
    <xf numFmtId="0" fontId="79" fillId="0" borderId="43" applyNumberFormat="0" applyFill="0" applyAlignment="0" applyProtection="0"/>
    <xf numFmtId="0" fontId="111"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111" fillId="26" borderId="0" applyNumberFormat="0" applyBorder="0" applyAlignment="0" applyProtection="0"/>
    <xf numFmtId="0" fontId="111"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111" fillId="30" borderId="0" applyNumberFormat="0" applyBorder="0" applyAlignment="0" applyProtection="0"/>
    <xf numFmtId="0" fontId="111"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111" fillId="34" borderId="0" applyNumberFormat="0" applyBorder="0" applyAlignment="0" applyProtection="0"/>
    <xf numFmtId="0" fontId="111"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111" fillId="38" borderId="0" applyNumberFormat="0" applyBorder="0" applyAlignment="0" applyProtection="0"/>
    <xf numFmtId="0" fontId="111"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111" fillId="42" borderId="0" applyNumberFormat="0" applyBorder="0" applyAlignment="0" applyProtection="0"/>
    <xf numFmtId="0" fontId="111" fillId="43"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111" fillId="46" borderId="0" applyNumberFormat="0" applyBorder="0" applyAlignment="0" applyProtection="0"/>
    <xf numFmtId="0" fontId="32" fillId="0" borderId="0"/>
    <xf numFmtId="0" fontId="32" fillId="22" borderId="42" applyNumberFormat="0" applyFont="0" applyAlignment="0" applyProtection="0"/>
    <xf numFmtId="0" fontId="31" fillId="0" borderId="0"/>
    <xf numFmtId="43" fontId="31" fillId="0" borderId="0" applyFont="0" applyFill="0" applyBorder="0" applyAlignment="0" applyProtection="0"/>
    <xf numFmtId="43" fontId="96" fillId="0" borderId="0" applyFont="0" applyFill="0" applyBorder="0" applyAlignment="0" applyProtection="0"/>
    <xf numFmtId="0" fontId="30" fillId="0" borderId="0"/>
    <xf numFmtId="0" fontId="30" fillId="22" borderId="42" applyNumberFormat="0" applyFont="0" applyAlignment="0" applyProtection="0"/>
    <xf numFmtId="0" fontId="30" fillId="24" borderId="0" applyNumberFormat="0" applyBorder="0" applyAlignment="0" applyProtection="0"/>
    <xf numFmtId="0" fontId="30" fillId="25"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0" fillId="40" borderId="0" applyNumberFormat="0" applyBorder="0" applyAlignment="0" applyProtection="0"/>
    <xf numFmtId="0" fontId="30" fillId="41"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72" fillId="0" borderId="0" pivotButton="1"/>
    <xf numFmtId="43" fontId="72" fillId="0" borderId="0" applyFont="0" applyFill="0" applyBorder="0" applyAlignment="0" applyProtection="0"/>
    <xf numFmtId="0" fontId="96" fillId="0" borderId="0"/>
    <xf numFmtId="0" fontId="90" fillId="0" borderId="0"/>
    <xf numFmtId="0" fontId="63" fillId="0" borderId="0"/>
    <xf numFmtId="43" fontId="63" fillId="0" borderId="0" applyFont="0" applyFill="0" applyBorder="0" applyAlignment="0" applyProtection="0"/>
    <xf numFmtId="0" fontId="29" fillId="0" borderId="0"/>
    <xf numFmtId="0" fontId="63" fillId="0" borderId="0" applyBorder="0"/>
    <xf numFmtId="0" fontId="29" fillId="0" borderId="0"/>
    <xf numFmtId="0" fontId="112" fillId="0" borderId="0"/>
    <xf numFmtId="0" fontId="62" fillId="0" borderId="0"/>
    <xf numFmtId="9" fontId="62" fillId="0" borderId="0" applyFont="0" applyFill="0" applyBorder="0" applyAlignment="0" applyProtection="0"/>
    <xf numFmtId="0" fontId="28" fillId="0" borderId="0"/>
    <xf numFmtId="0" fontId="115" fillId="0" borderId="0" applyNumberFormat="0" applyFill="0" applyBorder="0" applyAlignment="0" applyProtection="0"/>
    <xf numFmtId="0" fontId="27" fillId="0" borderId="0"/>
    <xf numFmtId="0" fontId="26" fillId="0" borderId="0"/>
    <xf numFmtId="0" fontId="117" fillId="18" borderId="0" applyNumberFormat="0" applyBorder="0" applyAlignment="0" applyProtection="0"/>
    <xf numFmtId="0" fontId="26" fillId="22" borderId="42" applyNumberFormat="0" applyFont="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25" fillId="0" borderId="0"/>
    <xf numFmtId="0" fontId="118" fillId="0" borderId="0" applyNumberFormat="0" applyFill="0" applyBorder="0" applyAlignment="0" applyProtection="0">
      <alignment vertical="top"/>
      <protection locked="0"/>
    </xf>
    <xf numFmtId="0" fontId="24" fillId="0" borderId="0"/>
    <xf numFmtId="0" fontId="24" fillId="0" borderId="0"/>
    <xf numFmtId="0" fontId="23" fillId="0" borderId="0"/>
    <xf numFmtId="43" fontId="23" fillId="0" borderId="0" applyFont="0" applyFill="0" applyBorder="0" applyAlignment="0" applyProtection="0"/>
    <xf numFmtId="0" fontId="22" fillId="0" borderId="0"/>
    <xf numFmtId="0" fontId="22" fillId="0" borderId="0"/>
    <xf numFmtId="0" fontId="119" fillId="0" borderId="0">
      <alignment horizontal="left" wrapText="1"/>
    </xf>
    <xf numFmtId="0" fontId="121" fillId="0" borderId="0">
      <alignment horizontal="right"/>
    </xf>
    <xf numFmtId="0" fontId="97" fillId="0" borderId="0">
      <alignment horizontal="left" wrapText="1"/>
    </xf>
    <xf numFmtId="0" fontId="122" fillId="0" borderId="0">
      <alignment vertical="top" wrapText="1"/>
    </xf>
    <xf numFmtId="0" fontId="116" fillId="0" borderId="0">
      <alignment horizontal="right" indent="1"/>
    </xf>
    <xf numFmtId="14" fontId="97" fillId="0" borderId="0" applyFont="0" applyFill="0" applyBorder="0" applyAlignment="0" applyProtection="0">
      <alignment horizontal="left"/>
    </xf>
    <xf numFmtId="172" fontId="97" fillId="0" borderId="0" applyFont="0" applyFill="0" applyBorder="0" applyProtection="0">
      <alignment horizontal="left" vertical="top" wrapText="1"/>
    </xf>
    <xf numFmtId="0" fontId="116" fillId="0" borderId="0">
      <alignment horizontal="left" vertical="top"/>
    </xf>
    <xf numFmtId="0" fontId="123" fillId="0" borderId="0">
      <alignment horizontal="right" indent="1"/>
    </xf>
    <xf numFmtId="0" fontId="97" fillId="0" borderId="0">
      <alignment horizontal="left" vertical="top" wrapText="1"/>
    </xf>
    <xf numFmtId="173" fontId="97" fillId="0" borderId="0" applyFont="0" applyFill="0" applyBorder="0" applyProtection="0">
      <alignment horizontal="right"/>
    </xf>
    <xf numFmtId="0" fontId="116" fillId="0" borderId="0">
      <alignment horizontal="center" wrapText="1"/>
    </xf>
    <xf numFmtId="0" fontId="21" fillId="0" borderId="0"/>
    <xf numFmtId="43" fontId="21" fillId="0" borderId="0" applyFont="0" applyFill="0" applyBorder="0" applyAlignment="0" applyProtection="0"/>
    <xf numFmtId="0" fontId="20" fillId="0" borderId="0"/>
    <xf numFmtId="0" fontId="117" fillId="18" borderId="0" applyNumberFormat="0" applyBorder="0" applyAlignment="0" applyProtection="0"/>
    <xf numFmtId="0" fontId="20" fillId="22" borderId="42" applyNumberFormat="0" applyFont="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19" fillId="0" borderId="0"/>
    <xf numFmtId="0" fontId="19" fillId="0" borderId="0"/>
    <xf numFmtId="0" fontId="19" fillId="0" borderId="0"/>
    <xf numFmtId="174" fontId="62" fillId="0" borderId="0" applyFont="0" applyFill="0" applyBorder="0" applyAlignment="0" applyProtection="0"/>
    <xf numFmtId="0" fontId="18" fillId="0" borderId="0"/>
    <xf numFmtId="0" fontId="17" fillId="0" borderId="0"/>
    <xf numFmtId="0" fontId="16" fillId="0" borderId="0"/>
    <xf numFmtId="0" fontId="15" fillId="0" borderId="0"/>
    <xf numFmtId="0" fontId="14" fillId="0" borderId="0"/>
    <xf numFmtId="0" fontId="13" fillId="0" borderId="0"/>
    <xf numFmtId="43" fontId="13"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0" fontId="11" fillId="22" borderId="42" applyNumberFormat="0" applyFont="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4" borderId="0" applyNumberFormat="0" applyBorder="0" applyAlignment="0" applyProtection="0"/>
    <xf numFmtId="0" fontId="11" fillId="45" borderId="0" applyNumberFormat="0" applyBorder="0" applyAlignment="0" applyProtection="0"/>
    <xf numFmtId="0" fontId="11" fillId="46" borderId="0" applyNumberFormat="0" applyBorder="0" applyAlignment="0" applyProtection="0"/>
    <xf numFmtId="0" fontId="130" fillId="0" borderId="0"/>
    <xf numFmtId="43" fontId="96" fillId="0" borderId="0" applyFont="0" applyFill="0" applyBorder="0" applyAlignment="0" applyProtection="0"/>
    <xf numFmtId="0" fontId="62" fillId="0" borderId="0"/>
    <xf numFmtId="43" fontId="62" fillId="0" borderId="0" applyFont="0" applyFill="0" applyBorder="0" applyAlignment="0" applyProtection="0"/>
    <xf numFmtId="0" fontId="10" fillId="0" borderId="0"/>
    <xf numFmtId="0" fontId="9"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62" fillId="0" borderId="0" applyFont="0" applyFill="0" applyBorder="0" applyAlignment="0" applyProtection="0"/>
    <xf numFmtId="175" fontId="113" fillId="0" borderId="0" applyFont="0" applyFill="0" applyBorder="0" applyAlignment="0" applyProtection="0"/>
    <xf numFmtId="0" fontId="7" fillId="0" borderId="0"/>
    <xf numFmtId="0" fontId="130" fillId="0" borderId="0"/>
    <xf numFmtId="0" fontId="90" fillId="0" borderId="0"/>
    <xf numFmtId="43" fontId="90" fillId="0" borderId="0" applyFont="0" applyFill="0" applyBorder="0" applyAlignment="0" applyProtection="0"/>
    <xf numFmtId="0" fontId="3" fillId="0" borderId="0"/>
    <xf numFmtId="0" fontId="2" fillId="0" borderId="0"/>
    <xf numFmtId="0" fontId="2" fillId="22" borderId="42" applyNumberFormat="0" applyFont="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1" fillId="0" borderId="0"/>
    <xf numFmtId="0" fontId="1" fillId="22" borderId="42" applyNumberFormat="0" applyFont="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cellStyleXfs>
  <cellXfs count="554">
    <xf numFmtId="0" fontId="0" fillId="0" borderId="0" xfId="0"/>
    <xf numFmtId="9" fontId="56" fillId="0" borderId="0" xfId="4" applyFont="1"/>
    <xf numFmtId="0" fontId="70" fillId="0" borderId="0" xfId="0" applyFont="1"/>
    <xf numFmtId="167" fontId="0" fillId="0" borderId="0" xfId="1" applyNumberFormat="1" applyFont="1"/>
    <xf numFmtId="0" fontId="75" fillId="0" borderId="0" xfId="0" applyFont="1"/>
    <xf numFmtId="0" fontId="78" fillId="0" borderId="0" xfId="0" applyFont="1"/>
    <xf numFmtId="167" fontId="0" fillId="0" borderId="0" xfId="0" applyNumberFormat="1"/>
    <xf numFmtId="0" fontId="56" fillId="0" borderId="0" xfId="43" applyFont="1"/>
    <xf numFmtId="0" fontId="56" fillId="0" borderId="0" xfId="43" applyFont="1" applyAlignment="1">
      <alignment wrapText="1"/>
    </xf>
    <xf numFmtId="0" fontId="61" fillId="0" borderId="0" xfId="43" applyFont="1"/>
    <xf numFmtId="0" fontId="59" fillId="0" borderId="0" xfId="43" applyFont="1"/>
    <xf numFmtId="0" fontId="61" fillId="0" borderId="1" xfId="43" applyFont="1" applyBorder="1" applyAlignment="1">
      <alignment horizontal="center" vertical="center"/>
    </xf>
    <xf numFmtId="0" fontId="61" fillId="0" borderId="2" xfId="43" applyFont="1" applyBorder="1" applyAlignment="1">
      <alignment horizontal="center" vertical="center" wrapText="1"/>
    </xf>
    <xf numFmtId="3" fontId="61" fillId="3" borderId="5" xfId="43" applyNumberFormat="1" applyFont="1" applyFill="1" applyBorder="1"/>
    <xf numFmtId="3" fontId="61" fillId="4" borderId="5" xfId="43" applyNumberFormat="1" applyFont="1" applyFill="1" applyBorder="1"/>
    <xf numFmtId="0" fontId="66" fillId="0" borderId="0" xfId="43" applyFont="1"/>
    <xf numFmtId="3" fontId="56" fillId="0" borderId="8" xfId="43" applyNumberFormat="1" applyFont="1" applyBorder="1"/>
    <xf numFmtId="3" fontId="61" fillId="4" borderId="8" xfId="43" applyNumberFormat="1" applyFont="1" applyFill="1" applyBorder="1"/>
    <xf numFmtId="3" fontId="56" fillId="6" borderId="8" xfId="43" applyNumberFormat="1" applyFont="1" applyFill="1" applyBorder="1"/>
    <xf numFmtId="3" fontId="67" fillId="8" borderId="8" xfId="43" applyNumberFormat="1" applyFont="1" applyFill="1" applyBorder="1"/>
    <xf numFmtId="0" fontId="67" fillId="0" borderId="0" xfId="43" applyFont="1"/>
    <xf numFmtId="0" fontId="58" fillId="0" borderId="0" xfId="43" applyFont="1"/>
    <xf numFmtId="3" fontId="56" fillId="3" borderId="8" xfId="43" applyNumberFormat="1" applyFont="1" applyFill="1" applyBorder="1"/>
    <xf numFmtId="0" fontId="57" fillId="0" borderId="0" xfId="43" applyFont="1"/>
    <xf numFmtId="0" fontId="61" fillId="0" borderId="10" xfId="43" applyFont="1" applyBorder="1"/>
    <xf numFmtId="0" fontId="61" fillId="0" borderId="11" xfId="43" applyFont="1" applyBorder="1" applyAlignment="1">
      <alignment horizontal="right" wrapText="1"/>
    </xf>
    <xf numFmtId="49" fontId="56" fillId="0" borderId="7" xfId="43" applyNumberFormat="1" applyFont="1" applyBorder="1" applyAlignment="1">
      <alignment horizontal="left" wrapText="1" indent="4"/>
    </xf>
    <xf numFmtId="3" fontId="61" fillId="4" borderId="14" xfId="43" applyNumberFormat="1" applyFont="1" applyFill="1" applyBorder="1"/>
    <xf numFmtId="3" fontId="61" fillId="3" borderId="8" xfId="43" applyNumberFormat="1" applyFont="1" applyFill="1" applyBorder="1"/>
    <xf numFmtId="49" fontId="56" fillId="0" borderId="6" xfId="43" applyNumberFormat="1" applyFont="1" applyBorder="1" applyAlignment="1">
      <alignment horizontal="left" indent="2"/>
    </xf>
    <xf numFmtId="0" fontId="56" fillId="0" borderId="0" xfId="43" applyFont="1" applyAlignment="1">
      <alignment horizontal="right"/>
    </xf>
    <xf numFmtId="0" fontId="56" fillId="6" borderId="0" xfId="43" applyFont="1" applyFill="1"/>
    <xf numFmtId="49" fontId="61" fillId="0" borderId="10" xfId="43" applyNumberFormat="1" applyFont="1" applyBorder="1"/>
    <xf numFmtId="3" fontId="61" fillId="0" borderId="15" xfId="43" applyNumberFormat="1" applyFont="1" applyBorder="1"/>
    <xf numFmtId="3" fontId="61" fillId="0" borderId="16" xfId="43" applyNumberFormat="1" applyFont="1" applyBorder="1"/>
    <xf numFmtId="49" fontId="61" fillId="4" borderId="17" xfId="43" applyNumberFormat="1" applyFont="1" applyFill="1" applyBorder="1" applyAlignment="1">
      <alignment horizontal="center"/>
    </xf>
    <xf numFmtId="3" fontId="61" fillId="4" borderId="19" xfId="43" applyNumberFormat="1" applyFont="1" applyFill="1" applyBorder="1"/>
    <xf numFmtId="3" fontId="61" fillId="0" borderId="0" xfId="43" applyNumberFormat="1" applyFont="1"/>
    <xf numFmtId="0" fontId="66" fillId="5" borderId="0" xfId="43" applyFont="1" applyFill="1"/>
    <xf numFmtId="3" fontId="56" fillId="5" borderId="8" xfId="43" applyNumberFormat="1" applyFont="1" applyFill="1" applyBorder="1"/>
    <xf numFmtId="9" fontId="0" fillId="0" borderId="0" xfId="2" applyFont="1"/>
    <xf numFmtId="0" fontId="0" fillId="0" borderId="0" xfId="0" applyAlignment="1">
      <alignment horizontal="right"/>
    </xf>
    <xf numFmtId="167" fontId="56" fillId="3" borderId="8" xfId="1" applyNumberFormat="1" applyFont="1" applyFill="1" applyBorder="1"/>
    <xf numFmtId="167" fontId="56" fillId="5" borderId="8" xfId="1" applyNumberFormat="1" applyFont="1" applyFill="1" applyBorder="1"/>
    <xf numFmtId="3" fontId="0" fillId="0" borderId="0" xfId="0" applyNumberFormat="1"/>
    <xf numFmtId="3" fontId="56" fillId="0" borderId="0" xfId="43" applyNumberFormat="1" applyFont="1"/>
    <xf numFmtId="3" fontId="61" fillId="0" borderId="3" xfId="43" applyNumberFormat="1" applyFont="1" applyBorder="1"/>
    <xf numFmtId="3" fontId="61" fillId="0" borderId="12" xfId="43" applyNumberFormat="1" applyFont="1" applyBorder="1"/>
    <xf numFmtId="3" fontId="56" fillId="0" borderId="32" xfId="43" applyNumberFormat="1" applyFont="1" applyBorder="1"/>
    <xf numFmtId="167" fontId="61" fillId="0" borderId="0" xfId="5" applyNumberFormat="1" applyFont="1"/>
    <xf numFmtId="0" fontId="61" fillId="0" borderId="3" xfId="7" applyFont="1" applyBorder="1" applyAlignment="1">
      <alignment horizontal="center" vertical="center" wrapText="1"/>
    </xf>
    <xf numFmtId="3" fontId="56" fillId="7" borderId="8" xfId="43" applyNumberFormat="1" applyFont="1" applyFill="1" applyBorder="1"/>
    <xf numFmtId="10" fontId="56" fillId="0" borderId="0" xfId="9" applyNumberFormat="1" applyFont="1"/>
    <xf numFmtId="0" fontId="36" fillId="0" borderId="0" xfId="43" applyFont="1"/>
    <xf numFmtId="0" fontId="33" fillId="0" borderId="0" xfId="43" applyFont="1"/>
    <xf numFmtId="3" fontId="56" fillId="10" borderId="8" xfId="43" applyNumberFormat="1" applyFont="1" applyFill="1" applyBorder="1"/>
    <xf numFmtId="3" fontId="56" fillId="5" borderId="48" xfId="43" applyNumberFormat="1" applyFont="1" applyFill="1" applyBorder="1"/>
    <xf numFmtId="3" fontId="56" fillId="0" borderId="48" xfId="43" applyNumberFormat="1" applyFont="1" applyBorder="1"/>
    <xf numFmtId="167" fontId="61" fillId="3" borderId="5" xfId="1" applyNumberFormat="1" applyFont="1" applyFill="1" applyBorder="1"/>
    <xf numFmtId="0" fontId="50" fillId="0" borderId="0" xfId="43"/>
    <xf numFmtId="0" fontId="61" fillId="0" borderId="22" xfId="43" applyFont="1" applyBorder="1"/>
    <xf numFmtId="0" fontId="91" fillId="0" borderId="0" xfId="83" applyFont="1"/>
    <xf numFmtId="0" fontId="56" fillId="0" borderId="0" xfId="43" quotePrefix="1" applyFont="1"/>
    <xf numFmtId="0" fontId="59" fillId="0" borderId="0" xfId="43" quotePrefix="1" applyFont="1"/>
    <xf numFmtId="0" fontId="66" fillId="0" borderId="0" xfId="43" quotePrefix="1" applyFont="1"/>
    <xf numFmtId="3" fontId="56" fillId="3" borderId="32" xfId="43" applyNumberFormat="1" applyFont="1" applyFill="1" applyBorder="1"/>
    <xf numFmtId="0" fontId="56" fillId="6" borderId="0" xfId="43" quotePrefix="1" applyFont="1" applyFill="1"/>
    <xf numFmtId="0" fontId="61" fillId="3" borderId="50" xfId="43" applyFont="1" applyFill="1" applyBorder="1"/>
    <xf numFmtId="0" fontId="61" fillId="3" borderId="54" xfId="43" applyFont="1" applyFill="1" applyBorder="1" applyAlignment="1">
      <alignment wrapText="1"/>
    </xf>
    <xf numFmtId="0" fontId="61" fillId="4" borderId="50" xfId="43" quotePrefix="1" applyFont="1" applyFill="1" applyBorder="1"/>
    <xf numFmtId="0" fontId="61" fillId="4" borderId="54" xfId="43" applyFont="1" applyFill="1" applyBorder="1" applyAlignment="1">
      <alignment wrapText="1"/>
    </xf>
    <xf numFmtId="0" fontId="56" fillId="0" borderId="58" xfId="43" applyFont="1" applyBorder="1" applyAlignment="1">
      <alignment horizontal="left" indent="1"/>
    </xf>
    <xf numFmtId="0" fontId="56" fillId="0" borderId="52" xfId="43" applyFont="1" applyBorder="1" applyAlignment="1">
      <alignment horizontal="left" wrapText="1" indent="2"/>
    </xf>
    <xf numFmtId="0" fontId="61" fillId="4" borderId="58" xfId="43" applyFont="1" applyFill="1" applyBorder="1"/>
    <xf numFmtId="0" fontId="61" fillId="4" borderId="52" xfId="43" applyFont="1" applyFill="1" applyBorder="1" applyAlignment="1">
      <alignment wrapText="1"/>
    </xf>
    <xf numFmtId="0" fontId="67" fillId="0" borderId="58" xfId="43" applyFont="1" applyBorder="1" applyAlignment="1">
      <alignment horizontal="left" indent="2"/>
    </xf>
    <xf numFmtId="0" fontId="67" fillId="0" borderId="52" xfId="43" applyFont="1" applyBorder="1" applyAlignment="1">
      <alignment horizontal="left" wrapText="1" indent="3"/>
    </xf>
    <xf numFmtId="0" fontId="61" fillId="4" borderId="58" xfId="43" quotePrefix="1" applyFont="1" applyFill="1" applyBorder="1"/>
    <xf numFmtId="0" fontId="56" fillId="3" borderId="58" xfId="43" applyFont="1" applyFill="1" applyBorder="1" applyAlignment="1">
      <alignment horizontal="left" indent="1"/>
    </xf>
    <xf numFmtId="0" fontId="56" fillId="6" borderId="58" xfId="43" applyFont="1" applyFill="1" applyBorder="1" applyAlignment="1">
      <alignment horizontal="left" indent="2"/>
    </xf>
    <xf numFmtId="0" fontId="56" fillId="6" borderId="52" xfId="43" applyFont="1" applyFill="1" applyBorder="1" applyAlignment="1">
      <alignment horizontal="left" wrapText="1" indent="3"/>
    </xf>
    <xf numFmtId="0" fontId="61" fillId="0" borderId="49" xfId="43" quotePrefix="1" applyFont="1" applyBorder="1"/>
    <xf numFmtId="49" fontId="61" fillId="4" borderId="44" xfId="43" applyNumberFormat="1" applyFont="1" applyFill="1" applyBorder="1" applyAlignment="1">
      <alignment horizontal="left" indent="2"/>
    </xf>
    <xf numFmtId="49" fontId="56" fillId="3" borderId="58" xfId="43" applyNumberFormat="1" applyFont="1" applyFill="1" applyBorder="1" applyAlignment="1">
      <alignment horizontal="left" indent="1"/>
    </xf>
    <xf numFmtId="49" fontId="61" fillId="4" borderId="58" xfId="43" applyNumberFormat="1" applyFont="1" applyFill="1" applyBorder="1"/>
    <xf numFmtId="49" fontId="56" fillId="0" borderId="58" xfId="43" applyNumberFormat="1" applyFont="1" applyBorder="1" applyAlignment="1">
      <alignment horizontal="left" indent="2"/>
    </xf>
    <xf numFmtId="0" fontId="66" fillId="5" borderId="52" xfId="43" applyFont="1" applyFill="1" applyBorder="1" applyAlignment="1">
      <alignment horizontal="left" indent="2"/>
    </xf>
    <xf numFmtId="0" fontId="66" fillId="0" borderId="52" xfId="43" applyFont="1" applyBorder="1" applyAlignment="1">
      <alignment horizontal="left" indent="2"/>
    </xf>
    <xf numFmtId="49" fontId="61" fillId="3" borderId="58" xfId="43" applyNumberFormat="1" applyFont="1" applyFill="1" applyBorder="1" applyAlignment="1">
      <alignment horizontal="left" indent="1"/>
    </xf>
    <xf numFmtId="49" fontId="56" fillId="6" borderId="58" xfId="43" applyNumberFormat="1" applyFont="1" applyFill="1" applyBorder="1" applyAlignment="1">
      <alignment horizontal="left" indent="2"/>
    </xf>
    <xf numFmtId="49" fontId="56" fillId="0" borderId="58" xfId="43" applyNumberFormat="1" applyFont="1" applyBorder="1" applyAlignment="1">
      <alignment horizontal="left" indent="3"/>
    </xf>
    <xf numFmtId="49" fontId="86" fillId="3" borderId="58" xfId="43" applyNumberFormat="1" applyFont="1" applyFill="1" applyBorder="1" applyAlignment="1">
      <alignment horizontal="left" indent="1"/>
    </xf>
    <xf numFmtId="0" fontId="65" fillId="0" borderId="0" xfId="43" applyFont="1"/>
    <xf numFmtId="49" fontId="61" fillId="0" borderId="58" xfId="43" applyNumberFormat="1" applyFont="1" applyBorder="1" applyAlignment="1">
      <alignment horizontal="left" indent="2"/>
    </xf>
    <xf numFmtId="2" fontId="0" fillId="0" borderId="0" xfId="0" applyNumberFormat="1"/>
    <xf numFmtId="3" fontId="56" fillId="5" borderId="62" xfId="43" applyNumberFormat="1" applyFont="1" applyFill="1" applyBorder="1"/>
    <xf numFmtId="3" fontId="56" fillId="0" borderId="62" xfId="43" applyNumberFormat="1" applyFont="1" applyBorder="1"/>
    <xf numFmtId="3" fontId="56" fillId="3" borderId="62" xfId="43" applyNumberFormat="1" applyFont="1" applyFill="1" applyBorder="1"/>
    <xf numFmtId="167" fontId="70" fillId="0" borderId="0" xfId="0" applyNumberFormat="1" applyFont="1"/>
    <xf numFmtId="167" fontId="58" fillId="0" borderId="0" xfId="1" applyNumberFormat="1" applyFont="1"/>
    <xf numFmtId="0" fontId="115" fillId="0" borderId="0" xfId="173"/>
    <xf numFmtId="167" fontId="56" fillId="0" borderId="0" xfId="1" applyNumberFormat="1" applyFont="1"/>
    <xf numFmtId="0" fontId="67" fillId="0" borderId="63" xfId="43" applyFont="1" applyBorder="1" applyAlignment="1">
      <alignment horizontal="left" indent="2"/>
    </xf>
    <xf numFmtId="168" fontId="0" fillId="0" borderId="0" xfId="2" applyNumberFormat="1" applyFont="1"/>
    <xf numFmtId="167" fontId="0" fillId="0" borderId="0" xfId="1" applyNumberFormat="1" applyFont="1" applyBorder="1"/>
    <xf numFmtId="167" fontId="0" fillId="0" borderId="0" xfId="1" applyNumberFormat="1" applyFont="1" applyFill="1"/>
    <xf numFmtId="0" fontId="56" fillId="0" borderId="70" xfId="43" applyFont="1" applyBorder="1" applyAlignment="1">
      <alignment horizontal="left" wrapText="1" indent="2"/>
    </xf>
    <xf numFmtId="49" fontId="56" fillId="3" borderId="63" xfId="43" applyNumberFormat="1" applyFont="1" applyFill="1" applyBorder="1" applyAlignment="1">
      <alignment horizontal="left" indent="1"/>
    </xf>
    <xf numFmtId="3" fontId="61" fillId="3" borderId="59" xfId="43" applyNumberFormat="1" applyFont="1" applyFill="1" applyBorder="1"/>
    <xf numFmtId="3" fontId="61" fillId="0" borderId="8" xfId="43" applyNumberFormat="1" applyFont="1" applyBorder="1"/>
    <xf numFmtId="49" fontId="56" fillId="13" borderId="58" xfId="43" applyNumberFormat="1" applyFont="1" applyFill="1" applyBorder="1" applyAlignment="1">
      <alignment horizontal="left" indent="2"/>
    </xf>
    <xf numFmtId="49" fontId="56" fillId="13" borderId="63" xfId="43" applyNumberFormat="1" applyFont="1" applyFill="1" applyBorder="1" applyAlignment="1">
      <alignment horizontal="left" indent="2"/>
    </xf>
    <xf numFmtId="49" fontId="56" fillId="13" borderId="58" xfId="43" applyNumberFormat="1" applyFont="1" applyFill="1" applyBorder="1" applyAlignment="1">
      <alignment horizontal="left" indent="1"/>
    </xf>
    <xf numFmtId="0" fontId="66" fillId="13" borderId="52" xfId="43" applyFont="1" applyFill="1" applyBorder="1" applyAlignment="1">
      <alignment horizontal="left" indent="2"/>
    </xf>
    <xf numFmtId="0" fontId="56" fillId="6" borderId="63" xfId="43" applyFont="1" applyFill="1" applyBorder="1" applyAlignment="1">
      <alignment horizontal="left" indent="2"/>
    </xf>
    <xf numFmtId="3" fontId="56" fillId="0" borderId="59" xfId="43" applyNumberFormat="1" applyFont="1" applyBorder="1"/>
    <xf numFmtId="0" fontId="56" fillId="6" borderId="70" xfId="43" applyFont="1" applyFill="1" applyBorder="1" applyAlignment="1">
      <alignment horizontal="left" wrapText="1" indent="3"/>
    </xf>
    <xf numFmtId="167" fontId="0" fillId="0" borderId="71" xfId="1" applyNumberFormat="1" applyFont="1" applyBorder="1"/>
    <xf numFmtId="49" fontId="56" fillId="0" borderId="63" xfId="43" applyNumberFormat="1" applyFont="1" applyBorder="1" applyAlignment="1">
      <alignment horizontal="left" indent="2"/>
    </xf>
    <xf numFmtId="167" fontId="61" fillId="0" borderId="0" xfId="1" applyNumberFormat="1" applyFont="1"/>
    <xf numFmtId="0" fontId="56" fillId="6" borderId="73" xfId="43" applyFont="1" applyFill="1" applyBorder="1" applyAlignment="1">
      <alignment horizontal="left" indent="2"/>
    </xf>
    <xf numFmtId="49" fontId="68" fillId="0" borderId="63" xfId="43" applyNumberFormat="1" applyFont="1" applyBorder="1" applyAlignment="1">
      <alignment horizontal="left" indent="3"/>
    </xf>
    <xf numFmtId="0" fontId="67" fillId="0" borderId="74" xfId="43" applyFont="1" applyBorder="1" applyAlignment="1">
      <alignment horizontal="left" indent="2"/>
    </xf>
    <xf numFmtId="3" fontId="56" fillId="0" borderId="75" xfId="43" applyNumberFormat="1" applyFont="1" applyBorder="1"/>
    <xf numFmtId="0" fontId="56" fillId="6" borderId="74" xfId="43" applyFont="1" applyFill="1" applyBorder="1" applyAlignment="1">
      <alignment horizontal="left" indent="2"/>
    </xf>
    <xf numFmtId="3" fontId="56" fillId="0" borderId="72" xfId="43" applyNumberFormat="1" applyFont="1" applyBorder="1"/>
    <xf numFmtId="167" fontId="56" fillId="0" borderId="0" xfId="1" applyNumberFormat="1" applyFont="1" applyAlignment="1">
      <alignment wrapText="1"/>
    </xf>
    <xf numFmtId="0" fontId="125" fillId="5" borderId="0" xfId="0" applyFont="1" applyFill="1"/>
    <xf numFmtId="0" fontId="84" fillId="5" borderId="0" xfId="0" applyFont="1" applyFill="1"/>
    <xf numFmtId="0" fontId="84" fillId="50" borderId="0" xfId="0" applyFont="1" applyFill="1"/>
    <xf numFmtId="0" fontId="125" fillId="50" borderId="23" xfId="0" applyFont="1" applyFill="1" applyBorder="1"/>
    <xf numFmtId="0" fontId="125" fillId="51" borderId="23" xfId="0" applyFont="1" applyFill="1" applyBorder="1"/>
    <xf numFmtId="0" fontId="125" fillId="5" borderId="71" xfId="0" applyFont="1" applyFill="1" applyBorder="1"/>
    <xf numFmtId="0" fontId="125" fillId="5" borderId="71" xfId="0" applyFont="1" applyFill="1" applyBorder="1" applyAlignment="1">
      <alignment horizontal="center" wrapText="1"/>
    </xf>
    <xf numFmtId="3" fontId="125" fillId="5" borderId="0" xfId="0" applyNumberFormat="1" applyFont="1" applyFill="1"/>
    <xf numFmtId="9" fontId="125" fillId="5" borderId="0" xfId="2" applyFont="1" applyFill="1"/>
    <xf numFmtId="3" fontId="84" fillId="5" borderId="0" xfId="0" applyNumberFormat="1" applyFont="1" applyFill="1"/>
    <xf numFmtId="9" fontId="84" fillId="5" borderId="0" xfId="2" applyFont="1" applyFill="1"/>
    <xf numFmtId="0" fontId="84" fillId="14" borderId="0" xfId="0" applyFont="1" applyFill="1" applyAlignment="1">
      <alignment horizontal="left" indent="2"/>
    </xf>
    <xf numFmtId="3" fontId="84" fillId="14" borderId="0" xfId="0" applyNumberFormat="1" applyFont="1" applyFill="1"/>
    <xf numFmtId="9" fontId="84" fillId="14" borderId="0" xfId="2" applyFont="1" applyFill="1"/>
    <xf numFmtId="0" fontId="63" fillId="5" borderId="0" xfId="0" applyFont="1" applyFill="1"/>
    <xf numFmtId="0" fontId="63" fillId="14" borderId="0" xfId="0" applyFont="1" applyFill="1" applyAlignment="1">
      <alignment horizontal="left" indent="2"/>
    </xf>
    <xf numFmtId="0" fontId="84" fillId="5" borderId="0" xfId="0" applyFont="1" applyFill="1" applyAlignment="1">
      <alignment horizontal="left" indent="1"/>
    </xf>
    <xf numFmtId="0" fontId="82" fillId="5" borderId="0" xfId="0" applyFont="1" applyFill="1"/>
    <xf numFmtId="3" fontId="125" fillId="5" borderId="0" xfId="0" applyNumberFormat="1" applyFont="1" applyFill="1" applyAlignment="1">
      <alignment wrapText="1"/>
    </xf>
    <xf numFmtId="168" fontId="84" fillId="5" borderId="0" xfId="2" applyNumberFormat="1" applyFont="1" applyFill="1"/>
    <xf numFmtId="9" fontId="84" fillId="5" borderId="0" xfId="2" applyFont="1" applyFill="1" applyBorder="1"/>
    <xf numFmtId="0" fontId="84" fillId="14" borderId="0" xfId="0" applyFont="1" applyFill="1"/>
    <xf numFmtId="3" fontId="84" fillId="14" borderId="0" xfId="0" applyNumberFormat="1" applyFont="1" applyFill="1" applyAlignment="1">
      <alignment horizontal="left" indent="2"/>
    </xf>
    <xf numFmtId="9" fontId="84" fillId="14" borderId="0" xfId="2" applyFont="1" applyFill="1" applyAlignment="1">
      <alignment horizontal="left" indent="2"/>
    </xf>
    <xf numFmtId="167" fontId="84" fillId="5" borderId="0" xfId="1" applyNumberFormat="1" applyFont="1" applyFill="1"/>
    <xf numFmtId="0" fontId="127" fillId="48" borderId="0" xfId="0" applyFont="1" applyFill="1"/>
    <xf numFmtId="0" fontId="127" fillId="48" borderId="0" xfId="0" applyFont="1" applyFill="1" applyAlignment="1">
      <alignment horizontal="left"/>
    </xf>
    <xf numFmtId="3" fontId="74" fillId="0" borderId="0" xfId="3" applyNumberFormat="1" applyFont="1"/>
    <xf numFmtId="0" fontId="127" fillId="48" borderId="0" xfId="0" applyFont="1" applyFill="1" applyAlignment="1">
      <alignment horizontal="left" wrapText="1"/>
    </xf>
    <xf numFmtId="167" fontId="74" fillId="0" borderId="0" xfId="1" applyNumberFormat="1" applyFont="1" applyFill="1" applyBorder="1"/>
    <xf numFmtId="0" fontId="94" fillId="0" borderId="0" xfId="218" applyFont="1" applyAlignment="1">
      <alignment horizontal="left" wrapText="1"/>
    </xf>
    <xf numFmtId="0" fontId="75" fillId="0" borderId="0" xfId="218" applyFont="1" applyAlignment="1">
      <alignment horizontal="left" wrapText="1"/>
    </xf>
    <xf numFmtId="167" fontId="0" fillId="0" borderId="71" xfId="0" applyNumberFormat="1" applyBorder="1"/>
    <xf numFmtId="168" fontId="0" fillId="0" borderId="71" xfId="2" applyNumberFormat="1" applyFont="1" applyBorder="1"/>
    <xf numFmtId="0" fontId="70" fillId="0" borderId="71" xfId="0" applyFont="1" applyBorder="1"/>
    <xf numFmtId="0" fontId="70" fillId="16" borderId="0" xfId="0" applyFont="1" applyFill="1"/>
    <xf numFmtId="0" fontId="0" fillId="16" borderId="0" xfId="0" applyFill="1"/>
    <xf numFmtId="167" fontId="0" fillId="16" borderId="0" xfId="0" applyNumberFormat="1" applyFill="1"/>
    <xf numFmtId="168" fontId="0" fillId="16" borderId="0" xfId="2" applyNumberFormat="1" applyFont="1" applyFill="1"/>
    <xf numFmtId="167" fontId="0" fillId="16" borderId="0" xfId="1" applyNumberFormat="1" applyFont="1" applyFill="1" applyBorder="1"/>
    <xf numFmtId="0" fontId="83" fillId="0" borderId="0" xfId="218" applyFont="1" applyAlignment="1">
      <alignment horizontal="left" wrapText="1"/>
    </xf>
    <xf numFmtId="3" fontId="78" fillId="0" borderId="0" xfId="0" applyNumberFormat="1" applyFont="1"/>
    <xf numFmtId="167" fontId="70" fillId="0" borderId="0" xfId="1" applyNumberFormat="1" applyFont="1"/>
    <xf numFmtId="167" fontId="62" fillId="0" borderId="0" xfId="1" applyNumberFormat="1" applyFont="1"/>
    <xf numFmtId="10" fontId="0" fillId="0" borderId="0" xfId="0" applyNumberFormat="1"/>
    <xf numFmtId="0" fontId="114" fillId="0" borderId="0" xfId="0" applyFont="1" applyAlignment="1">
      <alignment horizontal="right"/>
    </xf>
    <xf numFmtId="0" fontId="56" fillId="6" borderId="52" xfId="43" applyFont="1" applyFill="1" applyBorder="1" applyAlignment="1">
      <alignment horizontal="left" wrapText="1" indent="2"/>
    </xf>
    <xf numFmtId="49" fontId="56" fillId="0" borderId="52" xfId="43" applyNumberFormat="1" applyFont="1" applyBorder="1" applyAlignment="1">
      <alignment horizontal="left" wrapText="1" indent="4"/>
    </xf>
    <xf numFmtId="0" fontId="56" fillId="3" borderId="52" xfId="43" applyFont="1" applyFill="1" applyBorder="1" applyAlignment="1">
      <alignment horizontal="left" wrapText="1" indent="2"/>
    </xf>
    <xf numFmtId="49" fontId="56" fillId="0" borderId="52" xfId="43" applyNumberFormat="1" applyFont="1" applyBorder="1" applyAlignment="1">
      <alignment horizontal="left" wrapText="1" indent="2"/>
    </xf>
    <xf numFmtId="0" fontId="56" fillId="5" borderId="53" xfId="43" applyFont="1" applyFill="1" applyBorder="1" applyAlignment="1">
      <alignment horizontal="left" indent="3"/>
    </xf>
    <xf numFmtId="49" fontId="56" fillId="3" borderId="52" xfId="43" applyNumberFormat="1" applyFont="1" applyFill="1" applyBorder="1" applyAlignment="1">
      <alignment horizontal="left" wrapText="1" indent="2"/>
    </xf>
    <xf numFmtId="0" fontId="56" fillId="47" borderId="52" xfId="43" applyFont="1" applyFill="1" applyBorder="1" applyAlignment="1">
      <alignment horizontal="left" wrapText="1" indent="2"/>
    </xf>
    <xf numFmtId="49" fontId="56" fillId="3" borderId="61" xfId="43" applyNumberFormat="1" applyFont="1" applyFill="1" applyBorder="1" applyAlignment="1">
      <alignment horizontal="left" wrapText="1" indent="2"/>
    </xf>
    <xf numFmtId="0" fontId="56" fillId="0" borderId="67" xfId="43" applyFont="1" applyBorder="1" applyAlignment="1">
      <alignment horizontal="left" wrapText="1" indent="2"/>
    </xf>
    <xf numFmtId="49" fontId="56" fillId="3" borderId="70" xfId="43" applyNumberFormat="1" applyFont="1" applyFill="1" applyBorder="1" applyAlignment="1">
      <alignment horizontal="left" wrapText="1" indent="2"/>
    </xf>
    <xf numFmtId="49" fontId="56" fillId="3" borderId="67" xfId="43" applyNumberFormat="1" applyFont="1" applyFill="1" applyBorder="1" applyAlignment="1">
      <alignment horizontal="left" wrapText="1" indent="2"/>
    </xf>
    <xf numFmtId="3" fontId="68" fillId="0" borderId="48" xfId="43" applyNumberFormat="1" applyFont="1" applyBorder="1"/>
    <xf numFmtId="0" fontId="56" fillId="5" borderId="55" xfId="43" applyFont="1" applyFill="1" applyBorder="1" applyAlignment="1">
      <alignment horizontal="left" indent="3"/>
    </xf>
    <xf numFmtId="0" fontId="56" fillId="0" borderId="53" xfId="43" applyFont="1" applyBorder="1" applyAlignment="1">
      <alignment horizontal="left" indent="3"/>
    </xf>
    <xf numFmtId="49" fontId="61" fillId="4" borderId="52" xfId="43" applyNumberFormat="1" applyFont="1" applyFill="1" applyBorder="1" applyAlignment="1">
      <alignment wrapText="1"/>
    </xf>
    <xf numFmtId="0" fontId="56" fillId="5" borderId="52" xfId="43" applyFont="1" applyFill="1" applyBorder="1" applyAlignment="1">
      <alignment horizontal="left" wrapText="1" indent="3"/>
    </xf>
    <xf numFmtId="0" fontId="56" fillId="0" borderId="52" xfId="43" applyFont="1" applyBorder="1" applyAlignment="1">
      <alignment horizontal="left" wrapText="1" indent="3"/>
    </xf>
    <xf numFmtId="0" fontId="56" fillId="5" borderId="81" xfId="43" applyFont="1" applyFill="1" applyBorder="1" applyAlignment="1">
      <alignment horizontal="left" wrapText="1" indent="3"/>
    </xf>
    <xf numFmtId="0" fontId="56" fillId="0" borderId="81" xfId="43" applyFont="1" applyBorder="1" applyAlignment="1">
      <alignment horizontal="left" wrapText="1" indent="3"/>
    </xf>
    <xf numFmtId="49" fontId="61" fillId="3" borderId="52" xfId="43" applyNumberFormat="1" applyFont="1" applyFill="1" applyBorder="1" applyAlignment="1">
      <alignment horizontal="left" wrapText="1" indent="2"/>
    </xf>
    <xf numFmtId="49" fontId="56" fillId="0" borderId="69" xfId="43" applyNumberFormat="1" applyFont="1" applyBorder="1" applyAlignment="1">
      <alignment horizontal="left" wrapText="1" indent="4"/>
    </xf>
    <xf numFmtId="49" fontId="56" fillId="0" borderId="70" xfId="43" applyNumberFormat="1" applyFont="1" applyBorder="1" applyAlignment="1">
      <alignment horizontal="left" wrapText="1" indent="4"/>
    </xf>
    <xf numFmtId="0" fontId="56" fillId="5" borderId="70" xfId="43" applyFont="1" applyFill="1" applyBorder="1" applyAlignment="1">
      <alignment horizontal="left" wrapText="1" indent="3"/>
    </xf>
    <xf numFmtId="49" fontId="56" fillId="0" borderId="81" xfId="43" applyNumberFormat="1" applyFont="1" applyBorder="1" applyAlignment="1">
      <alignment horizontal="left" wrapText="1" indent="4"/>
    </xf>
    <xf numFmtId="0" fontId="56" fillId="0" borderId="61" xfId="43" applyFont="1" applyBorder="1" applyAlignment="1">
      <alignment horizontal="left" wrapText="1" indent="2"/>
    </xf>
    <xf numFmtId="49" fontId="56" fillId="0" borderId="67" xfId="43" applyNumberFormat="1" applyFont="1" applyBorder="1" applyAlignment="1">
      <alignment horizontal="left" wrapText="1" indent="4"/>
    </xf>
    <xf numFmtId="0" fontId="56" fillId="5" borderId="52" xfId="43" applyFont="1" applyFill="1" applyBorder="1" applyAlignment="1">
      <alignment horizontal="left" indent="2"/>
    </xf>
    <xf numFmtId="0" fontId="68" fillId="5" borderId="70" xfId="43" applyFont="1" applyFill="1" applyBorder="1" applyAlignment="1">
      <alignment horizontal="left" wrapText="1" indent="6"/>
    </xf>
    <xf numFmtId="0" fontId="68" fillId="0" borderId="0" xfId="43" applyFont="1"/>
    <xf numFmtId="49" fontId="61" fillId="4" borderId="45" xfId="43" applyNumberFormat="1" applyFont="1" applyFill="1" applyBorder="1" applyAlignment="1">
      <alignment wrapText="1"/>
    </xf>
    <xf numFmtId="49" fontId="56" fillId="0" borderId="67" xfId="43" applyNumberFormat="1" applyFont="1" applyBorder="1" applyAlignment="1">
      <alignment horizontal="left" wrapText="1" indent="2"/>
    </xf>
    <xf numFmtId="0" fontId="61" fillId="4" borderId="56" xfId="43" applyFont="1" applyFill="1" applyBorder="1" applyAlignment="1">
      <alignment wrapText="1"/>
    </xf>
    <xf numFmtId="49" fontId="56" fillId="6" borderId="52" xfId="43" applyNumberFormat="1" applyFont="1" applyFill="1" applyBorder="1" applyAlignment="1">
      <alignment horizontal="left" wrapText="1" indent="4"/>
    </xf>
    <xf numFmtId="49" fontId="61" fillId="0" borderId="52" xfId="43" applyNumberFormat="1" applyFont="1" applyBorder="1" applyAlignment="1">
      <alignment horizontal="left" wrapText="1" indent="4"/>
    </xf>
    <xf numFmtId="49" fontId="56" fillId="0" borderId="61" xfId="43" applyNumberFormat="1" applyFont="1" applyBorder="1" applyAlignment="1">
      <alignment horizontal="left" wrapText="1" indent="4"/>
    </xf>
    <xf numFmtId="49" fontId="61" fillId="0" borderId="11" xfId="43" applyNumberFormat="1" applyFont="1" applyBorder="1" applyAlignment="1">
      <alignment horizontal="right" wrapText="1"/>
    </xf>
    <xf numFmtId="49" fontId="61" fillId="4" borderId="18" xfId="43" applyNumberFormat="1" applyFont="1" applyFill="1" applyBorder="1" applyAlignment="1">
      <alignment wrapText="1"/>
    </xf>
    <xf numFmtId="0" fontId="61" fillId="0" borderId="24" xfId="43" applyFont="1" applyBorder="1" applyAlignment="1">
      <alignment horizontal="right" wrapText="1"/>
    </xf>
    <xf numFmtId="0" fontId="124" fillId="0" borderId="4" xfId="0" applyFont="1" applyBorder="1" applyAlignment="1">
      <alignment horizontal="center" vertical="center" wrapText="1"/>
    </xf>
    <xf numFmtId="0" fontId="128" fillId="49" borderId="21" xfId="0" applyFont="1" applyFill="1" applyBorder="1" applyAlignment="1">
      <alignment horizontal="center" vertical="center"/>
    </xf>
    <xf numFmtId="0" fontId="128" fillId="49" borderId="13" xfId="0" applyFont="1" applyFill="1" applyBorder="1" applyAlignment="1">
      <alignment horizontal="center" vertical="center" wrapText="1"/>
    </xf>
    <xf numFmtId="0" fontId="128" fillId="49" borderId="13" xfId="0" applyFont="1" applyFill="1" applyBorder="1" applyAlignment="1">
      <alignment horizontal="right" vertical="center"/>
    </xf>
    <xf numFmtId="0" fontId="128" fillId="49" borderId="21" xfId="0" applyFont="1" applyFill="1" applyBorder="1" applyAlignment="1">
      <alignment vertical="center"/>
    </xf>
    <xf numFmtId="0" fontId="128" fillId="49" borderId="13" xfId="0" applyFont="1" applyFill="1" applyBorder="1" applyAlignment="1">
      <alignment vertical="center" wrapText="1"/>
    </xf>
    <xf numFmtId="0" fontId="129" fillId="49" borderId="21" xfId="0" applyFont="1" applyFill="1" applyBorder="1" applyAlignment="1">
      <alignment vertical="center"/>
    </xf>
    <xf numFmtId="0" fontId="129" fillId="49" borderId="13" xfId="0" applyFont="1" applyFill="1" applyBorder="1" applyAlignment="1">
      <alignment horizontal="left" vertical="center" wrapText="1" indent="2"/>
    </xf>
    <xf numFmtId="0" fontId="129" fillId="49" borderId="13" xfId="0" applyFont="1" applyFill="1" applyBorder="1" applyAlignment="1">
      <alignment horizontal="right" vertical="center"/>
    </xf>
    <xf numFmtId="3" fontId="129" fillId="49" borderId="13" xfId="0" applyNumberFormat="1" applyFont="1" applyFill="1" applyBorder="1" applyAlignment="1">
      <alignment horizontal="right" vertical="center"/>
    </xf>
    <xf numFmtId="0" fontId="69" fillId="0" borderId="21" xfId="0" applyFont="1" applyBorder="1" applyAlignment="1">
      <alignment vertical="center"/>
    </xf>
    <xf numFmtId="0" fontId="69" fillId="0" borderId="13" xfId="0" applyFont="1" applyBorder="1" applyAlignment="1">
      <alignment horizontal="left" vertical="center" wrapText="1" indent="2"/>
    </xf>
    <xf numFmtId="0" fontId="69" fillId="0" borderId="13" xfId="0" applyFont="1" applyBorder="1" applyAlignment="1">
      <alignment horizontal="left" vertical="center" wrapText="1" indent="1"/>
    </xf>
    <xf numFmtId="0" fontId="124" fillId="0" borderId="13" xfId="0" applyFont="1" applyBorder="1" applyAlignment="1">
      <alignment horizontal="right" vertical="center"/>
    </xf>
    <xf numFmtId="0" fontId="128" fillId="49" borderId="27" xfId="0" applyFont="1" applyFill="1" applyBorder="1" applyAlignment="1">
      <alignment horizontal="left" vertical="center" wrapText="1" indent="2"/>
    </xf>
    <xf numFmtId="0" fontId="120" fillId="49" borderId="0" xfId="0" applyFont="1" applyFill="1" applyAlignment="1">
      <alignment vertical="center"/>
    </xf>
    <xf numFmtId="0" fontId="120" fillId="49" borderId="20" xfId="0" applyFont="1" applyFill="1" applyBorder="1" applyAlignment="1">
      <alignment horizontal="left" vertical="center" wrapText="1" indent="4"/>
    </xf>
    <xf numFmtId="0" fontId="120" fillId="49" borderId="23" xfId="0" applyFont="1" applyFill="1" applyBorder="1" applyAlignment="1">
      <alignment horizontal="right" vertical="center"/>
    </xf>
    <xf numFmtId="0" fontId="124" fillId="0" borderId="15" xfId="0" applyFont="1" applyBorder="1" applyAlignment="1">
      <alignment vertical="center" wrapText="1"/>
    </xf>
    <xf numFmtId="0" fontId="124" fillId="0" borderId="13" xfId="0" applyFont="1" applyBorder="1" applyAlignment="1">
      <alignment vertical="center" wrapText="1"/>
    </xf>
    <xf numFmtId="0" fontId="124" fillId="0" borderId="21" xfId="0" applyFont="1" applyBorder="1" applyAlignment="1">
      <alignment vertical="center" wrapText="1"/>
    </xf>
    <xf numFmtId="0" fontId="124" fillId="0" borderId="13" xfId="0" applyFont="1" applyBorder="1" applyAlignment="1">
      <alignment horizontal="left" vertical="center" wrapText="1" indent="1"/>
    </xf>
    <xf numFmtId="0" fontId="69" fillId="0" borderId="21" xfId="0" applyFont="1" applyBorder="1" applyAlignment="1">
      <alignment vertical="center" wrapText="1"/>
    </xf>
    <xf numFmtId="0" fontId="124" fillId="0" borderId="21" xfId="0" applyFont="1" applyBorder="1" applyAlignment="1">
      <alignment vertical="center"/>
    </xf>
    <xf numFmtId="0" fontId="124" fillId="0" borderId="13" xfId="0" applyFont="1" applyBorder="1" applyAlignment="1">
      <alignment horizontal="left" vertical="center" indent="1"/>
    </xf>
    <xf numFmtId="0" fontId="128" fillId="49" borderId="4" xfId="0" applyFont="1" applyFill="1" applyBorder="1" applyAlignment="1">
      <alignment horizontal="right" vertical="center"/>
    </xf>
    <xf numFmtId="0" fontId="69" fillId="0" borderId="13" xfId="0" applyFont="1" applyBorder="1" applyAlignment="1">
      <alignment horizontal="right" vertical="center"/>
    </xf>
    <xf numFmtId="3" fontId="69" fillId="0" borderId="13" xfId="0" applyNumberFormat="1" applyFont="1" applyBorder="1" applyAlignment="1">
      <alignment horizontal="right" vertical="center"/>
    </xf>
    <xf numFmtId="0" fontId="124" fillId="0" borderId="4" xfId="0" applyFont="1" applyBorder="1" applyAlignment="1">
      <alignment horizontal="left" vertical="center" wrapText="1" indent="1"/>
    </xf>
    <xf numFmtId="0" fontId="124" fillId="0" borderId="4" xfId="0" applyFont="1" applyBorder="1" applyAlignment="1">
      <alignment horizontal="right" vertical="center"/>
    </xf>
    <xf numFmtId="0" fontId="69" fillId="0" borderId="13" xfId="0" applyFont="1" applyBorder="1" applyAlignment="1">
      <alignment horizontal="left" vertical="center" wrapText="1" indent="3"/>
    </xf>
    <xf numFmtId="0" fontId="69" fillId="0" borderId="13" xfId="0" applyFont="1" applyBorder="1" applyAlignment="1">
      <alignment vertical="center" wrapText="1"/>
    </xf>
    <xf numFmtId="167" fontId="56" fillId="0" borderId="8" xfId="1" applyNumberFormat="1" applyFont="1" applyBorder="1"/>
    <xf numFmtId="0" fontId="61" fillId="0" borderId="57" xfId="43" applyFont="1" applyBorder="1" applyAlignment="1">
      <alignment wrapText="1"/>
    </xf>
    <xf numFmtId="0" fontId="68" fillId="0" borderId="0" xfId="43" quotePrefix="1" applyFont="1"/>
    <xf numFmtId="49" fontId="56" fillId="0" borderId="81" xfId="43" applyNumberFormat="1" applyFont="1" applyBorder="1" applyAlignment="1">
      <alignment horizontal="left" wrapText="1" indent="2"/>
    </xf>
    <xf numFmtId="0" fontId="131" fillId="0" borderId="0" xfId="43" applyFont="1"/>
    <xf numFmtId="0" fontId="131" fillId="0" borderId="0" xfId="43" quotePrefix="1" applyFont="1"/>
    <xf numFmtId="3" fontId="68" fillId="0" borderId="84" xfId="43" applyNumberFormat="1" applyFont="1" applyBorder="1"/>
    <xf numFmtId="0" fontId="56" fillId="5" borderId="83" xfId="43" applyFont="1" applyFill="1" applyBorder="1" applyAlignment="1">
      <alignment horizontal="left" wrapText="1" indent="3"/>
    </xf>
    <xf numFmtId="3" fontId="56" fillId="5" borderId="84" xfId="43" applyNumberFormat="1" applyFont="1" applyFill="1" applyBorder="1"/>
    <xf numFmtId="3" fontId="56" fillId="0" borderId="84" xfId="43" applyNumberFormat="1" applyFont="1" applyBorder="1"/>
    <xf numFmtId="0" fontId="82" fillId="14" borderId="0" xfId="0" applyFont="1" applyFill="1"/>
    <xf numFmtId="0" fontId="132" fillId="14" borderId="0" xfId="0" applyFont="1" applyFill="1"/>
    <xf numFmtId="0" fontId="126" fillId="48" borderId="0" xfId="0" applyFont="1" applyFill="1"/>
    <xf numFmtId="0" fontId="56" fillId="5" borderId="80" xfId="43" applyFont="1" applyFill="1" applyBorder="1" applyAlignment="1">
      <alignment horizontal="left" indent="3"/>
    </xf>
    <xf numFmtId="3" fontId="56" fillId="3" borderId="84" xfId="43" applyNumberFormat="1" applyFont="1" applyFill="1" applyBorder="1"/>
    <xf numFmtId="3" fontId="61" fillId="4" borderId="84" xfId="43" applyNumberFormat="1" applyFont="1" applyFill="1" applyBorder="1"/>
    <xf numFmtId="3" fontId="56" fillId="12" borderId="84" xfId="43" applyNumberFormat="1" applyFont="1" applyFill="1" applyBorder="1"/>
    <xf numFmtId="0" fontId="133" fillId="0" borderId="0" xfId="83" applyFont="1"/>
    <xf numFmtId="49" fontId="56" fillId="0" borderId="77" xfId="43" applyNumberFormat="1" applyFont="1" applyBorder="1" applyAlignment="1">
      <alignment horizontal="left" wrapText="1" indent="4"/>
    </xf>
    <xf numFmtId="3" fontId="56" fillId="10" borderId="84" xfId="43" applyNumberFormat="1" applyFont="1" applyFill="1" applyBorder="1"/>
    <xf numFmtId="164" fontId="58" fillId="0" borderId="0" xfId="43" applyNumberFormat="1" applyFont="1"/>
    <xf numFmtId="0" fontId="6" fillId="0" borderId="0" xfId="43" quotePrefix="1" applyFont="1"/>
    <xf numFmtId="49" fontId="61" fillId="3" borderId="88" xfId="43" applyNumberFormat="1" applyFont="1" applyFill="1" applyBorder="1" applyAlignment="1">
      <alignment horizontal="left" wrapText="1" indent="2"/>
    </xf>
    <xf numFmtId="0" fontId="58" fillId="0" borderId="0" xfId="43" quotePrefix="1" applyFont="1"/>
    <xf numFmtId="49" fontId="58" fillId="3" borderId="52" xfId="43" applyNumberFormat="1" applyFont="1" applyFill="1" applyBorder="1" applyAlignment="1">
      <alignment horizontal="left" wrapText="1" indent="2"/>
    </xf>
    <xf numFmtId="49" fontId="58" fillId="3" borderId="67" xfId="43" applyNumberFormat="1" applyFont="1" applyFill="1" applyBorder="1" applyAlignment="1">
      <alignment horizontal="left" wrapText="1" indent="2"/>
    </xf>
    <xf numFmtId="49" fontId="64" fillId="3" borderId="52" xfId="43" applyNumberFormat="1" applyFont="1" applyFill="1" applyBorder="1" applyAlignment="1">
      <alignment horizontal="left" wrapText="1" indent="2"/>
    </xf>
    <xf numFmtId="49" fontId="64" fillId="3" borderId="61" xfId="43" applyNumberFormat="1" applyFont="1" applyFill="1" applyBorder="1" applyAlignment="1">
      <alignment horizontal="left" wrapText="1" indent="2"/>
    </xf>
    <xf numFmtId="49" fontId="56" fillId="0" borderId="56" xfId="43" applyNumberFormat="1" applyFont="1" applyBorder="1" applyAlignment="1">
      <alignment horizontal="left" wrapText="1" indent="4"/>
    </xf>
    <xf numFmtId="167" fontId="56" fillId="0" borderId="78" xfId="1" applyNumberFormat="1" applyFont="1" applyBorder="1"/>
    <xf numFmtId="0" fontId="5" fillId="0" borderId="0" xfId="43" applyFont="1"/>
    <xf numFmtId="0" fontId="61" fillId="0" borderId="0" xfId="43" quotePrefix="1" applyFont="1"/>
    <xf numFmtId="167" fontId="61" fillId="0" borderId="3" xfId="1" applyNumberFormat="1" applyFont="1" applyBorder="1" applyAlignment="1">
      <alignment horizontal="center" vertical="center" wrapText="1"/>
    </xf>
    <xf numFmtId="167" fontId="61" fillId="4" borderId="5" xfId="1" applyNumberFormat="1" applyFont="1" applyFill="1" applyBorder="1"/>
    <xf numFmtId="167" fontId="61" fillId="4" borderId="8" xfId="1" applyNumberFormat="1" applyFont="1" applyFill="1" applyBorder="1"/>
    <xf numFmtId="167" fontId="56" fillId="0" borderId="62" xfId="1" applyNumberFormat="1" applyFont="1" applyBorder="1"/>
    <xf numFmtId="167" fontId="56" fillId="7" borderId="8" xfId="1" applyNumberFormat="1" applyFont="1" applyFill="1" applyBorder="1"/>
    <xf numFmtId="167" fontId="67" fillId="8" borderId="8" xfId="1" applyNumberFormat="1" applyFont="1" applyFill="1" applyBorder="1"/>
    <xf numFmtId="167" fontId="56" fillId="0" borderId="32" xfId="1" applyNumberFormat="1" applyFont="1" applyBorder="1"/>
    <xf numFmtId="167" fontId="56" fillId="0" borderId="48" xfId="1" applyNumberFormat="1" applyFont="1" applyBorder="1"/>
    <xf numFmtId="167" fontId="61" fillId="0" borderId="3" xfId="1" applyNumberFormat="1" applyFont="1" applyBorder="1"/>
    <xf numFmtId="167" fontId="61" fillId="0" borderId="12" xfId="1" applyNumberFormat="1" applyFont="1" applyBorder="1"/>
    <xf numFmtId="167" fontId="61" fillId="4" borderId="47" xfId="1" applyNumberFormat="1" applyFont="1" applyFill="1" applyBorder="1"/>
    <xf numFmtId="167" fontId="61" fillId="4" borderId="14" xfId="1" applyNumberFormat="1" applyFont="1" applyFill="1" applyBorder="1"/>
    <xf numFmtId="167" fontId="61" fillId="3" borderId="8" xfId="1" applyNumberFormat="1" applyFont="1" applyFill="1" applyBorder="1"/>
    <xf numFmtId="167" fontId="56" fillId="3" borderId="32" xfId="1" applyNumberFormat="1" applyFont="1" applyFill="1" applyBorder="1"/>
    <xf numFmtId="167" fontId="56" fillId="0" borderId="75" xfId="1" applyNumberFormat="1" applyFont="1" applyBorder="1"/>
    <xf numFmtId="167" fontId="56" fillId="10" borderId="8" xfId="1" applyNumberFormat="1" applyFont="1" applyFill="1" applyBorder="1"/>
    <xf numFmtId="167" fontId="56" fillId="3" borderId="62" xfId="1" applyNumberFormat="1" applyFont="1" applyFill="1" applyBorder="1"/>
    <xf numFmtId="167" fontId="56" fillId="6" borderId="8" xfId="1" applyNumberFormat="1" applyFont="1" applyFill="1" applyBorder="1"/>
    <xf numFmtId="167" fontId="68" fillId="0" borderId="84" xfId="1" applyNumberFormat="1" applyFont="1" applyBorder="1"/>
    <xf numFmtId="167" fontId="61" fillId="0" borderId="8" xfId="1" applyNumberFormat="1" applyFont="1" applyBorder="1"/>
    <xf numFmtId="167" fontId="61" fillId="0" borderId="15" xfId="1" applyNumberFormat="1" applyFont="1" applyBorder="1"/>
    <xf numFmtId="167" fontId="61" fillId="0" borderId="16" xfId="1" applyNumberFormat="1" applyFont="1" applyBorder="1"/>
    <xf numFmtId="167" fontId="61" fillId="4" borderId="19" xfId="1" applyNumberFormat="1" applyFont="1" applyFill="1" applyBorder="1"/>
    <xf numFmtId="167" fontId="56" fillId="0" borderId="84" xfId="1" applyNumberFormat="1" applyFont="1" applyBorder="1"/>
    <xf numFmtId="167" fontId="61" fillId="3" borderId="84" xfId="1" applyNumberFormat="1" applyFont="1" applyFill="1" applyBorder="1"/>
    <xf numFmtId="167" fontId="56" fillId="0" borderId="89" xfId="1" applyNumberFormat="1" applyFont="1" applyBorder="1"/>
    <xf numFmtId="167" fontId="56" fillId="3" borderId="84" xfId="1" applyNumberFormat="1" applyFont="1" applyFill="1" applyBorder="1"/>
    <xf numFmtId="167" fontId="56" fillId="5" borderId="84" xfId="1" applyNumberFormat="1" applyFont="1" applyFill="1" applyBorder="1"/>
    <xf numFmtId="0" fontId="66" fillId="5" borderId="0" xfId="43" applyFont="1" applyFill="1" applyAlignment="1">
      <alignment wrapText="1"/>
    </xf>
    <xf numFmtId="167" fontId="56" fillId="0" borderId="86" xfId="1" applyNumberFormat="1" applyFont="1" applyBorder="1"/>
    <xf numFmtId="3" fontId="56" fillId="0" borderId="85" xfId="43" applyNumberFormat="1" applyFont="1" applyBorder="1"/>
    <xf numFmtId="167" fontId="58" fillId="0" borderId="0" xfId="1" applyNumberFormat="1" applyFont="1" applyAlignment="1">
      <alignment wrapText="1"/>
    </xf>
    <xf numFmtId="167" fontId="56" fillId="15" borderId="48" xfId="1" applyNumberFormat="1" applyFont="1" applyFill="1" applyBorder="1"/>
    <xf numFmtId="167" fontId="68" fillId="15" borderId="62" xfId="1" applyNumberFormat="1" applyFont="1" applyFill="1" applyBorder="1"/>
    <xf numFmtId="167" fontId="56" fillId="0" borderId="8" xfId="1" applyNumberFormat="1" applyFont="1" applyFill="1" applyBorder="1"/>
    <xf numFmtId="167" fontId="56" fillId="0" borderId="75" xfId="1" applyNumberFormat="1" applyFont="1" applyFill="1" applyBorder="1"/>
    <xf numFmtId="167" fontId="56" fillId="6" borderId="75" xfId="1" applyNumberFormat="1" applyFont="1" applyFill="1" applyBorder="1"/>
    <xf numFmtId="167" fontId="56" fillId="3" borderId="75" xfId="1" applyNumberFormat="1" applyFont="1" applyFill="1" applyBorder="1"/>
    <xf numFmtId="9" fontId="56" fillId="0" borderId="8" xfId="4" applyFont="1" applyBorder="1" applyAlignment="1">
      <alignment wrapText="1"/>
    </xf>
    <xf numFmtId="9" fontId="56" fillId="0" borderId="75" xfId="4" applyFont="1" applyFill="1" applyBorder="1" applyAlignment="1">
      <alignment wrapText="1"/>
    </xf>
    <xf numFmtId="9" fontId="56" fillId="3" borderId="8" xfId="4" applyFont="1" applyFill="1" applyBorder="1"/>
    <xf numFmtId="9" fontId="56" fillId="0" borderId="8" xfId="4" applyFont="1" applyFill="1" applyBorder="1" applyAlignment="1">
      <alignment wrapText="1"/>
    </xf>
    <xf numFmtId="9" fontId="56" fillId="0" borderId="28" xfId="4" applyFont="1" applyFill="1" applyBorder="1"/>
    <xf numFmtId="9" fontId="56" fillId="0" borderId="8" xfId="4" applyFont="1" applyFill="1" applyBorder="1"/>
    <xf numFmtId="9" fontId="61" fillId="3" borderId="8" xfId="4" applyFont="1" applyFill="1" applyBorder="1"/>
    <xf numFmtId="9" fontId="68" fillId="0" borderId="84" xfId="4" applyFont="1" applyFill="1" applyBorder="1" applyAlignment="1">
      <alignment wrapText="1"/>
    </xf>
    <xf numFmtId="9" fontId="56" fillId="0" borderId="62" xfId="4" applyFont="1" applyFill="1" applyBorder="1" applyAlignment="1">
      <alignment wrapText="1"/>
    </xf>
    <xf numFmtId="9" fontId="56" fillId="0" borderId="59" xfId="4" applyFont="1" applyFill="1" applyBorder="1"/>
    <xf numFmtId="9" fontId="56" fillId="0" borderId="62" xfId="4" applyFont="1" applyFill="1" applyBorder="1"/>
    <xf numFmtId="9" fontId="56" fillId="0" borderId="0" xfId="4" applyFont="1" applyAlignment="1">
      <alignment wrapText="1"/>
    </xf>
    <xf numFmtId="1" fontId="56" fillId="0" borderId="0" xfId="4" applyNumberFormat="1" applyFont="1" applyFill="1"/>
    <xf numFmtId="9" fontId="61" fillId="0" borderId="3" xfId="4" applyFont="1" applyBorder="1" applyAlignment="1">
      <alignment horizontal="center" vertical="center" wrapText="1"/>
    </xf>
    <xf numFmtId="9" fontId="56" fillId="3" borderId="5" xfId="4" applyFont="1" applyFill="1" applyBorder="1" applyAlignment="1">
      <alignment wrapText="1"/>
    </xf>
    <xf numFmtId="9" fontId="61" fillId="4" borderId="5" xfId="4" applyFont="1" applyFill="1" applyBorder="1"/>
    <xf numFmtId="9" fontId="61" fillId="4" borderId="8" xfId="4" applyFont="1" applyFill="1" applyBorder="1"/>
    <xf numFmtId="9" fontId="56" fillId="0" borderId="8" xfId="4" applyFont="1" applyBorder="1"/>
    <xf numFmtId="9" fontId="56" fillId="0" borderId="9" xfId="4" applyFont="1" applyFill="1" applyBorder="1"/>
    <xf numFmtId="9" fontId="56" fillId="0" borderId="9" xfId="4" applyFont="1" applyFill="1" applyBorder="1" applyAlignment="1">
      <alignment wrapText="1"/>
    </xf>
    <xf numFmtId="9" fontId="56" fillId="0" borderId="48" xfId="4" applyFont="1" applyBorder="1"/>
    <xf numFmtId="9" fontId="56" fillId="4" borderId="8" xfId="4" applyFont="1" applyFill="1" applyBorder="1" applyAlignment="1">
      <alignment wrapText="1"/>
    </xf>
    <xf numFmtId="9" fontId="56" fillId="0" borderId="48" xfId="4" applyFont="1" applyFill="1" applyBorder="1"/>
    <xf numFmtId="3" fontId="56" fillId="7" borderId="8" xfId="43" applyNumberFormat="1" applyFont="1" applyFill="1" applyBorder="1" applyAlignment="1">
      <alignment wrapText="1"/>
    </xf>
    <xf numFmtId="9" fontId="67" fillId="8" borderId="8" xfId="4" applyFont="1" applyFill="1" applyBorder="1" applyAlignment="1">
      <alignment wrapText="1"/>
    </xf>
    <xf numFmtId="9" fontId="56" fillId="0" borderId="32" xfId="4" applyFont="1" applyFill="1" applyBorder="1"/>
    <xf numFmtId="9" fontId="56" fillId="0" borderId="75" xfId="4" applyFont="1" applyFill="1" applyBorder="1"/>
    <xf numFmtId="9" fontId="56" fillId="0" borderId="32" xfId="4" applyFont="1" applyFill="1" applyBorder="1" applyAlignment="1">
      <alignment wrapText="1"/>
    </xf>
    <xf numFmtId="9" fontId="56" fillId="5" borderId="8" xfId="4" applyFont="1" applyFill="1" applyBorder="1" applyAlignment="1">
      <alignment wrapText="1"/>
    </xf>
    <xf numFmtId="9" fontId="56" fillId="3" borderId="8" xfId="4" applyFont="1" applyFill="1" applyBorder="1" applyAlignment="1">
      <alignment wrapText="1"/>
    </xf>
    <xf numFmtId="9" fontId="56" fillId="0" borderId="34" xfId="4" applyFont="1" applyFill="1" applyBorder="1"/>
    <xf numFmtId="9" fontId="56" fillId="0" borderId="78" xfId="4" applyFont="1" applyFill="1" applyBorder="1"/>
    <xf numFmtId="9" fontId="56" fillId="0" borderId="29" xfId="4" applyFont="1" applyFill="1" applyBorder="1" applyAlignment="1">
      <alignment wrapText="1"/>
    </xf>
    <xf numFmtId="9" fontId="56" fillId="0" borderId="31" xfId="4" applyFont="1" applyFill="1" applyBorder="1"/>
    <xf numFmtId="9" fontId="56" fillId="0" borderId="33" xfId="4" applyFont="1" applyFill="1" applyBorder="1"/>
    <xf numFmtId="9" fontId="56" fillId="0" borderId="47" xfId="4" applyFont="1" applyFill="1" applyBorder="1"/>
    <xf numFmtId="9" fontId="56" fillId="0" borderId="64" xfId="4" applyFont="1" applyFill="1" applyBorder="1"/>
    <xf numFmtId="9" fontId="56" fillId="0" borderId="72" xfId="4" applyFont="1" applyFill="1" applyBorder="1"/>
    <xf numFmtId="1" fontId="56" fillId="0" borderId="8" xfId="4" applyNumberFormat="1" applyFont="1" applyFill="1" applyBorder="1"/>
    <xf numFmtId="9" fontId="56" fillId="0" borderId="48" xfId="4" applyFont="1" applyFill="1" applyBorder="1" applyAlignment="1">
      <alignment wrapText="1"/>
    </xf>
    <xf numFmtId="9" fontId="61" fillId="0" borderId="3" xfId="4" applyFont="1" applyBorder="1"/>
    <xf numFmtId="9" fontId="61" fillId="0" borderId="12" xfId="4" applyFont="1" applyFill="1" applyBorder="1"/>
    <xf numFmtId="3" fontId="56" fillId="0" borderId="69" xfId="43" applyNumberFormat="1" applyFont="1" applyBorder="1"/>
    <xf numFmtId="9" fontId="56" fillId="0" borderId="65" xfId="4" applyFont="1" applyFill="1" applyBorder="1" applyAlignment="1">
      <alignment wrapText="1"/>
    </xf>
    <xf numFmtId="3" fontId="56" fillId="0" borderId="46" xfId="43" applyNumberFormat="1" applyFont="1" applyBorder="1"/>
    <xf numFmtId="9" fontId="56" fillId="0" borderId="51" xfId="4" applyFont="1" applyFill="1" applyBorder="1" applyAlignment="1">
      <alignment wrapText="1"/>
    </xf>
    <xf numFmtId="9" fontId="56" fillId="0" borderId="65" xfId="4" applyFont="1" applyFill="1" applyBorder="1"/>
    <xf numFmtId="3" fontId="56" fillId="0" borderId="79" xfId="43" applyNumberFormat="1" applyFont="1" applyBorder="1"/>
    <xf numFmtId="3" fontId="56" fillId="0" borderId="60" xfId="43" applyNumberFormat="1" applyFont="1" applyBorder="1"/>
    <xf numFmtId="9" fontId="56" fillId="0" borderId="68" xfId="4" applyFont="1" applyFill="1" applyBorder="1"/>
    <xf numFmtId="3" fontId="56" fillId="0" borderId="25" xfId="43" applyNumberFormat="1" applyFont="1" applyBorder="1"/>
    <xf numFmtId="9" fontId="61" fillId="0" borderId="12" xfId="4" applyFont="1" applyBorder="1"/>
    <xf numFmtId="9" fontId="61" fillId="4" borderId="14" xfId="4" applyFont="1" applyFill="1" applyBorder="1"/>
    <xf numFmtId="9" fontId="56" fillId="3" borderId="32" xfId="4" applyFont="1" applyFill="1" applyBorder="1" applyAlignment="1">
      <alignment wrapText="1"/>
    </xf>
    <xf numFmtId="3" fontId="56" fillId="3" borderId="48" xfId="43" applyNumberFormat="1" applyFont="1" applyFill="1" applyBorder="1"/>
    <xf numFmtId="9" fontId="56" fillId="3" borderId="48" xfId="4" applyFont="1" applyFill="1" applyBorder="1" applyAlignment="1">
      <alignment wrapText="1"/>
    </xf>
    <xf numFmtId="9" fontId="56" fillId="3" borderId="62" xfId="4" applyFont="1" applyFill="1" applyBorder="1" applyAlignment="1">
      <alignment wrapText="1"/>
    </xf>
    <xf numFmtId="9" fontId="56" fillId="3" borderId="84" xfId="4" applyFont="1" applyFill="1" applyBorder="1"/>
    <xf numFmtId="9" fontId="56" fillId="3" borderId="59" xfId="4" applyFont="1" applyFill="1" applyBorder="1" applyAlignment="1">
      <alignment wrapText="1"/>
    </xf>
    <xf numFmtId="9" fontId="56" fillId="0" borderId="48" xfId="4" applyFont="1" applyBorder="1" applyAlignment="1">
      <alignment wrapText="1"/>
    </xf>
    <xf numFmtId="9" fontId="56" fillId="0" borderId="62" xfId="4" applyFont="1" applyBorder="1" applyAlignment="1">
      <alignment wrapText="1"/>
    </xf>
    <xf numFmtId="9" fontId="56" fillId="0" borderId="26" xfId="4" applyFont="1" applyBorder="1" applyAlignment="1">
      <alignment wrapText="1"/>
    </xf>
    <xf numFmtId="9" fontId="56" fillId="0" borderId="30" xfId="4" applyFont="1" applyBorder="1" applyAlignment="1">
      <alignment wrapText="1"/>
    </xf>
    <xf numFmtId="9" fontId="56" fillId="0" borderId="84" xfId="4" applyFont="1" applyBorder="1" applyAlignment="1">
      <alignment wrapText="1"/>
    </xf>
    <xf numFmtId="9" fontId="68" fillId="0" borderId="62" xfId="4" applyFont="1" applyBorder="1" applyAlignment="1">
      <alignment wrapText="1"/>
    </xf>
    <xf numFmtId="9" fontId="68" fillId="0" borderId="8" xfId="4" applyFont="1" applyFill="1" applyBorder="1" applyAlignment="1">
      <alignment wrapText="1"/>
    </xf>
    <xf numFmtId="9" fontId="68" fillId="9" borderId="8" xfId="4" applyFont="1" applyFill="1" applyBorder="1" applyAlignment="1">
      <alignment wrapText="1"/>
    </xf>
    <xf numFmtId="9" fontId="68" fillId="3" borderId="8" xfId="4" applyFont="1" applyFill="1" applyBorder="1" applyAlignment="1">
      <alignment wrapText="1"/>
    </xf>
    <xf numFmtId="9" fontId="68" fillId="3" borderId="32" xfId="4" applyFont="1" applyFill="1" applyBorder="1" applyAlignment="1">
      <alignment wrapText="1"/>
    </xf>
    <xf numFmtId="9" fontId="56" fillId="5" borderId="8" xfId="4" applyFont="1" applyFill="1" applyBorder="1"/>
    <xf numFmtId="9" fontId="56" fillId="5" borderId="62" xfId="4" applyFont="1" applyFill="1" applyBorder="1" applyAlignment="1">
      <alignment wrapText="1"/>
    </xf>
    <xf numFmtId="9" fontId="56" fillId="5" borderId="84" xfId="4" applyFont="1" applyFill="1" applyBorder="1"/>
    <xf numFmtId="9" fontId="56" fillId="0" borderId="84" xfId="4" applyFont="1" applyFill="1" applyBorder="1"/>
    <xf numFmtId="9" fontId="56" fillId="3" borderId="62" xfId="4" applyFont="1" applyFill="1" applyBorder="1"/>
    <xf numFmtId="9" fontId="56" fillId="0" borderId="76" xfId="4" applyFont="1" applyFill="1" applyBorder="1" applyAlignment="1">
      <alignment wrapText="1"/>
    </xf>
    <xf numFmtId="9" fontId="56" fillId="0" borderId="26" xfId="4" applyFont="1" applyFill="1" applyBorder="1" applyAlignment="1">
      <alignment wrapText="1"/>
    </xf>
    <xf numFmtId="3" fontId="56" fillId="6" borderId="48" xfId="43" applyNumberFormat="1" applyFont="1" applyFill="1" applyBorder="1"/>
    <xf numFmtId="9" fontId="67" fillId="0" borderId="8" xfId="4" applyFont="1" applyFill="1" applyBorder="1" applyAlignment="1">
      <alignment wrapText="1"/>
    </xf>
    <xf numFmtId="9" fontId="56" fillId="3" borderId="75" xfId="4" applyFont="1" applyFill="1" applyBorder="1" applyAlignment="1">
      <alignment wrapText="1"/>
    </xf>
    <xf numFmtId="9" fontId="56" fillId="3" borderId="84" xfId="4" applyFont="1" applyFill="1" applyBorder="1" applyAlignment="1">
      <alignment wrapText="1"/>
    </xf>
    <xf numFmtId="9" fontId="56" fillId="3" borderId="28" xfId="4" applyFont="1" applyFill="1" applyBorder="1" applyAlignment="1">
      <alignment wrapText="1"/>
    </xf>
    <xf numFmtId="9" fontId="56" fillId="0" borderId="16" xfId="4" applyFont="1" applyBorder="1"/>
    <xf numFmtId="9" fontId="61" fillId="4" borderId="19" xfId="4" applyFont="1" applyFill="1" applyBorder="1"/>
    <xf numFmtId="9" fontId="56" fillId="0" borderId="47" xfId="4" applyFont="1" applyFill="1" applyBorder="1" applyAlignment="1">
      <alignment wrapText="1"/>
    </xf>
    <xf numFmtId="0" fontId="4" fillId="0" borderId="0" xfId="43" quotePrefix="1" applyFont="1"/>
    <xf numFmtId="3" fontId="56" fillId="9" borderId="48" xfId="43" applyNumberFormat="1" applyFont="1" applyFill="1" applyBorder="1"/>
    <xf numFmtId="3" fontId="68" fillId="9" borderId="48" xfId="43" applyNumberFormat="1" applyFont="1" applyFill="1" applyBorder="1"/>
    <xf numFmtId="9" fontId="61" fillId="0" borderId="3" xfId="2" applyFont="1" applyBorder="1" applyAlignment="1">
      <alignment horizontal="center" vertical="center" wrapText="1"/>
    </xf>
    <xf numFmtId="167" fontId="61" fillId="3" borderId="68" xfId="1" applyNumberFormat="1" applyFont="1" applyFill="1" applyBorder="1"/>
    <xf numFmtId="3" fontId="67" fillId="8" borderId="84" xfId="43" applyNumberFormat="1" applyFont="1" applyFill="1" applyBorder="1"/>
    <xf numFmtId="3" fontId="56" fillId="0" borderId="84" xfId="43" applyNumberFormat="1" applyFont="1" applyBorder="1" applyAlignment="1">
      <alignment wrapText="1"/>
    </xf>
    <xf numFmtId="3" fontId="56" fillId="7" borderId="84" xfId="43" applyNumberFormat="1" applyFont="1" applyFill="1" applyBorder="1"/>
    <xf numFmtId="9" fontId="56" fillId="0" borderId="8" xfId="2" applyFont="1" applyFill="1" applyBorder="1"/>
    <xf numFmtId="167" fontId="61" fillId="4" borderId="8" xfId="4" applyNumberFormat="1" applyFont="1" applyFill="1" applyBorder="1"/>
    <xf numFmtId="9" fontId="56" fillId="0" borderId="48" xfId="2" applyFont="1" applyFill="1" applyBorder="1"/>
    <xf numFmtId="3" fontId="61" fillId="4" borderId="68" xfId="43" applyNumberFormat="1" applyFont="1" applyFill="1" applyBorder="1"/>
    <xf numFmtId="9" fontId="61" fillId="0" borderId="12" xfId="2" applyFont="1" applyFill="1" applyBorder="1"/>
    <xf numFmtId="3" fontId="61" fillId="4" borderId="72" xfId="43" applyNumberFormat="1" applyFont="1" applyFill="1" applyBorder="1"/>
    <xf numFmtId="9" fontId="61" fillId="4" borderId="47" xfId="2" applyFont="1" applyFill="1" applyBorder="1"/>
    <xf numFmtId="9" fontId="56" fillId="0" borderId="64" xfId="2" applyFont="1" applyFill="1" applyBorder="1"/>
    <xf numFmtId="9" fontId="56" fillId="0" borderId="47" xfId="2" applyFont="1" applyFill="1" applyBorder="1"/>
    <xf numFmtId="9" fontId="61" fillId="0" borderId="12" xfId="2" applyFont="1" applyBorder="1"/>
    <xf numFmtId="3" fontId="61" fillId="3" borderId="84" xfId="43" applyNumberFormat="1" applyFont="1" applyFill="1" applyBorder="1"/>
    <xf numFmtId="9" fontId="56" fillId="15" borderId="48" xfId="2" applyFont="1" applyFill="1" applyBorder="1"/>
    <xf numFmtId="3" fontId="68" fillId="15" borderId="62" xfId="43" applyNumberFormat="1" applyFont="1" applyFill="1" applyBorder="1"/>
    <xf numFmtId="9" fontId="56" fillId="3" borderId="8" xfId="2" applyFont="1" applyFill="1" applyBorder="1"/>
    <xf numFmtId="9" fontId="68" fillId="15" borderId="62" xfId="2" applyFont="1" applyFill="1" applyBorder="1"/>
    <xf numFmtId="9" fontId="56" fillId="0" borderId="62" xfId="2" applyFont="1" applyFill="1" applyBorder="1"/>
    <xf numFmtId="9" fontId="56" fillId="0" borderId="84" xfId="2" applyFont="1" applyFill="1" applyBorder="1"/>
    <xf numFmtId="3" fontId="56" fillId="6" borderId="84" xfId="43" applyNumberFormat="1" applyFont="1" applyFill="1" applyBorder="1"/>
    <xf numFmtId="9" fontId="58" fillId="9" borderId="48" xfId="4" applyFont="1" applyFill="1" applyBorder="1" applyAlignment="1">
      <alignment wrapText="1"/>
    </xf>
    <xf numFmtId="3" fontId="61" fillId="0" borderId="84" xfId="43" applyNumberFormat="1" applyFont="1" applyBorder="1"/>
    <xf numFmtId="167" fontId="56" fillId="0" borderId="0" xfId="43" applyNumberFormat="1" applyFont="1"/>
    <xf numFmtId="9" fontId="56" fillId="0" borderId="0" xfId="4" applyFont="1" applyAlignment="1">
      <alignment horizontal="right"/>
    </xf>
    <xf numFmtId="0" fontId="84" fillId="14" borderId="0" xfId="0" applyFont="1" applyFill="1" applyAlignment="1">
      <alignment horizontal="left" wrapText="1" indent="2"/>
    </xf>
    <xf numFmtId="0" fontId="63" fillId="14" borderId="0" xfId="0" applyFont="1" applyFill="1"/>
    <xf numFmtId="9" fontId="61" fillId="3" borderId="5" xfId="2" applyFont="1" applyFill="1" applyBorder="1"/>
    <xf numFmtId="167" fontId="56" fillId="3" borderId="68" xfId="1" applyNumberFormat="1" applyFont="1" applyFill="1" applyBorder="1" applyAlignment="1">
      <alignment wrapText="1"/>
    </xf>
    <xf numFmtId="9" fontId="61" fillId="4" borderId="5" xfId="2" applyFont="1" applyFill="1" applyBorder="1"/>
    <xf numFmtId="9" fontId="61" fillId="4" borderId="8" xfId="2" applyFont="1" applyFill="1" applyBorder="1"/>
    <xf numFmtId="3" fontId="56" fillId="4" borderId="84" xfId="43" applyNumberFormat="1" applyFont="1" applyFill="1" applyBorder="1"/>
    <xf numFmtId="9" fontId="56" fillId="0" borderId="8" xfId="2" applyFont="1" applyBorder="1"/>
    <xf numFmtId="9" fontId="56" fillId="0" borderId="32" xfId="2" applyFont="1" applyFill="1" applyBorder="1"/>
    <xf numFmtId="9" fontId="56" fillId="12" borderId="62" xfId="2" applyFont="1" applyFill="1" applyBorder="1"/>
    <xf numFmtId="3" fontId="63" fillId="14" borderId="0" xfId="0" applyNumberFormat="1" applyFont="1" applyFill="1"/>
    <xf numFmtId="9" fontId="63" fillId="14" borderId="0" xfId="2" applyFont="1" applyFill="1"/>
    <xf numFmtId="9" fontId="56" fillId="10" borderId="8" xfId="2" applyFont="1" applyFill="1" applyBorder="1"/>
    <xf numFmtId="9" fontId="56" fillId="7" borderId="8" xfId="2" applyFont="1" applyFill="1" applyBorder="1"/>
    <xf numFmtId="9" fontId="67" fillId="8" borderId="8" xfId="2" applyFont="1" applyFill="1" applyBorder="1"/>
    <xf numFmtId="9" fontId="56" fillId="0" borderId="75" xfId="2" applyFont="1" applyFill="1" applyBorder="1"/>
    <xf numFmtId="9" fontId="61" fillId="0" borderId="3" xfId="2" applyFont="1" applyBorder="1"/>
    <xf numFmtId="9" fontId="61" fillId="4" borderId="14" xfId="2" applyFont="1" applyFill="1" applyBorder="1"/>
    <xf numFmtId="3" fontId="56" fillId="4" borderId="8" xfId="43" applyNumberFormat="1" applyFont="1" applyFill="1" applyBorder="1"/>
    <xf numFmtId="3" fontId="56" fillId="3" borderId="8" xfId="43" applyNumberFormat="1" applyFont="1" applyFill="1" applyBorder="1" applyAlignment="1">
      <alignment wrapText="1"/>
    </xf>
    <xf numFmtId="9" fontId="56" fillId="3" borderId="84" xfId="2" applyFont="1" applyFill="1" applyBorder="1"/>
    <xf numFmtId="3" fontId="56" fillId="3" borderId="84" xfId="43" applyNumberFormat="1" applyFont="1" applyFill="1" applyBorder="1" applyAlignment="1">
      <alignment wrapText="1"/>
    </xf>
    <xf numFmtId="9" fontId="61" fillId="3" borderId="8" xfId="2" applyFont="1" applyFill="1" applyBorder="1"/>
    <xf numFmtId="3" fontId="56" fillId="0" borderId="8" xfId="43" applyNumberFormat="1" applyFont="1" applyBorder="1" applyAlignment="1">
      <alignment wrapText="1"/>
    </xf>
    <xf numFmtId="3" fontId="56" fillId="0" borderId="48" xfId="43" applyNumberFormat="1" applyFont="1" applyBorder="1" applyAlignment="1">
      <alignment wrapText="1"/>
    </xf>
    <xf numFmtId="3" fontId="56" fillId="15" borderId="48" xfId="43" applyNumberFormat="1" applyFont="1" applyFill="1" applyBorder="1"/>
    <xf numFmtId="3" fontId="56" fillId="0" borderId="62" xfId="43" applyNumberFormat="1" applyFont="1" applyBorder="1" applyAlignment="1">
      <alignment wrapText="1"/>
    </xf>
    <xf numFmtId="9" fontId="56" fillId="3" borderId="32" xfId="2" applyFont="1" applyFill="1" applyBorder="1"/>
    <xf numFmtId="9" fontId="56" fillId="5" borderId="8" xfId="2" applyFont="1" applyFill="1" applyBorder="1"/>
    <xf numFmtId="9" fontId="56" fillId="3" borderId="62" xfId="2" applyFont="1" applyFill="1" applyBorder="1"/>
    <xf numFmtId="9" fontId="56" fillId="6" borderId="8" xfId="2" applyFont="1" applyFill="1" applyBorder="1"/>
    <xf numFmtId="9" fontId="56" fillId="0" borderId="26" xfId="2" applyFont="1" applyFill="1" applyBorder="1" applyAlignment="1"/>
    <xf numFmtId="9" fontId="68" fillId="0" borderId="84" xfId="2" applyFont="1" applyFill="1" applyBorder="1"/>
    <xf numFmtId="9" fontId="56" fillId="0" borderId="0" xfId="2" applyFont="1" applyAlignment="1">
      <alignment wrapText="1"/>
    </xf>
    <xf numFmtId="167" fontId="56" fillId="0" borderId="0" xfId="2" applyNumberFormat="1" applyFont="1" applyFill="1"/>
    <xf numFmtId="9" fontId="61" fillId="0" borderId="0" xfId="2" applyFont="1"/>
    <xf numFmtId="3" fontId="56" fillId="4" borderId="84" xfId="43" applyNumberFormat="1" applyFont="1" applyFill="1" applyBorder="1" applyAlignment="1">
      <alignment wrapText="1"/>
    </xf>
    <xf numFmtId="3" fontId="56" fillId="0" borderId="3" xfId="43" applyNumberFormat="1" applyFont="1" applyBorder="1" applyAlignment="1">
      <alignment wrapText="1"/>
    </xf>
    <xf numFmtId="3" fontId="56" fillId="0" borderId="64" xfId="43" applyNumberFormat="1" applyFont="1" applyBorder="1" applyAlignment="1">
      <alignment wrapText="1"/>
    </xf>
    <xf numFmtId="3" fontId="56" fillId="0" borderId="47" xfId="43" applyNumberFormat="1" applyFont="1" applyBorder="1"/>
    <xf numFmtId="9" fontId="56" fillId="0" borderId="0" xfId="2" applyFont="1"/>
    <xf numFmtId="9" fontId="61" fillId="0" borderId="8" xfId="2" applyFont="1" applyFill="1" applyBorder="1"/>
    <xf numFmtId="9" fontId="56" fillId="3" borderId="75" xfId="2" applyFont="1" applyFill="1" applyBorder="1"/>
    <xf numFmtId="9" fontId="61" fillId="0" borderId="15" xfId="2" applyFont="1" applyBorder="1"/>
    <xf numFmtId="9" fontId="61" fillId="0" borderId="16" xfId="2" applyFont="1" applyBorder="1"/>
    <xf numFmtId="9" fontId="61" fillId="4" borderId="19" xfId="2" applyFont="1" applyFill="1" applyBorder="1"/>
    <xf numFmtId="167" fontId="56" fillId="52" borderId="62" xfId="1" applyNumberFormat="1" applyFont="1" applyFill="1" applyBorder="1"/>
    <xf numFmtId="167" fontId="56" fillId="52" borderId="78" xfId="1" applyNumberFormat="1" applyFont="1" applyFill="1" applyBorder="1"/>
    <xf numFmtId="167" fontId="56" fillId="52" borderId="64" xfId="1" applyNumberFormat="1" applyFont="1" applyFill="1" applyBorder="1"/>
    <xf numFmtId="167" fontId="56" fillId="52" borderId="51" xfId="1" applyNumberFormat="1" applyFont="1" applyFill="1" applyBorder="1"/>
    <xf numFmtId="167" fontId="56" fillId="52" borderId="8" xfId="1" applyNumberFormat="1" applyFont="1" applyFill="1" applyBorder="1"/>
    <xf numFmtId="167" fontId="56" fillId="6" borderId="0" xfId="43" applyNumberFormat="1" applyFont="1" applyFill="1"/>
    <xf numFmtId="167" fontId="61" fillId="0" borderId="0" xfId="43" applyNumberFormat="1" applyFont="1"/>
    <xf numFmtId="167" fontId="59" fillId="0" borderId="0" xfId="43" applyNumberFormat="1" applyFont="1"/>
    <xf numFmtId="167" fontId="66" fillId="0" borderId="0" xfId="43" applyNumberFormat="1" applyFont="1"/>
    <xf numFmtId="9" fontId="56" fillId="0" borderId="30" xfId="4" applyFont="1" applyFill="1" applyBorder="1" applyAlignment="1">
      <alignment wrapText="1"/>
    </xf>
    <xf numFmtId="49" fontId="56" fillId="4" borderId="52" xfId="43" applyNumberFormat="1" applyFont="1" applyFill="1" applyBorder="1" applyAlignment="1">
      <alignment wrapText="1"/>
    </xf>
    <xf numFmtId="9" fontId="56" fillId="0" borderId="78" xfId="4" applyFont="1" applyFill="1" applyBorder="1" applyAlignment="1">
      <alignment wrapText="1"/>
    </xf>
    <xf numFmtId="0" fontId="56" fillId="11" borderId="52" xfId="43" applyFont="1" applyFill="1" applyBorder="1" applyAlignment="1">
      <alignment horizontal="left" wrapText="1" indent="3"/>
    </xf>
    <xf numFmtId="167" fontId="56" fillId="11" borderId="8" xfId="1" applyNumberFormat="1" applyFont="1" applyFill="1" applyBorder="1"/>
    <xf numFmtId="0" fontId="56" fillId="11" borderId="61" xfId="43" applyFont="1" applyFill="1" applyBorder="1" applyAlignment="1">
      <alignment horizontal="left" wrapText="1" indent="3"/>
    </xf>
    <xf numFmtId="167" fontId="56" fillId="0" borderId="62" xfId="4" applyNumberFormat="1" applyFont="1" applyBorder="1" applyAlignment="1">
      <alignment wrapText="1"/>
    </xf>
    <xf numFmtId="167" fontId="56" fillId="0" borderId="78" xfId="4" applyNumberFormat="1" applyFont="1" applyFill="1" applyBorder="1"/>
    <xf numFmtId="167" fontId="56" fillId="0" borderId="64" xfId="4" applyNumberFormat="1" applyFont="1" applyFill="1" applyBorder="1"/>
    <xf numFmtId="0" fontId="56" fillId="11" borderId="81" xfId="43" applyFont="1" applyFill="1" applyBorder="1" applyAlignment="1">
      <alignment horizontal="left" wrapText="1" indent="3"/>
    </xf>
    <xf numFmtId="49" fontId="56" fillId="11" borderId="52" xfId="43" applyNumberFormat="1" applyFont="1" applyFill="1" applyBorder="1" applyAlignment="1">
      <alignment horizontal="left" wrapText="1" indent="2"/>
    </xf>
    <xf numFmtId="49" fontId="61" fillId="11" borderId="52" xfId="43" applyNumberFormat="1" applyFont="1" applyFill="1" applyBorder="1" applyAlignment="1">
      <alignment horizontal="left" wrapText="1" indent="2"/>
    </xf>
    <xf numFmtId="9" fontId="56" fillId="0" borderId="87" xfId="4" applyFont="1" applyBorder="1" applyAlignment="1">
      <alignment wrapText="1"/>
    </xf>
    <xf numFmtId="9" fontId="56" fillId="0" borderId="88" xfId="4" applyFont="1" applyBorder="1" applyAlignment="1">
      <alignment wrapText="1"/>
    </xf>
    <xf numFmtId="167" fontId="56" fillId="0" borderId="84" xfId="1" applyNumberFormat="1" applyFont="1" applyFill="1" applyBorder="1"/>
    <xf numFmtId="164" fontId="56" fillId="0" borderId="0" xfId="43" applyNumberFormat="1" applyFont="1"/>
    <xf numFmtId="3" fontId="135" fillId="0" borderId="84" xfId="43" applyNumberFormat="1" applyFont="1" applyBorder="1"/>
    <xf numFmtId="3" fontId="134" fillId="4" borderId="84" xfId="43" applyNumberFormat="1" applyFont="1" applyFill="1" applyBorder="1"/>
    <xf numFmtId="3" fontId="135" fillId="10" borderId="84" xfId="43" applyNumberFormat="1" applyFont="1" applyFill="1" applyBorder="1"/>
    <xf numFmtId="3" fontId="135" fillId="3" borderId="84" xfId="43" applyNumberFormat="1" applyFont="1" applyFill="1" applyBorder="1"/>
    <xf numFmtId="0" fontId="135" fillId="0" borderId="0" xfId="43" applyFont="1"/>
    <xf numFmtId="3" fontId="135" fillId="0" borderId="0" xfId="43" applyNumberFormat="1" applyFont="1"/>
    <xf numFmtId="10" fontId="135" fillId="0" borderId="0" xfId="9" applyNumberFormat="1" applyFont="1"/>
    <xf numFmtId="3" fontId="135" fillId="11" borderId="84" xfId="43" applyNumberFormat="1" applyFont="1" applyFill="1" applyBorder="1"/>
    <xf numFmtId="3" fontId="135" fillId="0" borderId="84" xfId="43" applyNumberFormat="1" applyFont="1" applyBorder="1" applyAlignment="1">
      <alignment wrapText="1"/>
    </xf>
    <xf numFmtId="167" fontId="61" fillId="4" borderId="84" xfId="1" applyNumberFormat="1" applyFont="1" applyFill="1" applyBorder="1"/>
    <xf numFmtId="167" fontId="56" fillId="0" borderId="0" xfId="4" applyNumberFormat="1" applyFont="1"/>
    <xf numFmtId="9" fontId="56" fillId="0" borderId="48" xfId="2" applyFont="1" applyBorder="1"/>
    <xf numFmtId="3" fontId="68" fillId="15" borderId="84" xfId="43" applyNumberFormat="1" applyFont="1" applyFill="1" applyBorder="1"/>
    <xf numFmtId="3" fontId="56" fillId="15" borderId="84" xfId="43" applyNumberFormat="1" applyFont="1" applyFill="1" applyBorder="1"/>
    <xf numFmtId="3" fontId="56" fillId="11" borderId="84" xfId="43" applyNumberFormat="1" applyFont="1" applyFill="1" applyBorder="1"/>
    <xf numFmtId="167" fontId="56" fillId="0" borderId="48" xfId="4" applyNumberFormat="1" applyFont="1" applyFill="1" applyBorder="1" applyAlignment="1">
      <alignment wrapText="1"/>
    </xf>
    <xf numFmtId="167" fontId="135" fillId="0" borderId="0" xfId="43" applyNumberFormat="1" applyFont="1"/>
    <xf numFmtId="3" fontId="58" fillId="0" borderId="0" xfId="43" applyNumberFormat="1" applyFont="1"/>
    <xf numFmtId="0" fontId="136" fillId="14" borderId="0" xfId="0" applyFont="1" applyFill="1" applyAlignment="1">
      <alignment horizontal="left" vertical="top" wrapText="1"/>
    </xf>
    <xf numFmtId="0" fontId="136" fillId="14" borderId="0" xfId="0" applyFont="1" applyFill="1"/>
    <xf numFmtId="0" fontId="136" fillId="14" borderId="0" xfId="0" applyFont="1" applyFill="1" applyAlignment="1">
      <alignment horizontal="left" indent="2"/>
    </xf>
    <xf numFmtId="3" fontId="136" fillId="14" borderId="0" xfId="0" applyNumberFormat="1" applyFont="1" applyFill="1" applyAlignment="1">
      <alignment horizontal="left" indent="2"/>
    </xf>
    <xf numFmtId="3" fontId="136" fillId="14" borderId="0" xfId="0" applyNumberFormat="1" applyFont="1" applyFill="1"/>
    <xf numFmtId="0" fontId="136" fillId="14" borderId="0" xfId="0" applyFont="1" applyFill="1" applyAlignment="1">
      <alignment horizontal="left" vertical="top" wrapText="1" indent="2"/>
    </xf>
    <xf numFmtId="0" fontId="136" fillId="14" borderId="0" xfId="0" applyFont="1" applyFill="1" applyAlignment="1">
      <alignment horizontal="left" wrapText="1"/>
    </xf>
    <xf numFmtId="0" fontId="136" fillId="14" borderId="0" xfId="0" applyFont="1" applyFill="1" applyAlignment="1">
      <alignment horizontal="left"/>
    </xf>
    <xf numFmtId="3" fontId="56" fillId="0" borderId="89" xfId="43" applyNumberFormat="1" applyFont="1" applyBorder="1"/>
    <xf numFmtId="167" fontId="137" fillId="14" borderId="0" xfId="1" applyNumberFormat="1" applyFont="1" applyFill="1"/>
    <xf numFmtId="0" fontId="63" fillId="14" borderId="0" xfId="0" applyFont="1" applyFill="1" applyAlignment="1">
      <alignment horizontal="left" vertical="top"/>
    </xf>
    <xf numFmtId="0" fontId="63" fillId="14" borderId="0" xfId="0" applyFont="1" applyFill="1" applyAlignment="1">
      <alignment horizontal="left"/>
    </xf>
    <xf numFmtId="0" fontId="124" fillId="0" borderId="10" xfId="0" applyFont="1" applyBorder="1" applyAlignment="1">
      <alignment horizontal="center" vertical="center" wrapText="1"/>
    </xf>
    <xf numFmtId="0" fontId="124" fillId="0" borderId="82" xfId="0" applyFont="1" applyBorder="1" applyAlignment="1">
      <alignment horizontal="center" vertical="center" wrapText="1"/>
    </xf>
    <xf numFmtId="0" fontId="0" fillId="0" borderId="0" xfId="0" applyAlignment="1">
      <alignment horizontal="center"/>
    </xf>
    <xf numFmtId="9" fontId="56" fillId="0" borderId="87" xfId="4" applyFont="1" applyBorder="1" applyAlignment="1">
      <alignment horizontal="left" wrapText="1"/>
    </xf>
    <xf numFmtId="9" fontId="56" fillId="0" borderId="26" xfId="4" applyFont="1" applyBorder="1" applyAlignment="1">
      <alignment horizontal="left" wrapText="1"/>
    </xf>
    <xf numFmtId="9" fontId="56" fillId="0" borderId="87" xfId="4" applyFont="1" applyFill="1" applyBorder="1" applyAlignment="1">
      <alignment horizontal="left" wrapText="1"/>
    </xf>
    <xf numFmtId="9" fontId="56" fillId="0" borderId="26" xfId="4" applyFont="1" applyFill="1" applyBorder="1" applyAlignment="1">
      <alignment horizontal="left" wrapText="1"/>
    </xf>
    <xf numFmtId="9" fontId="56" fillId="0" borderId="76" xfId="4" applyFont="1" applyFill="1" applyBorder="1" applyAlignment="1">
      <alignment horizontal="left" vertical="center" wrapText="1"/>
    </xf>
    <xf numFmtId="9" fontId="56" fillId="0" borderId="26" xfId="4" applyFont="1" applyFill="1" applyBorder="1" applyAlignment="1">
      <alignment horizontal="left" vertical="center" wrapText="1"/>
    </xf>
    <xf numFmtId="0" fontId="92" fillId="0" borderId="0" xfId="83" applyFont="1"/>
    <xf numFmtId="0" fontId="50" fillId="0" borderId="0" xfId="43"/>
    <xf numFmtId="0" fontId="91" fillId="0" borderId="0" xfId="83" applyFont="1"/>
    <xf numFmtId="9" fontId="56" fillId="12" borderId="66" xfId="2" applyFont="1" applyFill="1" applyBorder="1" applyAlignment="1">
      <alignment horizontal="right" vertical="center"/>
    </xf>
    <xf numFmtId="9" fontId="56" fillId="12" borderId="26" xfId="2" applyFont="1" applyFill="1" applyBorder="1" applyAlignment="1">
      <alignment horizontal="right" vertical="center"/>
    </xf>
    <xf numFmtId="9" fontId="56" fillId="0" borderId="66" xfId="2" applyFont="1" applyBorder="1" applyAlignment="1">
      <alignment horizontal="right" wrapText="1"/>
    </xf>
    <xf numFmtId="9" fontId="56" fillId="0" borderId="26" xfId="2" applyFont="1" applyBorder="1" applyAlignment="1">
      <alignment horizontal="right" wrapText="1"/>
    </xf>
    <xf numFmtId="3" fontId="67" fillId="8" borderId="76" xfId="43" applyNumberFormat="1" applyFont="1" applyFill="1" applyBorder="1" applyAlignment="1">
      <alignment horizontal="right" vertical="center"/>
    </xf>
    <xf numFmtId="3" fontId="67" fillId="8" borderId="26" xfId="43" applyNumberFormat="1" applyFont="1" applyFill="1" applyBorder="1" applyAlignment="1">
      <alignment horizontal="right" vertical="center"/>
    </xf>
    <xf numFmtId="9" fontId="67" fillId="8" borderId="76" xfId="2" applyFont="1" applyFill="1" applyBorder="1" applyAlignment="1">
      <alignment horizontal="right" vertical="center"/>
    </xf>
    <xf numFmtId="9" fontId="67" fillId="8" borderId="26" xfId="2" applyFont="1" applyFill="1" applyBorder="1" applyAlignment="1">
      <alignment horizontal="right" vertical="center"/>
    </xf>
    <xf numFmtId="3" fontId="56" fillId="0" borderId="76" xfId="43" applyNumberFormat="1" applyFont="1" applyBorder="1" applyAlignment="1">
      <alignment horizontal="right" vertical="center"/>
    </xf>
    <xf numFmtId="3" fontId="56" fillId="0" borderId="26" xfId="43" applyNumberFormat="1" applyFont="1" applyBorder="1" applyAlignment="1">
      <alignment horizontal="right" vertical="center"/>
    </xf>
    <xf numFmtId="3" fontId="56" fillId="0" borderId="76" xfId="43" applyNumberFormat="1" applyFont="1" applyBorder="1" applyAlignment="1">
      <alignment horizontal="right"/>
    </xf>
    <xf numFmtId="3" fontId="56" fillId="0" borderId="26" xfId="43" applyNumberFormat="1" applyFont="1" applyBorder="1" applyAlignment="1">
      <alignment horizontal="right"/>
    </xf>
    <xf numFmtId="0" fontId="63" fillId="14" borderId="0" xfId="0" applyFont="1" applyFill="1" applyAlignment="1">
      <alignment horizontal="left" vertical="top" wrapText="1"/>
    </xf>
    <xf numFmtId="0" fontId="63" fillId="14" borderId="0" xfId="0" applyFont="1" applyFill="1" applyAlignment="1">
      <alignment horizontal="left" wrapText="1"/>
    </xf>
  </cellXfs>
  <cellStyles count="329">
    <cellStyle name="20% - Accent1" xfId="118" builtinId="30" customBuiltin="1"/>
    <cellStyle name="20% - Accent1 2" xfId="178" xr:uid="{363495CB-4EFD-4075-8AF2-8C15E33F265E}"/>
    <cellStyle name="20% - Accent1 3" xfId="254" xr:uid="{E5B18DE7-613F-46E6-83F3-B8D166189AAE}"/>
    <cellStyle name="20% - Accent2" xfId="122" builtinId="34" customBuiltin="1"/>
    <cellStyle name="20% - Accent2 2" xfId="181" xr:uid="{A18B77CC-0EE2-4068-8D7D-EF36B82D4569}"/>
    <cellStyle name="20% - Accent2 3" xfId="257" xr:uid="{0B5741FD-8B26-42B3-AD92-C666C48C2E56}"/>
    <cellStyle name="20% - Accent3" xfId="126" builtinId="38" customBuiltin="1"/>
    <cellStyle name="20% - Accent3 2" xfId="184" xr:uid="{828B7FC4-D874-45AB-90C4-80E102CDA5BC}"/>
    <cellStyle name="20% - Accent3 3" xfId="260" xr:uid="{1E6C9157-3BCC-462D-A9DA-092044DD508A}"/>
    <cellStyle name="20% - Accent4" xfId="130" builtinId="42" customBuiltin="1"/>
    <cellStyle name="20% - Accent4 2" xfId="187" xr:uid="{D6C29F7D-F1D1-4B50-B51D-8C757C4F426E}"/>
    <cellStyle name="20% - Accent4 3" xfId="263" xr:uid="{C8AB55DE-1FCC-4428-9A86-267BA79876C2}"/>
    <cellStyle name="20% - Accent5" xfId="134" builtinId="46" customBuiltin="1"/>
    <cellStyle name="20% - Accent5 2" xfId="190" xr:uid="{FCD4D055-3930-49A6-8889-90B080C6E772}"/>
    <cellStyle name="20% - Accent5 3" xfId="266" xr:uid="{F587695F-375B-4967-B352-43DE04DA1E20}"/>
    <cellStyle name="20% - Accent6" xfId="138" builtinId="50" customBuiltin="1"/>
    <cellStyle name="20% - Accent6 2" xfId="193" xr:uid="{27DC87F4-78AB-4578-80CF-0B1BFA91BF76}"/>
    <cellStyle name="20% - Accent6 3" xfId="269" xr:uid="{6401CBB4-6642-461B-ACAA-8610AEB4F886}"/>
    <cellStyle name="20% no 1. izcēluma 2" xfId="148" xr:uid="{00000000-0005-0000-0000-000001000000}"/>
    <cellStyle name="20% no 1. izcēluma 3" xfId="221" xr:uid="{784540F9-359C-423E-BC1B-C1AEB3C33C54}"/>
    <cellStyle name="20% no 1. izcēluma 4" xfId="291" xr:uid="{9A5F063E-E35A-492C-BB8F-D1193F715CA3}"/>
    <cellStyle name="20% no 1. izcēluma 5" xfId="311" xr:uid="{597C57DC-09AE-4B25-85F8-E5A2FE1610F3}"/>
    <cellStyle name="20% no 2. izcēluma 2" xfId="150" xr:uid="{00000000-0005-0000-0000-000003000000}"/>
    <cellStyle name="20% no 2. izcēluma 3" xfId="224" xr:uid="{825A49D2-CB0F-4EA0-883E-62C47A8A74EE}"/>
    <cellStyle name="20% no 2. izcēluma 4" xfId="294" xr:uid="{570A7799-FCA2-470F-8DEB-14D159827883}"/>
    <cellStyle name="20% no 2. izcēluma 5" xfId="314" xr:uid="{2291D85C-FC7D-46A5-8603-D5B8B5572186}"/>
    <cellStyle name="20% no 3. izcēluma 2" xfId="152" xr:uid="{00000000-0005-0000-0000-000005000000}"/>
    <cellStyle name="20% no 3. izcēluma 3" xfId="227" xr:uid="{BDB0685F-E89F-4E5B-8878-13EC8CEB3F6B}"/>
    <cellStyle name="20% no 3. izcēluma 4" xfId="297" xr:uid="{FADBEC5B-90F9-4043-9A0B-9C4C32C01783}"/>
    <cellStyle name="20% no 3. izcēluma 5" xfId="317" xr:uid="{0DF69524-4A0F-42D0-B664-2E5954611DF2}"/>
    <cellStyle name="20% no 4. izcēluma 2" xfId="154" xr:uid="{00000000-0005-0000-0000-000007000000}"/>
    <cellStyle name="20% no 4. izcēluma 3" xfId="230" xr:uid="{A8DB4D5F-6BB0-4C95-BF37-19DF26094270}"/>
    <cellStyle name="20% no 4. izcēluma 4" xfId="300" xr:uid="{CB2C0813-EF94-4DE4-A397-B37898DC7994}"/>
    <cellStyle name="20% no 4. izcēluma 5" xfId="320" xr:uid="{50411459-29A0-41BE-9B03-9A8E7E6F336B}"/>
    <cellStyle name="20% no 5. izcēluma 2" xfId="156" xr:uid="{00000000-0005-0000-0000-000009000000}"/>
    <cellStyle name="20% no 5. izcēluma 3" xfId="233" xr:uid="{A32F06B0-3F09-44A7-8CC2-04FCC134D7A2}"/>
    <cellStyle name="20% no 5. izcēluma 4" xfId="303" xr:uid="{5125DE62-4F25-4E20-AE79-BCD92B6132EF}"/>
    <cellStyle name="20% no 5. izcēluma 5" xfId="323" xr:uid="{96D944B2-3D88-49BA-8244-3F36ECEC7F22}"/>
    <cellStyle name="20% no 6. izcēluma 2" xfId="158" xr:uid="{00000000-0005-0000-0000-00000B000000}"/>
    <cellStyle name="20% no 6. izcēluma 3" xfId="236" xr:uid="{D91FA401-D48B-4953-A089-E6168A38A39B}"/>
    <cellStyle name="20% no 6. izcēluma 4" xfId="306" xr:uid="{E42FA86C-3F1C-4E26-AE77-9FEF4111EA57}"/>
    <cellStyle name="20% no 6. izcēluma 5" xfId="326" xr:uid="{EA428D3A-00FC-4B88-A38B-A09D6986F58D}"/>
    <cellStyle name="40% - Accent1" xfId="119" builtinId="31" customBuiltin="1"/>
    <cellStyle name="40% - Accent1 2" xfId="179" xr:uid="{52F15773-EEB9-4FAB-B1D0-72EF0155F97D}"/>
    <cellStyle name="40% - Accent1 3" xfId="255" xr:uid="{3E5A396A-0448-4C32-9011-01F9C66BC61D}"/>
    <cellStyle name="40% - Accent2" xfId="123" builtinId="35" customBuiltin="1"/>
    <cellStyle name="40% - Accent2 2" xfId="182" xr:uid="{3B8FAB79-3B2B-45F3-A5EB-B230A3278B50}"/>
    <cellStyle name="40% - Accent2 3" xfId="258" xr:uid="{1181E458-A323-45CD-9455-A05C791EED05}"/>
    <cellStyle name="40% - Accent3" xfId="127" builtinId="39" customBuiltin="1"/>
    <cellStyle name="40% - Accent3 2" xfId="185" xr:uid="{2B662775-B899-4B35-8D7E-FCE4CD58456D}"/>
    <cellStyle name="40% - Accent3 3" xfId="261" xr:uid="{9AF3EAC6-520A-4CDF-9CAA-4E7F85768EEB}"/>
    <cellStyle name="40% - Accent4" xfId="131" builtinId="43" customBuiltin="1"/>
    <cellStyle name="40% - Accent4 2" xfId="188" xr:uid="{64C688F0-7CEF-4FE8-9E4F-59C5F7B42BEF}"/>
    <cellStyle name="40% - Accent4 3" xfId="264" xr:uid="{4CD6D80D-3FF9-4D61-B545-31BC888C668F}"/>
    <cellStyle name="40% - Accent5" xfId="135" builtinId="47" customBuiltin="1"/>
    <cellStyle name="40% - Accent5 2" xfId="191" xr:uid="{AF63A63F-2393-4DDD-B11E-1E8547F0F85D}"/>
    <cellStyle name="40% - Accent5 3" xfId="267" xr:uid="{549B5969-3EB4-4DD1-BDD8-95D7A6E0C93E}"/>
    <cellStyle name="40% - Accent6" xfId="139" builtinId="51" customBuiltin="1"/>
    <cellStyle name="40% - Accent6 2" xfId="194" xr:uid="{3A5C1458-F927-4ED5-9DF6-2B52D0C9B7BA}"/>
    <cellStyle name="40% - Accent6 3" xfId="270" xr:uid="{0D42A310-8352-4F0C-A4E1-061959AAB9CB}"/>
    <cellStyle name="40% no 1. izcēluma 2" xfId="149" xr:uid="{00000000-0005-0000-0000-00000D000000}"/>
    <cellStyle name="40% no 1. izcēluma 3" xfId="222" xr:uid="{79A19D2E-A8A2-4715-83EE-F09F8D21670E}"/>
    <cellStyle name="40% no 1. izcēluma 4" xfId="292" xr:uid="{AA301BD9-2E8A-4E8F-96CA-536C68EC720E}"/>
    <cellStyle name="40% no 1. izcēluma 5" xfId="312" xr:uid="{1626B5D4-66DE-44A1-ACD3-D5E8FCB7087C}"/>
    <cellStyle name="40% no 2. izcēluma 2" xfId="151" xr:uid="{00000000-0005-0000-0000-00000F000000}"/>
    <cellStyle name="40% no 2. izcēluma 3" xfId="225" xr:uid="{6D9775AC-6734-46A7-8000-8D06F849011F}"/>
    <cellStyle name="40% no 2. izcēluma 4" xfId="295" xr:uid="{5C52B775-BC1C-4B3E-B437-C84A210FF11C}"/>
    <cellStyle name="40% no 2. izcēluma 5" xfId="315" xr:uid="{45D44B65-7989-43A5-93A3-DF617C616786}"/>
    <cellStyle name="40% no 3. izcēluma 2" xfId="153" xr:uid="{00000000-0005-0000-0000-000011000000}"/>
    <cellStyle name="40% no 3. izcēluma 3" xfId="228" xr:uid="{1DBDB1B2-71C4-4862-AD1C-CDF14924E251}"/>
    <cellStyle name="40% no 3. izcēluma 4" xfId="298" xr:uid="{71DB1057-1042-4D89-BA7B-EC2DEF3B4B3D}"/>
    <cellStyle name="40% no 3. izcēluma 5" xfId="318" xr:uid="{7511ED00-E917-4F59-AE42-43D154D728E7}"/>
    <cellStyle name="40% no 4. izcēluma 2" xfId="155" xr:uid="{00000000-0005-0000-0000-000013000000}"/>
    <cellStyle name="40% no 4. izcēluma 3" xfId="231" xr:uid="{4A868E76-6305-44D7-A20B-7EEE03FAFAB6}"/>
    <cellStyle name="40% no 4. izcēluma 4" xfId="301" xr:uid="{9CC6FB48-9F66-4708-85B8-85397A9B79BC}"/>
    <cellStyle name="40% no 4. izcēluma 5" xfId="321" xr:uid="{F63DC069-D7F1-4251-9284-2D3EB7C8775D}"/>
    <cellStyle name="40% no 5. izcēluma 2" xfId="157" xr:uid="{00000000-0005-0000-0000-000015000000}"/>
    <cellStyle name="40% no 5. izcēluma 3" xfId="234" xr:uid="{4F8CC661-C589-4E31-9949-FDD729F9FFE2}"/>
    <cellStyle name="40% no 5. izcēluma 4" xfId="304" xr:uid="{EF6D5159-2B4E-47F1-83AE-6E140D63093C}"/>
    <cellStyle name="40% no 5. izcēluma 5" xfId="324" xr:uid="{FB2F11D1-AF3F-4808-83FD-2205B0C0CCA7}"/>
    <cellStyle name="40% no 6. izcēluma 2" xfId="159" xr:uid="{00000000-0005-0000-0000-000017000000}"/>
    <cellStyle name="40% no 6. izcēluma 3" xfId="237" xr:uid="{21B6D52D-3270-4A1B-841E-69E38C4EE0ED}"/>
    <cellStyle name="40% no 6. izcēluma 4" xfId="307" xr:uid="{0DB94084-4E67-4794-937F-E3E1599C29CB}"/>
    <cellStyle name="40% no 6. izcēluma 5" xfId="327" xr:uid="{C17B50F9-B7EE-4B14-BF28-3E6F9F3048D3}"/>
    <cellStyle name="60% - Accent1" xfId="120" builtinId="32" customBuiltin="1"/>
    <cellStyle name="60% - Accent1 2" xfId="180" xr:uid="{2FF805B4-7736-476D-9441-E38DA002F17C}"/>
    <cellStyle name="60% - Accent1 3" xfId="256" xr:uid="{1D71ECB8-1786-4327-A481-1DBC41CD12F6}"/>
    <cellStyle name="60% - Accent2" xfId="124" builtinId="36" customBuiltin="1"/>
    <cellStyle name="60% - Accent2 2" xfId="183" xr:uid="{C36BDC48-DDDB-44C7-9E4B-3FEFC6C7EE83}"/>
    <cellStyle name="60% - Accent2 3" xfId="259" xr:uid="{1FE7452F-6B7B-4BB2-8685-1812FF4DC364}"/>
    <cellStyle name="60% - Accent3" xfId="128" builtinId="40" customBuiltin="1"/>
    <cellStyle name="60% - Accent3 2" xfId="186" xr:uid="{129DABD0-E58B-4402-90C0-1CDA297E49E8}"/>
    <cellStyle name="60% - Accent3 3" xfId="262" xr:uid="{08802A62-7D09-45F3-ADFC-7526242635C2}"/>
    <cellStyle name="60% - Accent4" xfId="132" builtinId="44" customBuiltin="1"/>
    <cellStyle name="60% - Accent4 2" xfId="189" xr:uid="{4DF1C865-0303-4E8E-8163-9614765FC054}"/>
    <cellStyle name="60% - Accent4 3" xfId="265" xr:uid="{68A38B11-F7FC-4586-93CC-9F039F4577DA}"/>
    <cellStyle name="60% - Accent5" xfId="136" builtinId="48" customBuiltin="1"/>
    <cellStyle name="60% - Accent5 2" xfId="192" xr:uid="{49CE04F7-7C67-4035-B478-D5A0BC67A4F9}"/>
    <cellStyle name="60% - Accent5 3" xfId="268" xr:uid="{B7B32AEA-8954-41E2-ACA2-AF1C9415F3A5}"/>
    <cellStyle name="60% - Accent6" xfId="140" builtinId="52" customBuiltin="1"/>
    <cellStyle name="60% - Accent6 2" xfId="195" xr:uid="{E49FFC8E-C988-475A-9C83-E9CFCB701DBF}"/>
    <cellStyle name="60% - Accent6 3" xfId="271" xr:uid="{CE0272C9-98EC-4F79-8EFD-9FFA00968D36}"/>
    <cellStyle name="60% no 1. izcēluma 2" xfId="223" xr:uid="{BACF85F9-4A7D-4C85-89B8-81505C9E67CC}"/>
    <cellStyle name="60% no 1. izcēluma 3" xfId="293" xr:uid="{6E6DDF74-1124-452E-8DEA-BE136C66FD35}"/>
    <cellStyle name="60% no 1. izcēluma 4" xfId="313" xr:uid="{FD9E8D96-C712-462C-8C77-1F9F40495FB6}"/>
    <cellStyle name="60% no 2. izcēluma 2" xfId="226" xr:uid="{E8127104-1405-4FB8-A7A8-A9AC3EFE9E68}"/>
    <cellStyle name="60% no 2. izcēluma 3" xfId="296" xr:uid="{8E8CF635-DE1E-48BD-9894-6B0ED7F30586}"/>
    <cellStyle name="60% no 2. izcēluma 4" xfId="316" xr:uid="{8C110840-DBE8-42A4-B129-6FA4AE31D5A2}"/>
    <cellStyle name="60% no 3. izcēluma 2" xfId="229" xr:uid="{DF56DC40-6B6E-4ECB-9EB0-25F22FE902E7}"/>
    <cellStyle name="60% no 3. izcēluma 3" xfId="299" xr:uid="{AB6F73AB-E870-4C67-BCB8-91DE26B16151}"/>
    <cellStyle name="60% no 3. izcēluma 4" xfId="319" xr:uid="{05C04937-C729-444E-A89F-DD3EBC717066}"/>
    <cellStyle name="60% no 4. izcēluma 2" xfId="232" xr:uid="{B21BC850-C4D2-4CC5-A843-4B748E0B26A3}"/>
    <cellStyle name="60% no 4. izcēluma 3" xfId="302" xr:uid="{BB661609-EFCF-49F1-9834-CB5B796206BC}"/>
    <cellStyle name="60% no 4. izcēluma 4" xfId="322" xr:uid="{317F5FFD-B391-49E0-B954-B8BF4F0E3CEF}"/>
    <cellStyle name="60% no 5. izcēluma 2" xfId="235" xr:uid="{93DD5956-1773-4ED8-803E-11AD19B3C5C4}"/>
    <cellStyle name="60% no 5. izcēluma 3" xfId="305" xr:uid="{8E15DA69-81B4-4F76-BEB8-D54236B4D5FB}"/>
    <cellStyle name="60% no 5. izcēluma 4" xfId="325" xr:uid="{0895A06E-5B5E-4177-BD65-3E77CEDF170B}"/>
    <cellStyle name="60% no 6. izcēluma 2" xfId="238" xr:uid="{521FF28F-DC94-43B6-BBAC-663C1ED4DF4C}"/>
    <cellStyle name="60% no 6. izcēluma 3" xfId="308" xr:uid="{74A471CA-D70E-4D05-8BB8-D0BDEEE83208}"/>
    <cellStyle name="60% no 6. izcēluma 4" xfId="328" xr:uid="{8B75D909-116E-4F22-A6F2-2861B219AE89}"/>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2" xfId="217" xr:uid="{A6C95BC1-19F2-4D14-8F05-F1BCAFFD66B6}"/>
    <cellStyle name="Comma 2 2" xfId="25" xr:uid="{00000000-0005-0000-0000-000020000000}"/>
    <cellStyle name="Comma 2 3" xfId="275" xr:uid="{F9D5D71F-661B-4307-A0AF-6B2ED6BF2B9D}"/>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omma 8" xfId="287" xr:uid="{9E2421F4-A937-454D-A66C-D9ADB2C1194B}"/>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1" xr:uid="{B05EB464-085D-4EEA-BAF8-CC5AD2B4A2D0}"/>
    <cellStyle name="Komats 16" xfId="280" xr:uid="{AD548885-FD29-4088-8317-79BA9DC61C67}"/>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2" xr:uid="{21700D0F-48A2-4293-89BF-0015CF26507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6 8" xfId="283"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itrāls 2" xfId="219"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86" xr:uid="{FBEC95EE-F34F-4BDD-AB8C-AB89C986C816}"/>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2 5" xfId="274" xr:uid="{700C907F-C361-4212-BDF9-43011535042A}"/>
    <cellStyle name="Normal 21" xfId="284"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rmal 9 2" xfId="278" xr:uid="{AF77981C-2D49-4006-BAE6-6578AC2E2B9B}"/>
    <cellStyle name="Note 2" xfId="177" xr:uid="{AA97006D-4E69-4CC6-8481-354EBBA19CC9}"/>
    <cellStyle name="Note 3" xfId="215" xr:uid="{C0D84A79-D75B-4349-B990-6E2C649B60A1}"/>
    <cellStyle name="Note 4" xfId="253"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8" xr:uid="{72083EC4-2096-484B-8A5A-06F2502D7264}"/>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25" xfId="276" xr:uid="{712D909E-56D4-480F-9F0D-78B5687D6CA8}"/>
    <cellStyle name="Parasts 26" xfId="277" xr:uid="{459ACD10-50EE-4118-A1A5-79E12FA62099}"/>
    <cellStyle name="Parasts 27" xfId="279" xr:uid="{057DAC5B-D145-47A3-9416-66C3E75968A3}"/>
    <cellStyle name="Parasts 28" xfId="289" xr:uid="{EB6D980D-751B-4277-8703-96E68C00C4B4}"/>
    <cellStyle name="Parasts 29" xfId="309"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iezīme 5" xfId="290" xr:uid="{A9357EED-5A9A-43AB-B805-A978E58DCAD5}"/>
    <cellStyle name="Piezīme 6" xfId="310" xr:uid="{DCE696D9-8CA8-49F6-A174-CE21697177D7}"/>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1" xr:uid="{5D3D1976-3ACA-44D4-ABC5-B370AC9251A5}"/>
    <cellStyle name="Style 1" xfId="169" xr:uid="{00000000-0005-0000-0000-0000AA000000}"/>
    <cellStyle name="TableStyleLight1" xfId="285" xr:uid="{564DE8A6-361E-4F9C-9BA7-769CB6522B45}"/>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alūta 4" xfId="242" xr:uid="{E97C5B63-0097-415C-A38C-0E0328028B59}"/>
    <cellStyle name="Virsraksts 2 2" xfId="85" xr:uid="{00000000-0005-0000-0000-0000B0000000}"/>
    <cellStyle name="Warning Text" xfId="114" builtinId="11" customBuiltin="1"/>
  </cellStyles>
  <dxfs count="11">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0"/>
      <tableStyleElement type="headerRow" dxfId="9"/>
      <tableStyleElement type="totalRow" dxfId="8"/>
      <tableStyleElement type="lastColumn" dxfId="7"/>
      <tableStyleElement type="lastTotalCell" dxfId="6"/>
    </tableStyle>
  </tableStyles>
  <colors>
    <mruColors>
      <color rgb="FFFFFFCC"/>
      <color rgb="FFFFCC66"/>
      <color rgb="FFFFFF99"/>
      <color rgb="FF8E267F"/>
      <color rgb="FFFF8B8B"/>
      <color rgb="FF6CA644"/>
      <color rgb="FF0FA8C1"/>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9924168085369041"/>
          <c:y val="1.677304637483180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2025.g. 1. pusgads</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0BE-44CF-BB37-ECA97D4B58CE}"/>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58B-4CEC-8F82-F1B409F87F58}"/>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E58B-4CEC-8F82-F1B409F87F58}"/>
              </c:ext>
            </c:extLst>
          </c:dPt>
          <c:dPt>
            <c:idx val="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A-E58B-4CEC-8F82-F1B409F87F58}"/>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E58B-4CEC-8F82-F1B409F87F58}"/>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E58B-4CEC-8F82-F1B409F87F58}"/>
              </c:ext>
            </c:extLst>
          </c:dPt>
          <c:dPt>
            <c:idx val="1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5295-4FC9-9B8A-67C7A571446E}"/>
              </c:ext>
            </c:extLst>
          </c:dPt>
          <c:dPt>
            <c:idx val="15"/>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5295-4FC9-9B8A-67C7A571446E}"/>
              </c:ext>
            </c:extLst>
          </c:dPt>
          <c:dPt>
            <c:idx val="16"/>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295-4FC9-9B8A-67C7A571446E}"/>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Grafiki_budžeta_izpilde!$A$6:$A$22</c:f>
              <c:strCache>
                <c:ptCount val="17"/>
                <c:pt idx="0">
                  <c:v>IEŅĒMUMI kopā</c:v>
                </c:pt>
                <c:pt idx="1">
                  <c:v>1. Nodokļu ieņēmumi</c:v>
                </c:pt>
                <c:pt idx="2">
                  <c:v>1.1. Iedzīvotāju ienākuma nodoklis</c:v>
                </c:pt>
                <c:pt idx="3">
                  <c:v>1.2. Nekustamā īpašuma nodokļu ieņēmumi</c:v>
                </c:pt>
                <c:pt idx="4">
                  <c:v>1.3. Dabas resursu nodoklis un azartspēļu nodoklis</c:v>
                </c:pt>
                <c:pt idx="5">
                  <c:v>2. Valsts (pašvaldību) un kancelejas nodevas</c:v>
                </c:pt>
                <c:pt idx="6">
                  <c:v>3. Naudas sodi un sankcijas</c:v>
                </c:pt>
                <c:pt idx="7">
                  <c:v>4. Pārējie nenodokļu ieņēmumi</c:v>
                </c:pt>
                <c:pt idx="8">
                  <c:v>5. Ieņēmumi no pašvaldības īpašuma pārdošanas</c:v>
                </c:pt>
                <c:pt idx="9">
                  <c:v>6. Valsts budžeta transferti un projektu finansējums</c:v>
                </c:pt>
                <c:pt idx="10">
                  <c:v>6.1. Valsts budžeta transferti</c:v>
                </c:pt>
                <c:pt idx="11">
                  <c:v>6.2. ES struktūrfondu līdzekļi un aktivitāšu līdzfin.</c:v>
                </c:pt>
                <c:pt idx="12">
                  <c:v>7. Pašvaldību budžeta transferti</c:v>
                </c:pt>
                <c:pt idx="13">
                  <c:v>8. Budžeta iestāžu ieņēmumi</c:v>
                </c:pt>
                <c:pt idx="14">
                  <c:v>8.1. Maksa par izglītības pakalpojumiem u.c. ieņēmumi</c:v>
                </c:pt>
                <c:pt idx="15">
                  <c:v>8.2. Ieņēmumi par nomu un īri</c:v>
                </c:pt>
                <c:pt idx="16">
                  <c:v>8.3. Pārrobežu projektu ieņēmumi</c:v>
                </c:pt>
              </c:strCache>
            </c:strRef>
          </c:cat>
          <c:val>
            <c:numRef>
              <c:f>Grafiki_budžeta_izpilde!$D$6:$D$22</c:f>
              <c:numCache>
                <c:formatCode>0%</c:formatCode>
                <c:ptCount val="17"/>
                <c:pt idx="0">
                  <c:v>0.45762058849694398</c:v>
                </c:pt>
                <c:pt idx="1">
                  <c:v>0.4784677482363715</c:v>
                </c:pt>
                <c:pt idx="2">
                  <c:v>0.45000007820853294</c:v>
                </c:pt>
                <c:pt idx="3">
                  <c:v>0.81247050763855588</c:v>
                </c:pt>
                <c:pt idx="4">
                  <c:v>0.83285030769230761</c:v>
                </c:pt>
                <c:pt idx="5">
                  <c:v>0.54975683742884907</c:v>
                </c:pt>
                <c:pt idx="6">
                  <c:v>0.62042376923076925</c:v>
                </c:pt>
                <c:pt idx="7">
                  <c:v>1.4377174764890284</c:v>
                </c:pt>
                <c:pt idx="9">
                  <c:v>0.39148548400235705</c:v>
                </c:pt>
                <c:pt idx="10">
                  <c:v>0.64872993114060462</c:v>
                </c:pt>
                <c:pt idx="11">
                  <c:v>5.3242202422895735E-2</c:v>
                </c:pt>
                <c:pt idx="12">
                  <c:v>0.33886628571428573</c:v>
                </c:pt>
                <c:pt idx="13">
                  <c:v>0.69463988767850426</c:v>
                </c:pt>
                <c:pt idx="14">
                  <c:v>0.72273935998739169</c:v>
                </c:pt>
                <c:pt idx="15">
                  <c:v>0.59992959653398314</c:v>
                </c:pt>
                <c:pt idx="16">
                  <c:v>1.0187791883180952</c:v>
                </c:pt>
              </c:numCache>
            </c:numRef>
          </c:val>
          <c:extLst>
            <c:ext xmlns:c16="http://schemas.microsoft.com/office/drawing/2014/chart" uri="{C3380CC4-5D6E-409C-BE32-E72D297353CC}">
              <c16:uniqueId val="{0000000C-80BE-44CF-BB37-ECA97D4B58CE}"/>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Grafiki_budžeta_izpilde!$D$56</c:f>
              <c:strCache>
                <c:ptCount val="1"/>
                <c:pt idx="0">
                  <c:v>Izdevumu izpilde, %, 2025.g. 1. pusgads</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172-4793-95F1-0F2B152A96E2}"/>
              </c:ext>
            </c:extLst>
          </c:dPt>
          <c:dPt>
            <c:idx val="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A-96FB-4AF0-9D0D-BC9C21817BA5}"/>
              </c:ext>
            </c:extLst>
          </c:dPt>
          <c:dPt>
            <c:idx val="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B-96FB-4AF0-9D0D-BC9C21817BA5}"/>
              </c:ext>
            </c:extLst>
          </c:dPt>
          <c:dPt>
            <c:idx val="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C-96FB-4AF0-9D0D-BC9C21817BA5}"/>
              </c:ext>
            </c:extLst>
          </c:dPt>
          <c:dPt>
            <c:idx val="1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0-96FB-4AF0-9D0D-BC9C21817BA5}"/>
              </c:ext>
            </c:extLst>
          </c:dPt>
          <c:dPt>
            <c:idx val="1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54A2-49C4-9107-D032EFAA6039}"/>
              </c:ext>
            </c:extLst>
          </c:dPt>
          <c:dPt>
            <c:idx val="1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1C7-4C8C-9093-0D1697AC3B96}"/>
              </c:ext>
            </c:extLst>
          </c:dPt>
          <c:dPt>
            <c:idx val="1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0-0032-4F42-BAE8-9E7DBA7C367A}"/>
              </c:ext>
            </c:extLst>
          </c:dPt>
          <c:dPt>
            <c:idx val="1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0032-4F42-BAE8-9E7DBA7C367A}"/>
              </c:ext>
            </c:extLst>
          </c:dPt>
          <c:dPt>
            <c:idx val="19"/>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2-0032-4F42-BAE8-9E7DBA7C367A}"/>
              </c:ext>
            </c:extLst>
          </c:dPt>
          <c:dPt>
            <c:idx val="2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0032-4F42-BAE8-9E7DBA7C367A}"/>
              </c:ext>
            </c:extLst>
          </c:dPt>
          <c:dPt>
            <c:idx val="2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4-0032-4F42-BAE8-9E7DBA7C367A}"/>
              </c:ext>
            </c:extLst>
          </c:dPt>
          <c:dPt>
            <c:idx val="2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5-1C50-496A-AC12-B5A391D1F2A9}"/>
              </c:ext>
            </c:extLst>
          </c:dPt>
          <c:dPt>
            <c:idx val="2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7-1C50-496A-AC12-B5A391D1F2A9}"/>
              </c:ext>
            </c:extLst>
          </c:dPt>
          <c:dPt>
            <c:idx val="2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9-1C50-496A-AC12-B5A391D1F2A9}"/>
              </c:ext>
            </c:extLst>
          </c:dPt>
          <c:dPt>
            <c:idx val="25"/>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1-54A2-49C4-9107-D032EFAA6039}"/>
              </c:ext>
            </c:extLst>
          </c:dPt>
          <c:dPt>
            <c:idx val="26"/>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3-54A2-49C4-9107-D032EFAA6039}"/>
              </c:ext>
            </c:extLst>
          </c:dPt>
          <c:dPt>
            <c:idx val="2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5-54A2-49C4-9107-D032EFAA6039}"/>
              </c:ext>
            </c:extLst>
          </c:dPt>
          <c:dPt>
            <c:idx val="2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7-54A2-49C4-9107-D032EFAA6039}"/>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Grafiki_budžeta_izpilde!$A$57:$A$86</c:f>
              <c:strCache>
                <c:ptCount val="30"/>
                <c:pt idx="0">
                  <c:v>IZDEVUMI kopā</c:v>
                </c:pt>
                <c:pt idx="1">
                  <c:v>1. Vispārējie valdības dienesti</c:v>
                </c:pt>
                <c:pt idx="2">
                  <c:v>1.1. Pārvalde, deputāti, komisijas</c:v>
                </c:pt>
                <c:pt idx="3">
                  <c:v>1.2. Aizņēmumu procentu maksājumi</c:v>
                </c:pt>
                <c:pt idx="4">
                  <c:v>1.3. Iemaksas PFIF</c:v>
                </c:pt>
                <c:pt idx="5">
                  <c:v>2. Sabiedriskā kārtība un drošība (bāze)</c:v>
                </c:pt>
                <c:pt idx="6">
                  <c:v>3. Sabiedriskās attiecības, laikraksts</c:v>
                </c:pt>
                <c:pt idx="7">
                  <c:v>4. Autoceļu fonds</c:v>
                </c:pt>
                <c:pt idx="8">
                  <c:v>5. Vides aizsardzība (DRN izlietojums)</c:v>
                </c:pt>
                <c:pt idx="9">
                  <c:v>6. Pašv. teritoriju un mājokļu apsaimniekošana</c:v>
                </c:pt>
                <c:pt idx="10">
                  <c:v>6.1. APN, NĪN, TPN, Būvvalde</c:v>
                </c:pt>
                <c:pt idx="11">
                  <c:v>6.2. Teritorijas uzturēšana</c:v>
                </c:pt>
                <c:pt idx="12">
                  <c:v>6.3. Izdevumi neparedzētiem gadījumiem, līdzdalības budžets</c:v>
                </c:pt>
                <c:pt idx="13">
                  <c:v>6.4. Projekti</c:v>
                </c:pt>
                <c:pt idx="14">
                  <c:v>7. Atpūta, kultūra un reliģija</c:v>
                </c:pt>
                <c:pt idx="15">
                  <c:v>8. Sociālā aizsardzība</c:v>
                </c:pt>
                <c:pt idx="16">
                  <c:v>9. Izglītība</c:v>
                </c:pt>
                <c:pt idx="17">
                  <c:v>9.1. Norēķini ar pašvaldībām par izglītības iestāžu pakalp.</c:v>
                </c:pt>
                <c:pt idx="18">
                  <c:v>9.2. Ādažu PII "Strautiņš"</c:v>
                </c:pt>
                <c:pt idx="19">
                  <c:v>9.3. Kadagas PII "Mežavēji"</c:v>
                </c:pt>
                <c:pt idx="20">
                  <c:v>9.4. Carnikavas PII "Riekstiņš"</c:v>
                </c:pt>
                <c:pt idx="21">
                  <c:v>9.5. Siguļu PII "Piejūra"</c:v>
                </c:pt>
                <c:pt idx="22">
                  <c:v>9.6. Privātās izglītības iestādes</c:v>
                </c:pt>
                <c:pt idx="23">
                  <c:v>9.7. Carnikavas vidusskola</c:v>
                </c:pt>
                <c:pt idx="24">
                  <c:v>9.8. Ādažu vidusskola</c:v>
                </c:pt>
                <c:pt idx="25">
                  <c:v>9.9. Ādažu novada  Mākslu skola</c:v>
                </c:pt>
                <c:pt idx="26">
                  <c:v>9.10. Sporta skola</c:v>
                </c:pt>
                <c:pt idx="27">
                  <c:v>9.11. Izglītības un jauniešu lietu pārvalde </c:v>
                </c:pt>
                <c:pt idx="28">
                  <c:v>9.12. Projekti</c:v>
                </c:pt>
                <c:pt idx="29">
                  <c:v>10. Kredītu pamatsummas atmaksa</c:v>
                </c:pt>
              </c:strCache>
            </c:strRef>
          </c:cat>
          <c:val>
            <c:numRef>
              <c:f>Grafiki_budžeta_izpilde!$D$57:$D$86</c:f>
              <c:numCache>
                <c:formatCode>0%</c:formatCode>
                <c:ptCount val="30"/>
                <c:pt idx="0">
                  <c:v>0.33330413560713967</c:v>
                </c:pt>
                <c:pt idx="1">
                  <c:v>0.43910910403275477</c:v>
                </c:pt>
                <c:pt idx="2">
                  <c:v>0.40246804834805877</c:v>
                </c:pt>
                <c:pt idx="3">
                  <c:v>0.46031003234700701</c:v>
                </c:pt>
                <c:pt idx="4">
                  <c:v>0.44999999999999996</c:v>
                </c:pt>
                <c:pt idx="5">
                  <c:v>0.38614652370634717</c:v>
                </c:pt>
                <c:pt idx="6">
                  <c:v>0.39808363794126594</c:v>
                </c:pt>
                <c:pt idx="7">
                  <c:v>0.49326079003068274</c:v>
                </c:pt>
                <c:pt idx="8">
                  <c:v>4.8003119364429497E-2</c:v>
                </c:pt>
                <c:pt idx="9">
                  <c:v>0.17452167340599792</c:v>
                </c:pt>
                <c:pt idx="10">
                  <c:v>0.38419730157226056</c:v>
                </c:pt>
                <c:pt idx="11">
                  <c:v>0.38245840861306973</c:v>
                </c:pt>
                <c:pt idx="12">
                  <c:v>0</c:v>
                </c:pt>
                <c:pt idx="13">
                  <c:v>3.7813945461207511E-2</c:v>
                </c:pt>
                <c:pt idx="14">
                  <c:v>0.42788838770343141</c:v>
                </c:pt>
                <c:pt idx="15">
                  <c:v>0.40612702132963091</c:v>
                </c:pt>
                <c:pt idx="16">
                  <c:v>0.34124507577061231</c:v>
                </c:pt>
                <c:pt idx="17">
                  <c:v>0.53696552128877018</c:v>
                </c:pt>
                <c:pt idx="18">
                  <c:v>0.41616976877065043</c:v>
                </c:pt>
                <c:pt idx="19">
                  <c:v>0.42362255994182618</c:v>
                </c:pt>
                <c:pt idx="20">
                  <c:v>0.3892999878642413</c:v>
                </c:pt>
                <c:pt idx="21">
                  <c:v>0.37045929861390514</c:v>
                </c:pt>
                <c:pt idx="22">
                  <c:v>0.38523373253766308</c:v>
                </c:pt>
                <c:pt idx="23">
                  <c:v>0.43666667762752881</c:v>
                </c:pt>
                <c:pt idx="24">
                  <c:v>0.42673189499301067</c:v>
                </c:pt>
                <c:pt idx="25">
                  <c:v>0.49736776935129917</c:v>
                </c:pt>
                <c:pt idx="26">
                  <c:v>0.39201817607958889</c:v>
                </c:pt>
                <c:pt idx="27">
                  <c:v>0.26130643150051797</c:v>
                </c:pt>
                <c:pt idx="28">
                  <c:v>8.1488033445796103E-4</c:v>
                </c:pt>
                <c:pt idx="29">
                  <c:v>0.5272509929816781</c:v>
                </c:pt>
              </c:numCache>
            </c:numRef>
          </c:val>
          <c:extLst>
            <c:ext xmlns:c16="http://schemas.microsoft.com/office/drawing/2014/chart" uri="{C3380CC4-5D6E-409C-BE32-E72D297353CC}">
              <c16:uniqueId val="{00000002-B172-4793-95F1-0F2B152A96E2}"/>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60004</xdr:colOff>
      <xdr:row>3</xdr:row>
      <xdr:rowOff>137158</xdr:rowOff>
    </xdr:from>
    <xdr:to>
      <xdr:col>18</xdr:col>
      <xdr:colOff>66674</xdr:colOff>
      <xdr:row>27</xdr:row>
      <xdr:rowOff>49529</xdr:rowOff>
    </xdr:to>
    <xdr:graphicFrame macro="">
      <xdr:nvGraphicFramePr>
        <xdr:cNvPr id="2" name="Diagramma 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186692</xdr:colOff>
      <xdr:row>4</xdr:row>
      <xdr:rowOff>367666</xdr:rowOff>
    </xdr:from>
    <xdr:to>
      <xdr:col>13</xdr:col>
      <xdr:colOff>220980</xdr:colOff>
      <xdr:row>4</xdr:row>
      <xdr:rowOff>592668</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2590359" y="1013249"/>
          <a:ext cx="637538" cy="22500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50%</a:t>
          </a:r>
        </a:p>
        <a:p>
          <a:pPr algn="ctr"/>
          <a:endParaRPr lang="lv-LV" sz="1100"/>
        </a:p>
      </xdr:txBody>
    </xdr:sp>
    <xdr:clientData/>
  </xdr:twoCellAnchor>
  <xdr:twoCellAnchor>
    <xdr:from>
      <xdr:col>4</xdr:col>
      <xdr:colOff>404493</xdr:colOff>
      <xdr:row>52</xdr:row>
      <xdr:rowOff>60114</xdr:rowOff>
    </xdr:from>
    <xdr:to>
      <xdr:col>18</xdr:col>
      <xdr:colOff>249766</xdr:colOff>
      <xdr:row>89</xdr:row>
      <xdr:rowOff>137584</xdr:rowOff>
    </xdr:to>
    <xdr:graphicFrame macro="">
      <xdr:nvGraphicFramePr>
        <xdr:cNvPr id="4" name="Diagramma 2">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0.64601</cdr:x>
      <cdr:y>0.16904</cdr:y>
    </cdr:from>
    <cdr:to>
      <cdr:x>0.64601</cdr:x>
      <cdr:y>0.95796</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6164380" y="724040"/>
          <a:ext cx="0" cy="3379172"/>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0.64546</cdr:x>
      <cdr:y>0.14118</cdr:y>
    </cdr:from>
    <cdr:to>
      <cdr:x>0.64546</cdr:x>
      <cdr:y>0.97285</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6054971" y="957003"/>
          <a:ext cx="0" cy="5637401"/>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0.60622</cdr:x>
      <cdr:y>0.0865</cdr:y>
    </cdr:from>
    <cdr:to>
      <cdr:x>0.67868</cdr:x>
      <cdr:y>0.12673</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5686857" y="586351"/>
          <a:ext cx="679737" cy="272695"/>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50%</a:t>
          </a:r>
        </a:p>
        <a:p xmlns:a="http://schemas.openxmlformats.org/drawingml/2006/main">
          <a:pPr algn="ctr"/>
          <a:endParaRPr lang="lv-LV" sz="1100"/>
        </a:p>
      </cdr:txBody>
    </cdr:sp>
  </cdr:relSizeAnchor>
</c:userShape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DC77-9937-4D78-9548-34F19689A63B}">
  <sheetPr codeName="Sheet4">
    <tabColor rgb="FFFF0000"/>
  </sheetPr>
  <dimension ref="B1:S500"/>
  <sheetViews>
    <sheetView workbookViewId="0">
      <selection activeCell="B26" sqref="B26"/>
    </sheetView>
  </sheetViews>
  <sheetFormatPr defaultRowHeight="11.4" x14ac:dyDescent="0.2"/>
  <cols>
    <col min="1" max="1" width="4.25" customWidth="1"/>
    <col min="2" max="2" width="114" style="4" customWidth="1"/>
    <col min="3" max="3" width="20.25" customWidth="1"/>
    <col min="4" max="4" width="15.75" customWidth="1"/>
    <col min="5" max="5" width="109.625" customWidth="1"/>
    <col min="12" max="12" width="62.875" customWidth="1"/>
    <col min="13" max="13" width="34.375" customWidth="1"/>
    <col min="15" max="15" width="13.625" customWidth="1"/>
    <col min="16" max="16" width="9.875" bestFit="1" customWidth="1"/>
    <col min="17" max="17" width="12.375" customWidth="1"/>
    <col min="19" max="19" width="13.75" customWidth="1"/>
  </cols>
  <sheetData>
    <row r="1" spans="2:15" s="152" customFormat="1" ht="26.4" x14ac:dyDescent="0.25">
      <c r="B1" s="255" t="s">
        <v>662</v>
      </c>
      <c r="D1" s="155" t="s">
        <v>668</v>
      </c>
      <c r="E1" s="153" t="s">
        <v>532</v>
      </c>
    </row>
    <row r="3" spans="2:15" ht="12.6" thickBot="1" x14ac:dyDescent="0.3">
      <c r="B3" s="158" t="s">
        <v>284</v>
      </c>
      <c r="C3" s="157"/>
      <c r="D3" t="s">
        <v>658</v>
      </c>
      <c r="E3" s="2" t="s">
        <v>669</v>
      </c>
    </row>
    <row r="4" spans="2:15" ht="14.4" thickBot="1" x14ac:dyDescent="0.3">
      <c r="B4" s="158" t="s">
        <v>1201</v>
      </c>
      <c r="C4" s="157"/>
      <c r="D4" t="s">
        <v>660</v>
      </c>
      <c r="E4" t="s">
        <v>659</v>
      </c>
      <c r="K4" s="528" t="s">
        <v>431</v>
      </c>
      <c r="L4" s="529"/>
      <c r="M4" s="211" t="s">
        <v>842</v>
      </c>
    </row>
    <row r="5" spans="2:15" ht="14.4" thickBot="1" x14ac:dyDescent="0.3">
      <c r="B5" s="158" t="s">
        <v>1202</v>
      </c>
      <c r="C5" s="157"/>
      <c r="D5" t="s">
        <v>539</v>
      </c>
      <c r="E5" t="s">
        <v>538</v>
      </c>
      <c r="K5" s="212"/>
      <c r="L5" s="213" t="s">
        <v>434</v>
      </c>
      <c r="M5" s="214" t="s">
        <v>828</v>
      </c>
      <c r="O5" s="44">
        <f>SUM(O6,O17,O18)</f>
        <v>61803978</v>
      </c>
    </row>
    <row r="6" spans="2:15" ht="14.4" thickBot="1" x14ac:dyDescent="0.3">
      <c r="B6" s="158" t="s">
        <v>1203</v>
      </c>
      <c r="C6" s="157"/>
      <c r="D6" t="s">
        <v>541</v>
      </c>
      <c r="E6" t="s">
        <v>540</v>
      </c>
      <c r="K6" s="215" t="s">
        <v>410</v>
      </c>
      <c r="L6" s="216" t="s">
        <v>411</v>
      </c>
      <c r="M6" s="214" t="s">
        <v>829</v>
      </c>
      <c r="O6" s="44">
        <f>SUM(O7:O16)</f>
        <v>50914203</v>
      </c>
    </row>
    <row r="7" spans="2:15" ht="14.4" thickBot="1" x14ac:dyDescent="0.3">
      <c r="B7" s="158" t="s">
        <v>1204</v>
      </c>
      <c r="C7" s="157"/>
      <c r="D7" t="s">
        <v>543</v>
      </c>
      <c r="E7" t="s">
        <v>542</v>
      </c>
      <c r="K7" s="217" t="s">
        <v>435</v>
      </c>
      <c r="L7" s="218" t="s">
        <v>436</v>
      </c>
      <c r="M7" s="219" t="s">
        <v>830</v>
      </c>
      <c r="O7" s="44">
        <v>34831773</v>
      </c>
    </row>
    <row r="8" spans="2:15" ht="14.4" thickBot="1" x14ac:dyDescent="0.3">
      <c r="B8" s="158" t="s">
        <v>1205</v>
      </c>
      <c r="C8" s="157"/>
      <c r="D8" t="s">
        <v>545</v>
      </c>
      <c r="E8" t="s">
        <v>544</v>
      </c>
      <c r="K8" s="217" t="s">
        <v>437</v>
      </c>
      <c r="L8" s="218" t="s">
        <v>438</v>
      </c>
      <c r="M8" s="220">
        <v>3172851</v>
      </c>
      <c r="O8" s="44">
        <v>3172851</v>
      </c>
    </row>
    <row r="9" spans="2:15" ht="14.4" thickBot="1" x14ac:dyDescent="0.3">
      <c r="B9" s="158" t="s">
        <v>398</v>
      </c>
      <c r="C9" s="157"/>
      <c r="D9" t="s">
        <v>40</v>
      </c>
      <c r="E9" t="s">
        <v>546</v>
      </c>
      <c r="K9" s="217" t="s">
        <v>831</v>
      </c>
      <c r="L9" s="218" t="s">
        <v>464</v>
      </c>
      <c r="M9" s="219" t="s">
        <v>832</v>
      </c>
      <c r="O9" s="44">
        <v>70000</v>
      </c>
    </row>
    <row r="10" spans="2:15" ht="14.4" thickBot="1" x14ac:dyDescent="0.3">
      <c r="B10" s="158" t="s">
        <v>278</v>
      </c>
      <c r="C10" s="157"/>
      <c r="D10" t="s">
        <v>548</v>
      </c>
      <c r="E10" t="s">
        <v>547</v>
      </c>
      <c r="K10" s="217" t="s">
        <v>40</v>
      </c>
      <c r="L10" s="218" t="s">
        <v>439</v>
      </c>
      <c r="M10" s="220">
        <v>160000</v>
      </c>
      <c r="O10" s="44">
        <v>160000</v>
      </c>
    </row>
    <row r="11" spans="2:15" ht="14.4" thickBot="1" x14ac:dyDescent="0.3">
      <c r="B11" s="158" t="s">
        <v>1206</v>
      </c>
      <c r="C11" s="157"/>
      <c r="D11" t="s">
        <v>550</v>
      </c>
      <c r="E11" t="s">
        <v>549</v>
      </c>
      <c r="K11" s="217" t="s">
        <v>67</v>
      </c>
      <c r="L11" s="218" t="s">
        <v>69</v>
      </c>
      <c r="M11" s="220">
        <v>65000</v>
      </c>
      <c r="O11" s="44">
        <v>65000</v>
      </c>
    </row>
    <row r="12" spans="2:15" ht="14.4" thickBot="1" x14ac:dyDescent="0.3">
      <c r="B12" s="158" t="s">
        <v>1207</v>
      </c>
      <c r="C12" s="157"/>
      <c r="D12" t="s">
        <v>552</v>
      </c>
      <c r="E12" t="s">
        <v>551</v>
      </c>
      <c r="K12" s="217" t="s">
        <v>75</v>
      </c>
      <c r="L12" s="218" t="s">
        <v>77</v>
      </c>
      <c r="M12" s="219" t="s">
        <v>833</v>
      </c>
      <c r="O12" s="44">
        <v>6453</v>
      </c>
    </row>
    <row r="13" spans="2:15" ht="14.4" thickBot="1" x14ac:dyDescent="0.3">
      <c r="B13" s="158" t="s">
        <v>1208</v>
      </c>
      <c r="C13" s="157"/>
      <c r="D13" t="s">
        <v>554</v>
      </c>
      <c r="E13" t="s">
        <v>553</v>
      </c>
      <c r="K13" s="217" t="s">
        <v>440</v>
      </c>
      <c r="L13" s="218" t="s">
        <v>441</v>
      </c>
      <c r="M13" s="219" t="s">
        <v>834</v>
      </c>
      <c r="O13" s="44">
        <v>5856</v>
      </c>
    </row>
    <row r="14" spans="2:15" ht="14.4" thickBot="1" x14ac:dyDescent="0.3">
      <c r="B14" s="158" t="s">
        <v>1209</v>
      </c>
      <c r="C14" s="157"/>
      <c r="D14" t="s">
        <v>556</v>
      </c>
      <c r="E14" t="s">
        <v>555</v>
      </c>
      <c r="K14" s="221" t="s">
        <v>442</v>
      </c>
      <c r="L14" s="222" t="s">
        <v>87</v>
      </c>
      <c r="M14" s="219" t="s">
        <v>835</v>
      </c>
      <c r="O14" s="44">
        <v>10153512</v>
      </c>
    </row>
    <row r="15" spans="2:15" ht="14.4" thickBot="1" x14ac:dyDescent="0.3">
      <c r="B15" s="158" t="s">
        <v>1210</v>
      </c>
      <c r="C15" s="157"/>
      <c r="D15" t="s">
        <v>558</v>
      </c>
      <c r="E15" t="s">
        <v>557</v>
      </c>
      <c r="K15" s="217" t="s">
        <v>443</v>
      </c>
      <c r="L15" s="218" t="s">
        <v>444</v>
      </c>
      <c r="M15" s="220">
        <v>295000</v>
      </c>
      <c r="O15" s="44">
        <v>295000</v>
      </c>
    </row>
    <row r="16" spans="2:15" ht="14.4" thickBot="1" x14ac:dyDescent="0.3">
      <c r="B16" s="158" t="s">
        <v>281</v>
      </c>
      <c r="C16" s="157"/>
      <c r="D16" t="s">
        <v>560</v>
      </c>
      <c r="E16" t="s">
        <v>559</v>
      </c>
      <c r="K16" s="221" t="s">
        <v>445</v>
      </c>
      <c r="L16" s="223" t="s">
        <v>836</v>
      </c>
      <c r="M16" s="219" t="s">
        <v>837</v>
      </c>
      <c r="O16" s="44">
        <v>2153758</v>
      </c>
    </row>
    <row r="17" spans="2:15" ht="14.4" thickBot="1" x14ac:dyDescent="0.3">
      <c r="B17" s="158" t="s">
        <v>1211</v>
      </c>
      <c r="C17" s="157"/>
      <c r="D17" t="s">
        <v>75</v>
      </c>
      <c r="E17" t="s">
        <v>561</v>
      </c>
      <c r="K17" s="215" t="s">
        <v>838</v>
      </c>
      <c r="L17" s="216" t="s">
        <v>839</v>
      </c>
      <c r="M17" s="224" t="s">
        <v>840</v>
      </c>
      <c r="O17" s="44">
        <v>1873161</v>
      </c>
    </row>
    <row r="18" spans="2:15" ht="14.4" thickBot="1" x14ac:dyDescent="0.3">
      <c r="B18" s="158" t="s">
        <v>1212</v>
      </c>
      <c r="C18" s="157"/>
      <c r="D18" t="s">
        <v>563</v>
      </c>
      <c r="E18" t="s">
        <v>562</v>
      </c>
      <c r="K18" s="215" t="s">
        <v>446</v>
      </c>
      <c r="L18" s="225" t="s">
        <v>447</v>
      </c>
      <c r="M18" s="224" t="s">
        <v>841</v>
      </c>
      <c r="O18" s="44">
        <v>9016614</v>
      </c>
    </row>
    <row r="19" spans="2:15" ht="12.6" thickBot="1" x14ac:dyDescent="0.3">
      <c r="B19" s="158" t="s">
        <v>1213</v>
      </c>
      <c r="C19" s="157"/>
      <c r="D19" t="s">
        <v>565</v>
      </c>
      <c r="E19" t="s">
        <v>564</v>
      </c>
      <c r="K19" s="226"/>
      <c r="L19" s="227"/>
      <c r="M19" s="228"/>
    </row>
    <row r="20" spans="2:15" ht="14.4" thickBot="1" x14ac:dyDescent="0.3">
      <c r="B20" s="158" t="s">
        <v>1214</v>
      </c>
      <c r="C20" s="157"/>
      <c r="D20" t="s">
        <v>567</v>
      </c>
      <c r="E20" t="s">
        <v>566</v>
      </c>
      <c r="K20" s="229" t="s">
        <v>413</v>
      </c>
      <c r="L20" s="230" t="s">
        <v>448</v>
      </c>
      <c r="M20" s="236" t="s">
        <v>828</v>
      </c>
      <c r="O20" s="44">
        <f>SUM(O21,O30)</f>
        <v>61803979</v>
      </c>
    </row>
    <row r="21" spans="2:15" ht="14.4" thickBot="1" x14ac:dyDescent="0.3">
      <c r="B21" s="158" t="s">
        <v>1215</v>
      </c>
      <c r="C21" s="157"/>
      <c r="D21" t="s">
        <v>440</v>
      </c>
      <c r="E21" t="s">
        <v>568</v>
      </c>
      <c r="K21" s="231" t="s">
        <v>414</v>
      </c>
      <c r="L21" s="232" t="s">
        <v>415</v>
      </c>
      <c r="M21" s="224" t="s">
        <v>843</v>
      </c>
      <c r="O21" s="44">
        <f>SUM(O22:O29)</f>
        <v>58317824</v>
      </c>
    </row>
    <row r="22" spans="2:15" ht="14.4" thickBot="1" x14ac:dyDescent="0.3">
      <c r="B22" s="158" t="s">
        <v>1257</v>
      </c>
      <c r="C22" s="157"/>
      <c r="D22" t="s">
        <v>570</v>
      </c>
      <c r="E22" t="s">
        <v>569</v>
      </c>
      <c r="K22" s="233">
        <v>1</v>
      </c>
      <c r="L22" s="222" t="s">
        <v>143</v>
      </c>
      <c r="M22" s="237" t="s">
        <v>844</v>
      </c>
      <c r="O22" s="44">
        <v>11584926</v>
      </c>
    </row>
    <row r="23" spans="2:15" ht="14.4" thickBot="1" x14ac:dyDescent="0.3">
      <c r="B23" s="158" t="s">
        <v>867</v>
      </c>
      <c r="C23" s="157"/>
      <c r="D23" t="s">
        <v>572</v>
      </c>
      <c r="E23" t="s">
        <v>571</v>
      </c>
      <c r="K23" s="233">
        <v>3</v>
      </c>
      <c r="L23" s="222" t="s">
        <v>158</v>
      </c>
      <c r="M23" s="237" t="s">
        <v>845</v>
      </c>
      <c r="O23" s="44">
        <v>1032368</v>
      </c>
    </row>
    <row r="24" spans="2:15" ht="14.4" thickBot="1" x14ac:dyDescent="0.3">
      <c r="B24" s="158" t="s">
        <v>1216</v>
      </c>
      <c r="C24" s="157"/>
      <c r="D24" t="s">
        <v>574</v>
      </c>
      <c r="E24" t="s">
        <v>573</v>
      </c>
      <c r="K24" s="233">
        <v>4</v>
      </c>
      <c r="L24" s="222" t="s">
        <v>416</v>
      </c>
      <c r="M24" s="237" t="s">
        <v>846</v>
      </c>
      <c r="O24" s="44">
        <v>521949</v>
      </c>
    </row>
    <row r="25" spans="2:15" ht="14.4" thickBot="1" x14ac:dyDescent="0.3">
      <c r="B25" s="158" t="s">
        <v>1258</v>
      </c>
      <c r="C25" s="157"/>
      <c r="D25" t="s">
        <v>576</v>
      </c>
      <c r="E25" t="s">
        <v>575</v>
      </c>
      <c r="K25" s="233">
        <v>5</v>
      </c>
      <c r="L25" s="222" t="s">
        <v>427</v>
      </c>
      <c r="M25" s="238">
        <v>70000</v>
      </c>
      <c r="O25" s="44">
        <v>70000</v>
      </c>
    </row>
    <row r="26" spans="2:15" s="5" customFormat="1" ht="14.4" thickBot="1" x14ac:dyDescent="0.3">
      <c r="B26" s="158" t="s">
        <v>1217</v>
      </c>
      <c r="C26" s="167"/>
      <c r="D26" s="5" t="s">
        <v>442</v>
      </c>
      <c r="E26" s="5" t="s">
        <v>87</v>
      </c>
      <c r="K26" s="233">
        <v>6</v>
      </c>
      <c r="L26" s="222" t="s">
        <v>417</v>
      </c>
      <c r="M26" s="237" t="s">
        <v>847</v>
      </c>
      <c r="O26" s="168">
        <v>14182678</v>
      </c>
    </row>
    <row r="27" spans="2:15" ht="14.4" thickBot="1" x14ac:dyDescent="0.3">
      <c r="B27" s="158" t="s">
        <v>1259</v>
      </c>
      <c r="C27" s="157"/>
      <c r="D27" t="s">
        <v>578</v>
      </c>
      <c r="E27" t="s">
        <v>577</v>
      </c>
      <c r="K27" s="233">
        <v>8</v>
      </c>
      <c r="L27" s="222" t="s">
        <v>168</v>
      </c>
      <c r="M27" s="237" t="s">
        <v>848</v>
      </c>
      <c r="O27" s="44">
        <v>2519182</v>
      </c>
    </row>
    <row r="28" spans="2:15" ht="14.4" thickBot="1" x14ac:dyDescent="0.3">
      <c r="B28" s="158" t="s">
        <v>1260</v>
      </c>
      <c r="C28" s="157"/>
      <c r="D28" t="s">
        <v>580</v>
      </c>
      <c r="E28" t="s">
        <v>579</v>
      </c>
      <c r="K28" s="233">
        <v>9</v>
      </c>
      <c r="L28" s="222" t="s">
        <v>179</v>
      </c>
      <c r="M28" s="237" t="s">
        <v>849</v>
      </c>
      <c r="O28" s="44">
        <v>24609695</v>
      </c>
    </row>
    <row r="29" spans="2:15" ht="14.4" thickBot="1" x14ac:dyDescent="0.3">
      <c r="B29" s="158" t="s">
        <v>1218</v>
      </c>
      <c r="C29" s="157"/>
      <c r="D29" t="s">
        <v>582</v>
      </c>
      <c r="E29" t="s">
        <v>581</v>
      </c>
      <c r="K29" s="233">
        <v>10</v>
      </c>
      <c r="L29" s="222" t="s">
        <v>174</v>
      </c>
      <c r="M29" s="237" t="s">
        <v>850</v>
      </c>
      <c r="O29" s="44">
        <v>3797026</v>
      </c>
    </row>
    <row r="30" spans="2:15" ht="14.4" thickBot="1" x14ac:dyDescent="0.3">
      <c r="B30" s="158" t="s">
        <v>1261</v>
      </c>
      <c r="C30" s="157"/>
      <c r="D30" t="s">
        <v>584</v>
      </c>
      <c r="E30" t="s">
        <v>583</v>
      </c>
      <c r="K30" s="234" t="s">
        <v>449</v>
      </c>
      <c r="L30" s="235" t="s">
        <v>450</v>
      </c>
      <c r="M30" s="224" t="s">
        <v>851</v>
      </c>
      <c r="O30" s="44">
        <v>3486155</v>
      </c>
    </row>
    <row r="31" spans="2:15" ht="12" x14ac:dyDescent="0.25">
      <c r="B31" s="158" t="s">
        <v>1219</v>
      </c>
      <c r="C31" s="157"/>
      <c r="D31" t="s">
        <v>586</v>
      </c>
      <c r="E31" t="s">
        <v>585</v>
      </c>
    </row>
    <row r="32" spans="2:15" ht="12.6" thickBot="1" x14ac:dyDescent="0.3">
      <c r="B32" s="158" t="s">
        <v>1220</v>
      </c>
      <c r="C32" s="157"/>
      <c r="D32" t="s">
        <v>588</v>
      </c>
      <c r="E32" t="s">
        <v>587</v>
      </c>
    </row>
    <row r="33" spans="2:19" ht="14.4" thickBot="1" x14ac:dyDescent="0.3">
      <c r="B33" s="158" t="s">
        <v>1221</v>
      </c>
      <c r="C33" s="157"/>
      <c r="D33" t="s">
        <v>590</v>
      </c>
      <c r="E33" t="s">
        <v>589</v>
      </c>
      <c r="K33" s="229" t="s">
        <v>418</v>
      </c>
      <c r="L33" s="239" t="s">
        <v>419</v>
      </c>
      <c r="M33" s="240" t="s">
        <v>843</v>
      </c>
      <c r="O33" s="44">
        <v>58317823</v>
      </c>
      <c r="P33" s="44">
        <f>SUM(O34:O40)</f>
        <v>54588682</v>
      </c>
      <c r="Q33" s="44">
        <f>P33-O33</f>
        <v>-3729141</v>
      </c>
      <c r="S33" s="44">
        <v>54533533</v>
      </c>
    </row>
    <row r="34" spans="2:19" ht="14.4" thickBot="1" x14ac:dyDescent="0.3">
      <c r="B34" s="158" t="s">
        <v>1222</v>
      </c>
      <c r="C34" s="157"/>
      <c r="D34" t="s">
        <v>592</v>
      </c>
      <c r="E34" t="s">
        <v>591</v>
      </c>
      <c r="K34" s="233">
        <v>1000</v>
      </c>
      <c r="L34" s="241" t="s">
        <v>420</v>
      </c>
      <c r="M34" s="237" t="s">
        <v>852</v>
      </c>
      <c r="O34" s="44">
        <v>24369680</v>
      </c>
      <c r="S34" s="44">
        <v>21891642</v>
      </c>
    </row>
    <row r="35" spans="2:19" ht="14.4" thickBot="1" x14ac:dyDescent="0.3">
      <c r="B35" s="158" t="s">
        <v>1223</v>
      </c>
      <c r="C35" s="157"/>
      <c r="D35" t="s">
        <v>594</v>
      </c>
      <c r="E35" t="s">
        <v>593</v>
      </c>
      <c r="K35" s="233">
        <v>2000</v>
      </c>
      <c r="L35" s="241" t="s">
        <v>421</v>
      </c>
      <c r="M35" s="237" t="s">
        <v>853</v>
      </c>
      <c r="O35" s="44">
        <v>12837828</v>
      </c>
      <c r="S35" s="44">
        <v>14425880</v>
      </c>
    </row>
    <row r="36" spans="2:19" ht="14.4" thickBot="1" x14ac:dyDescent="0.3">
      <c r="B36" s="158" t="s">
        <v>388</v>
      </c>
      <c r="C36" s="157"/>
      <c r="D36" t="s">
        <v>596</v>
      </c>
      <c r="E36" t="s">
        <v>595</v>
      </c>
      <c r="K36" s="233">
        <v>3000</v>
      </c>
      <c r="L36" s="241" t="s">
        <v>423</v>
      </c>
      <c r="M36" s="237" t="s">
        <v>854</v>
      </c>
      <c r="O36" s="44">
        <v>192269</v>
      </c>
      <c r="S36" s="44">
        <v>224185</v>
      </c>
    </row>
    <row r="37" spans="2:19" ht="14.4" thickBot="1" x14ac:dyDescent="0.3">
      <c r="B37" s="158" t="s">
        <v>389</v>
      </c>
      <c r="C37" s="157"/>
      <c r="D37" t="s">
        <v>598</v>
      </c>
      <c r="E37" t="s">
        <v>597</v>
      </c>
      <c r="K37" s="233">
        <v>4000</v>
      </c>
      <c r="L37" s="241" t="s">
        <v>422</v>
      </c>
      <c r="M37" s="237" t="s">
        <v>855</v>
      </c>
      <c r="O37" s="44">
        <v>2229302</v>
      </c>
      <c r="S37" s="44">
        <v>1047339</v>
      </c>
    </row>
    <row r="38" spans="2:19" ht="14.4" thickBot="1" x14ac:dyDescent="0.3">
      <c r="B38" s="158" t="s">
        <v>1224</v>
      </c>
      <c r="C38" s="157"/>
      <c r="D38" t="s">
        <v>600</v>
      </c>
      <c r="E38" t="s">
        <v>599</v>
      </c>
      <c r="K38" s="233">
        <v>5000</v>
      </c>
      <c r="L38" s="222" t="s">
        <v>856</v>
      </c>
      <c r="M38" s="237" t="s">
        <v>857</v>
      </c>
      <c r="O38" s="44">
        <v>4408846</v>
      </c>
      <c r="S38" s="44">
        <v>8049231</v>
      </c>
    </row>
    <row r="39" spans="2:19" ht="14.4" thickBot="1" x14ac:dyDescent="0.3">
      <c r="B39" s="158" t="s">
        <v>1225</v>
      </c>
      <c r="C39" s="157"/>
      <c r="D39" t="s">
        <v>602</v>
      </c>
      <c r="E39" t="s">
        <v>601</v>
      </c>
      <c r="K39" s="233">
        <v>6000</v>
      </c>
      <c r="L39" s="241" t="s">
        <v>433</v>
      </c>
      <c r="M39" s="237" t="s">
        <v>858</v>
      </c>
      <c r="O39" s="44">
        <v>2064458</v>
      </c>
      <c r="S39" s="44">
        <v>2376538</v>
      </c>
    </row>
    <row r="40" spans="2:19" s="5" customFormat="1" ht="28.2" thickBot="1" x14ac:dyDescent="0.3">
      <c r="B40" s="158" t="s">
        <v>1226</v>
      </c>
      <c r="C40" s="167"/>
      <c r="D40" s="5" t="s">
        <v>604</v>
      </c>
      <c r="E40" s="5" t="s">
        <v>603</v>
      </c>
      <c r="K40" s="233">
        <v>7000</v>
      </c>
      <c r="L40" s="242" t="s">
        <v>451</v>
      </c>
      <c r="M40" s="237" t="s">
        <v>859</v>
      </c>
      <c r="O40" s="168">
        <v>8486299</v>
      </c>
      <c r="S40" s="168">
        <v>6518718</v>
      </c>
    </row>
    <row r="41" spans="2:19" ht="14.4" thickBot="1" x14ac:dyDescent="0.3">
      <c r="B41" s="158" t="s">
        <v>1227</v>
      </c>
      <c r="C41" s="157"/>
      <c r="D41" t="s">
        <v>606</v>
      </c>
      <c r="E41" t="s">
        <v>605</v>
      </c>
      <c r="K41" s="234" t="s">
        <v>449</v>
      </c>
      <c r="L41" s="235" t="s">
        <v>450</v>
      </c>
      <c r="M41" s="224" t="s">
        <v>851</v>
      </c>
      <c r="O41" s="44">
        <v>3486155</v>
      </c>
      <c r="S41" s="44">
        <v>3601890</v>
      </c>
    </row>
    <row r="42" spans="2:19" ht="12" x14ac:dyDescent="0.25">
      <c r="B42" s="158" t="s">
        <v>1228</v>
      </c>
      <c r="C42" s="157"/>
      <c r="D42" t="s">
        <v>608</v>
      </c>
      <c r="E42" t="s">
        <v>607</v>
      </c>
    </row>
    <row r="43" spans="2:19" ht="12" x14ac:dyDescent="0.25">
      <c r="B43" s="158" t="s">
        <v>1262</v>
      </c>
      <c r="C43" s="157"/>
      <c r="D43" t="s">
        <v>610</v>
      </c>
      <c r="E43" t="s">
        <v>609</v>
      </c>
    </row>
    <row r="44" spans="2:19" ht="12" x14ac:dyDescent="0.25">
      <c r="B44" s="158" t="s">
        <v>1263</v>
      </c>
      <c r="C44" s="157"/>
      <c r="D44" t="s">
        <v>612</v>
      </c>
      <c r="E44" t="s">
        <v>611</v>
      </c>
    </row>
    <row r="45" spans="2:19" ht="12" x14ac:dyDescent="0.25">
      <c r="B45" s="158" t="s">
        <v>1229</v>
      </c>
      <c r="C45" s="157"/>
      <c r="D45" t="s">
        <v>614</v>
      </c>
      <c r="E45" t="s">
        <v>613</v>
      </c>
    </row>
    <row r="46" spans="2:19" ht="12" x14ac:dyDescent="0.25">
      <c r="B46" s="158" t="s">
        <v>1230</v>
      </c>
      <c r="C46" s="157"/>
      <c r="D46" t="s">
        <v>616</v>
      </c>
      <c r="E46" t="s">
        <v>615</v>
      </c>
    </row>
    <row r="47" spans="2:19" ht="12" x14ac:dyDescent="0.25">
      <c r="B47" s="158" t="s">
        <v>1231</v>
      </c>
      <c r="C47" s="157"/>
      <c r="D47" t="s">
        <v>618</v>
      </c>
      <c r="E47" t="s">
        <v>617</v>
      </c>
    </row>
    <row r="48" spans="2:19" ht="12" x14ac:dyDescent="0.25">
      <c r="B48" s="158" t="s">
        <v>1232</v>
      </c>
      <c r="C48" s="157"/>
      <c r="D48" t="s">
        <v>620</v>
      </c>
      <c r="E48" t="s">
        <v>619</v>
      </c>
    </row>
    <row r="49" spans="2:5" ht="12" x14ac:dyDescent="0.25">
      <c r="B49" s="158" t="s">
        <v>1233</v>
      </c>
      <c r="C49" s="157"/>
      <c r="D49" t="s">
        <v>622</v>
      </c>
      <c r="E49" t="s">
        <v>621</v>
      </c>
    </row>
    <row r="50" spans="2:5" ht="12" x14ac:dyDescent="0.25">
      <c r="B50" s="158" t="s">
        <v>1234</v>
      </c>
      <c r="C50" s="157"/>
      <c r="D50" t="s">
        <v>671</v>
      </c>
      <c r="E50" t="s">
        <v>670</v>
      </c>
    </row>
    <row r="51" spans="2:5" ht="12" x14ac:dyDescent="0.25">
      <c r="B51" s="158" t="s">
        <v>1235</v>
      </c>
      <c r="C51" s="157"/>
      <c r="D51" t="s">
        <v>445</v>
      </c>
      <c r="E51" t="s">
        <v>114</v>
      </c>
    </row>
    <row r="52" spans="2:5" ht="12" x14ac:dyDescent="0.25">
      <c r="B52" s="158" t="s">
        <v>1236</v>
      </c>
      <c r="C52" s="157"/>
      <c r="D52" t="s">
        <v>624</v>
      </c>
      <c r="E52" t="s">
        <v>623</v>
      </c>
    </row>
    <row r="53" spans="2:5" ht="12" x14ac:dyDescent="0.25">
      <c r="B53" s="158" t="s">
        <v>1237</v>
      </c>
      <c r="C53" s="157"/>
      <c r="D53" t="s">
        <v>626</v>
      </c>
      <c r="E53" t="s">
        <v>625</v>
      </c>
    </row>
    <row r="54" spans="2:5" ht="12" x14ac:dyDescent="0.25">
      <c r="B54" s="158" t="s">
        <v>1238</v>
      </c>
      <c r="C54" s="157"/>
      <c r="D54" t="s">
        <v>628</v>
      </c>
      <c r="E54" t="s">
        <v>627</v>
      </c>
    </row>
    <row r="55" spans="2:5" ht="12" x14ac:dyDescent="0.25">
      <c r="B55" s="158" t="s">
        <v>1239</v>
      </c>
      <c r="C55" s="157"/>
      <c r="D55" t="s">
        <v>630</v>
      </c>
      <c r="E55" t="s">
        <v>629</v>
      </c>
    </row>
    <row r="56" spans="2:5" ht="12" x14ac:dyDescent="0.25">
      <c r="B56" s="158" t="s">
        <v>1240</v>
      </c>
      <c r="C56" s="157"/>
      <c r="D56" t="s">
        <v>632</v>
      </c>
      <c r="E56" t="s">
        <v>631</v>
      </c>
    </row>
    <row r="57" spans="2:5" s="5" customFormat="1" ht="12" x14ac:dyDescent="0.25">
      <c r="B57" s="158" t="s">
        <v>1241</v>
      </c>
      <c r="C57" s="167"/>
      <c r="D57" s="5" t="s">
        <v>634</v>
      </c>
      <c r="E57" s="5" t="s">
        <v>633</v>
      </c>
    </row>
    <row r="58" spans="2:5" s="5" customFormat="1" ht="12" x14ac:dyDescent="0.25">
      <c r="B58" s="158" t="s">
        <v>1242</v>
      </c>
      <c r="C58" s="167"/>
      <c r="D58" s="5" t="s">
        <v>636</v>
      </c>
      <c r="E58" s="5" t="s">
        <v>635</v>
      </c>
    </row>
    <row r="59" spans="2:5" s="5" customFormat="1" ht="12" x14ac:dyDescent="0.25">
      <c r="B59" s="158" t="s">
        <v>1243</v>
      </c>
      <c r="C59" s="167"/>
      <c r="D59" s="5" t="s">
        <v>638</v>
      </c>
      <c r="E59" s="5" t="s">
        <v>637</v>
      </c>
    </row>
    <row r="60" spans="2:5" s="5" customFormat="1" ht="12" x14ac:dyDescent="0.25">
      <c r="B60" s="158" t="s">
        <v>1244</v>
      </c>
      <c r="C60" s="167"/>
      <c r="D60" s="5" t="s">
        <v>640</v>
      </c>
      <c r="E60" s="5" t="s">
        <v>639</v>
      </c>
    </row>
    <row r="61" spans="2:5" s="5" customFormat="1" ht="12" x14ac:dyDescent="0.25">
      <c r="B61" s="158" t="s">
        <v>1245</v>
      </c>
      <c r="C61" s="167"/>
      <c r="D61" s="5" t="s">
        <v>642</v>
      </c>
      <c r="E61" s="5" t="s">
        <v>641</v>
      </c>
    </row>
    <row r="62" spans="2:5" s="5" customFormat="1" ht="12" x14ac:dyDescent="0.25">
      <c r="B62" s="158" t="s">
        <v>280</v>
      </c>
      <c r="C62" s="167"/>
      <c r="D62" s="5" t="s">
        <v>644</v>
      </c>
      <c r="E62" s="5" t="s">
        <v>643</v>
      </c>
    </row>
    <row r="63" spans="2:5" s="5" customFormat="1" ht="12" x14ac:dyDescent="0.25">
      <c r="B63" s="158" t="s">
        <v>1246</v>
      </c>
      <c r="C63" s="167"/>
      <c r="D63" s="5" t="s">
        <v>646</v>
      </c>
      <c r="E63" s="5" t="s">
        <v>645</v>
      </c>
    </row>
    <row r="64" spans="2:5" ht="12" x14ac:dyDescent="0.25">
      <c r="B64" s="158" t="s">
        <v>1247</v>
      </c>
      <c r="C64" s="157"/>
      <c r="D64" t="s">
        <v>648</v>
      </c>
      <c r="E64" t="s">
        <v>647</v>
      </c>
    </row>
    <row r="65" spans="2:5" ht="12" x14ac:dyDescent="0.25">
      <c r="B65" s="158" t="s">
        <v>1248</v>
      </c>
      <c r="C65" s="157"/>
      <c r="D65" t="s">
        <v>650</v>
      </c>
      <c r="E65" t="s">
        <v>649</v>
      </c>
    </row>
    <row r="66" spans="2:5" ht="12" x14ac:dyDescent="0.25">
      <c r="B66" s="158" t="s">
        <v>1249</v>
      </c>
      <c r="C66" s="157"/>
      <c r="D66" t="s">
        <v>652</v>
      </c>
      <c r="E66" t="s">
        <v>651</v>
      </c>
    </row>
    <row r="67" spans="2:5" ht="12" x14ac:dyDescent="0.25">
      <c r="B67" s="158" t="s">
        <v>1250</v>
      </c>
      <c r="C67" s="157"/>
      <c r="D67" t="s">
        <v>654</v>
      </c>
      <c r="E67" t="s">
        <v>653</v>
      </c>
    </row>
    <row r="68" spans="2:5" ht="12" x14ac:dyDescent="0.25">
      <c r="B68" s="158" t="s">
        <v>1251</v>
      </c>
      <c r="C68" s="157"/>
      <c r="D68" t="s">
        <v>656</v>
      </c>
      <c r="E68" t="s">
        <v>655</v>
      </c>
    </row>
    <row r="69" spans="2:5" ht="12" x14ac:dyDescent="0.25">
      <c r="B69" s="158" t="s">
        <v>1252</v>
      </c>
      <c r="C69" s="157"/>
    </row>
    <row r="70" spans="2:5" ht="12" x14ac:dyDescent="0.25">
      <c r="B70" s="158" t="s">
        <v>1253</v>
      </c>
      <c r="C70" s="157"/>
      <c r="D70" t="s">
        <v>658</v>
      </c>
      <c r="E70" s="2" t="s">
        <v>657</v>
      </c>
    </row>
    <row r="71" spans="2:5" ht="12" x14ac:dyDescent="0.25">
      <c r="B71" s="158" t="s">
        <v>1264</v>
      </c>
      <c r="C71" s="157"/>
      <c r="D71">
        <v>2</v>
      </c>
      <c r="E71" t="s">
        <v>659</v>
      </c>
    </row>
    <row r="72" spans="2:5" ht="12" x14ac:dyDescent="0.25">
      <c r="B72" s="158" t="s">
        <v>1265</v>
      </c>
      <c r="C72" s="157"/>
      <c r="D72">
        <v>0</v>
      </c>
      <c r="E72" t="s">
        <v>887</v>
      </c>
    </row>
    <row r="73" spans="2:5" ht="12" x14ac:dyDescent="0.25">
      <c r="B73" s="158" t="s">
        <v>1266</v>
      </c>
      <c r="C73" s="157"/>
      <c r="D73">
        <v>1000</v>
      </c>
      <c r="E73" t="s">
        <v>420</v>
      </c>
    </row>
    <row r="74" spans="2:5" ht="12" x14ac:dyDescent="0.25">
      <c r="B74" s="158" t="s">
        <v>1267</v>
      </c>
      <c r="C74" s="157"/>
      <c r="D74">
        <v>1100</v>
      </c>
      <c r="E74" t="s">
        <v>285</v>
      </c>
    </row>
    <row r="75" spans="2:5" ht="12" x14ac:dyDescent="0.25">
      <c r="B75" s="158" t="s">
        <v>1268</v>
      </c>
      <c r="C75" s="157"/>
      <c r="D75">
        <v>1110</v>
      </c>
      <c r="E75" t="s">
        <v>888</v>
      </c>
    </row>
    <row r="76" spans="2:5" ht="12" x14ac:dyDescent="0.25">
      <c r="B76" s="158" t="s">
        <v>1269</v>
      </c>
      <c r="C76" s="157"/>
      <c r="D76">
        <v>1111</v>
      </c>
      <c r="E76" t="s">
        <v>889</v>
      </c>
    </row>
    <row r="77" spans="2:5" ht="12" x14ac:dyDescent="0.25">
      <c r="B77" s="158" t="s">
        <v>1270</v>
      </c>
      <c r="C77" s="157"/>
      <c r="D77">
        <v>1112</v>
      </c>
      <c r="E77" t="s">
        <v>313</v>
      </c>
    </row>
    <row r="78" spans="2:5" ht="12" x14ac:dyDescent="0.25">
      <c r="B78" s="158" t="s">
        <v>1271</v>
      </c>
      <c r="C78" s="157"/>
      <c r="D78">
        <v>1113</v>
      </c>
      <c r="E78" t="s">
        <v>890</v>
      </c>
    </row>
    <row r="79" spans="2:5" ht="12" x14ac:dyDescent="0.25">
      <c r="B79" s="158" t="s">
        <v>1272</v>
      </c>
      <c r="C79" s="157"/>
      <c r="D79">
        <v>1114</v>
      </c>
      <c r="E79" t="s">
        <v>891</v>
      </c>
    </row>
    <row r="80" spans="2:5" ht="12" x14ac:dyDescent="0.25">
      <c r="B80" s="158" t="s">
        <v>1273</v>
      </c>
      <c r="C80" s="157"/>
      <c r="D80">
        <v>1115</v>
      </c>
      <c r="E80" t="s">
        <v>892</v>
      </c>
    </row>
    <row r="81" spans="2:5" ht="12" x14ac:dyDescent="0.25">
      <c r="B81" s="158" t="s">
        <v>1274</v>
      </c>
      <c r="C81" s="157"/>
      <c r="D81">
        <v>1116</v>
      </c>
      <c r="E81" t="s">
        <v>893</v>
      </c>
    </row>
    <row r="82" spans="2:5" ht="12" x14ac:dyDescent="0.25">
      <c r="B82" s="158" t="s">
        <v>1275</v>
      </c>
      <c r="C82" s="157"/>
      <c r="D82">
        <v>1119</v>
      </c>
      <c r="E82" t="s">
        <v>215</v>
      </c>
    </row>
    <row r="83" spans="2:5" ht="12" x14ac:dyDescent="0.25">
      <c r="B83" s="158" t="s">
        <v>283</v>
      </c>
      <c r="C83" s="157"/>
      <c r="D83">
        <v>1140</v>
      </c>
      <c r="E83" t="s">
        <v>894</v>
      </c>
    </row>
    <row r="84" spans="2:5" ht="12" x14ac:dyDescent="0.25">
      <c r="B84" s="158" t="s">
        <v>1276</v>
      </c>
      <c r="C84" s="157"/>
      <c r="D84">
        <v>1141</v>
      </c>
      <c r="E84" t="s">
        <v>218</v>
      </c>
    </row>
    <row r="85" spans="2:5" ht="12" x14ac:dyDescent="0.25">
      <c r="B85" s="158" t="s">
        <v>1277</v>
      </c>
      <c r="C85" s="157"/>
      <c r="D85">
        <v>1142</v>
      </c>
      <c r="E85" t="s">
        <v>206</v>
      </c>
    </row>
    <row r="86" spans="2:5" s="5" customFormat="1" ht="12" x14ac:dyDescent="0.25">
      <c r="B86" s="158" t="s">
        <v>1278</v>
      </c>
      <c r="C86" s="167"/>
      <c r="D86" s="5">
        <v>1143</v>
      </c>
      <c r="E86" s="5" t="s">
        <v>895</v>
      </c>
    </row>
    <row r="87" spans="2:5" s="5" customFormat="1" ht="12" x14ac:dyDescent="0.25">
      <c r="B87" s="158" t="s">
        <v>1279</v>
      </c>
      <c r="C87" s="167"/>
      <c r="D87" s="5">
        <v>1144</v>
      </c>
      <c r="E87" s="5" t="s">
        <v>896</v>
      </c>
    </row>
    <row r="88" spans="2:5" ht="12" x14ac:dyDescent="0.25">
      <c r="B88" s="158" t="s">
        <v>1280</v>
      </c>
      <c r="C88" s="157"/>
      <c r="D88">
        <v>1145</v>
      </c>
      <c r="E88" t="s">
        <v>468</v>
      </c>
    </row>
    <row r="89" spans="2:5" ht="12" x14ac:dyDescent="0.25">
      <c r="B89" s="158" t="s">
        <v>1281</v>
      </c>
      <c r="C89" s="157"/>
      <c r="D89">
        <v>1146</v>
      </c>
      <c r="E89" t="s">
        <v>310</v>
      </c>
    </row>
    <row r="90" spans="2:5" ht="12" x14ac:dyDescent="0.25">
      <c r="B90" s="158" t="s">
        <v>1282</v>
      </c>
      <c r="C90" s="157"/>
      <c r="D90">
        <v>1147</v>
      </c>
      <c r="E90" t="s">
        <v>282</v>
      </c>
    </row>
    <row r="91" spans="2:5" ht="12" x14ac:dyDescent="0.25">
      <c r="B91" s="158" t="s">
        <v>1283</v>
      </c>
      <c r="C91" s="157"/>
      <c r="D91">
        <v>1148</v>
      </c>
      <c r="E91" t="s">
        <v>537</v>
      </c>
    </row>
    <row r="92" spans="2:5" ht="12" x14ac:dyDescent="0.25">
      <c r="B92" s="158" t="s">
        <v>1284</v>
      </c>
      <c r="C92" s="157"/>
      <c r="D92">
        <v>1149</v>
      </c>
      <c r="E92" t="s">
        <v>378</v>
      </c>
    </row>
    <row r="93" spans="2:5" x14ac:dyDescent="0.2">
      <c r="B93" s="158" t="s">
        <v>525</v>
      </c>
      <c r="C93" s="5"/>
      <c r="D93">
        <v>1150</v>
      </c>
      <c r="E93" t="s">
        <v>517</v>
      </c>
    </row>
    <row r="94" spans="2:5" x14ac:dyDescent="0.2">
      <c r="B94" s="158"/>
      <c r="C94" s="5"/>
      <c r="D94">
        <v>1170</v>
      </c>
      <c r="E94" t="s">
        <v>295</v>
      </c>
    </row>
    <row r="95" spans="2:5" x14ac:dyDescent="0.2">
      <c r="C95" s="5"/>
      <c r="D95">
        <v>1200</v>
      </c>
      <c r="E95" t="s">
        <v>897</v>
      </c>
    </row>
    <row r="96" spans="2:5" x14ac:dyDescent="0.2">
      <c r="C96" s="5"/>
      <c r="D96">
        <v>1210</v>
      </c>
      <c r="E96" t="s">
        <v>276</v>
      </c>
    </row>
    <row r="97" spans="2:5" x14ac:dyDescent="0.2">
      <c r="C97" s="5"/>
      <c r="D97">
        <v>1220</v>
      </c>
      <c r="E97" t="s">
        <v>233</v>
      </c>
    </row>
    <row r="98" spans="2:5" x14ac:dyDescent="0.2">
      <c r="B98" s="158" t="s">
        <v>341</v>
      </c>
      <c r="C98" s="5"/>
      <c r="D98">
        <v>1221</v>
      </c>
      <c r="E98" t="s">
        <v>219</v>
      </c>
    </row>
    <row r="99" spans="2:5" x14ac:dyDescent="0.2">
      <c r="B99" s="158" t="s">
        <v>676</v>
      </c>
      <c r="C99" s="5"/>
      <c r="D99">
        <v>1222</v>
      </c>
      <c r="E99" t="s">
        <v>898</v>
      </c>
    </row>
    <row r="100" spans="2:5" x14ac:dyDescent="0.2">
      <c r="B100" s="158" t="s">
        <v>673</v>
      </c>
      <c r="C100" s="5"/>
      <c r="D100">
        <v>1223</v>
      </c>
      <c r="E100" t="s">
        <v>392</v>
      </c>
    </row>
    <row r="101" spans="2:5" x14ac:dyDescent="0.2">
      <c r="C101" s="5"/>
      <c r="D101">
        <v>1224</v>
      </c>
      <c r="E101" t="s">
        <v>899</v>
      </c>
    </row>
    <row r="102" spans="2:5" x14ac:dyDescent="0.2">
      <c r="C102" s="5"/>
      <c r="D102">
        <v>1225</v>
      </c>
      <c r="E102" t="s">
        <v>900</v>
      </c>
    </row>
    <row r="103" spans="2:5" x14ac:dyDescent="0.2">
      <c r="C103" s="5"/>
      <c r="D103">
        <v>1226</v>
      </c>
      <c r="E103" t="s">
        <v>901</v>
      </c>
    </row>
    <row r="104" spans="2:5" x14ac:dyDescent="0.2">
      <c r="C104" s="5"/>
      <c r="D104">
        <v>1227</v>
      </c>
      <c r="E104" t="s">
        <v>376</v>
      </c>
    </row>
    <row r="105" spans="2:5" x14ac:dyDescent="0.2">
      <c r="D105">
        <v>1228</v>
      </c>
      <c r="E105" t="s">
        <v>220</v>
      </c>
    </row>
    <row r="106" spans="2:5" x14ac:dyDescent="0.2">
      <c r="D106">
        <v>1230</v>
      </c>
      <c r="E106" t="s">
        <v>902</v>
      </c>
    </row>
    <row r="107" spans="2:5" x14ac:dyDescent="0.2">
      <c r="D107">
        <v>2000</v>
      </c>
      <c r="E107" t="s">
        <v>421</v>
      </c>
    </row>
    <row r="108" spans="2:5" x14ac:dyDescent="0.2">
      <c r="D108">
        <v>2100</v>
      </c>
      <c r="E108" t="s">
        <v>903</v>
      </c>
    </row>
    <row r="109" spans="2:5" x14ac:dyDescent="0.2">
      <c r="D109">
        <v>2110</v>
      </c>
      <c r="E109" t="s">
        <v>904</v>
      </c>
    </row>
    <row r="110" spans="2:5" x14ac:dyDescent="0.2">
      <c r="C110" s="156"/>
      <c r="D110">
        <v>2111</v>
      </c>
      <c r="E110" t="s">
        <v>667</v>
      </c>
    </row>
    <row r="111" spans="2:5" x14ac:dyDescent="0.2">
      <c r="C111" s="156"/>
      <c r="D111">
        <v>2112</v>
      </c>
      <c r="E111" t="s">
        <v>519</v>
      </c>
    </row>
    <row r="112" spans="2:5" x14ac:dyDescent="0.2">
      <c r="C112" s="156"/>
      <c r="D112">
        <v>2120</v>
      </c>
      <c r="E112" t="s">
        <v>905</v>
      </c>
    </row>
    <row r="113" spans="3:5" x14ac:dyDescent="0.2">
      <c r="C113" s="156"/>
      <c r="D113">
        <v>2121</v>
      </c>
      <c r="E113" t="s">
        <v>515</v>
      </c>
    </row>
    <row r="114" spans="3:5" x14ac:dyDescent="0.2">
      <c r="C114" s="156"/>
      <c r="D114">
        <v>2122</v>
      </c>
      <c r="E114" t="s">
        <v>516</v>
      </c>
    </row>
    <row r="115" spans="3:5" x14ac:dyDescent="0.2">
      <c r="C115" s="156"/>
      <c r="D115">
        <v>2200</v>
      </c>
      <c r="E115" t="s">
        <v>906</v>
      </c>
    </row>
    <row r="116" spans="3:5" x14ac:dyDescent="0.2">
      <c r="C116" s="156"/>
      <c r="D116">
        <v>2210</v>
      </c>
      <c r="E116" t="s">
        <v>365</v>
      </c>
    </row>
    <row r="117" spans="3:5" x14ac:dyDescent="0.2">
      <c r="C117" s="156"/>
      <c r="D117">
        <v>2211</v>
      </c>
      <c r="E117" t="s">
        <v>907</v>
      </c>
    </row>
    <row r="118" spans="3:5" x14ac:dyDescent="0.2">
      <c r="C118" s="156"/>
      <c r="D118">
        <v>2219</v>
      </c>
      <c r="E118" t="s">
        <v>908</v>
      </c>
    </row>
    <row r="119" spans="3:5" x14ac:dyDescent="0.2">
      <c r="C119" s="156"/>
      <c r="D119">
        <v>2210</v>
      </c>
      <c r="E119" t="s">
        <v>365</v>
      </c>
    </row>
    <row r="120" spans="3:5" x14ac:dyDescent="0.2">
      <c r="C120" s="156"/>
      <c r="D120">
        <v>2220</v>
      </c>
      <c r="E120" t="s">
        <v>909</v>
      </c>
    </row>
    <row r="121" spans="3:5" x14ac:dyDescent="0.2">
      <c r="C121" s="156"/>
      <c r="D121">
        <v>2221</v>
      </c>
      <c r="E121" t="s">
        <v>312</v>
      </c>
    </row>
    <row r="122" spans="3:5" x14ac:dyDescent="0.2">
      <c r="C122" s="156"/>
      <c r="D122">
        <v>2222</v>
      </c>
      <c r="E122" t="s">
        <v>221</v>
      </c>
    </row>
    <row r="123" spans="3:5" x14ac:dyDescent="0.2">
      <c r="C123" s="156"/>
      <c r="D123">
        <v>2223</v>
      </c>
      <c r="E123" t="s">
        <v>222</v>
      </c>
    </row>
    <row r="124" spans="3:5" x14ac:dyDescent="0.2">
      <c r="C124" s="156"/>
      <c r="D124">
        <v>2224</v>
      </c>
      <c r="E124" t="s">
        <v>522</v>
      </c>
    </row>
    <row r="125" spans="3:5" x14ac:dyDescent="0.2">
      <c r="C125" s="156"/>
      <c r="D125">
        <v>2229</v>
      </c>
      <c r="E125" t="s">
        <v>241</v>
      </c>
    </row>
    <row r="126" spans="3:5" x14ac:dyDescent="0.2">
      <c r="C126" s="156"/>
      <c r="D126">
        <v>2230</v>
      </c>
      <c r="E126" t="s">
        <v>910</v>
      </c>
    </row>
    <row r="127" spans="3:5" x14ac:dyDescent="0.2">
      <c r="C127" s="154"/>
      <c r="D127">
        <v>2231</v>
      </c>
      <c r="E127" t="s">
        <v>813</v>
      </c>
    </row>
    <row r="128" spans="3:5" x14ac:dyDescent="0.2">
      <c r="D128">
        <v>2232</v>
      </c>
      <c r="E128" t="s">
        <v>738</v>
      </c>
    </row>
    <row r="129" spans="4:5" x14ac:dyDescent="0.2">
      <c r="D129">
        <v>2233</v>
      </c>
      <c r="E129" t="s">
        <v>216</v>
      </c>
    </row>
    <row r="130" spans="4:5" x14ac:dyDescent="0.2">
      <c r="D130">
        <v>2234</v>
      </c>
      <c r="E130" t="s">
        <v>911</v>
      </c>
    </row>
    <row r="131" spans="4:5" x14ac:dyDescent="0.2">
      <c r="D131">
        <v>2235</v>
      </c>
      <c r="E131" t="s">
        <v>390</v>
      </c>
    </row>
    <row r="132" spans="4:5" x14ac:dyDescent="0.2">
      <c r="D132">
        <v>2236</v>
      </c>
      <c r="E132" t="s">
        <v>672</v>
      </c>
    </row>
    <row r="133" spans="4:5" x14ac:dyDescent="0.2">
      <c r="D133">
        <v>2237</v>
      </c>
      <c r="E133" t="s">
        <v>912</v>
      </c>
    </row>
    <row r="134" spans="4:5" x14ac:dyDescent="0.2">
      <c r="D134">
        <v>2238</v>
      </c>
      <c r="E134" t="s">
        <v>913</v>
      </c>
    </row>
    <row r="135" spans="4:5" x14ac:dyDescent="0.2">
      <c r="D135">
        <v>2239</v>
      </c>
      <c r="E135" t="s">
        <v>469</v>
      </c>
    </row>
    <row r="136" spans="4:5" x14ac:dyDescent="0.2">
      <c r="D136">
        <v>2240</v>
      </c>
      <c r="E136" t="s">
        <v>914</v>
      </c>
    </row>
    <row r="137" spans="4:5" x14ac:dyDescent="0.2">
      <c r="D137">
        <v>2241</v>
      </c>
      <c r="E137" t="s">
        <v>719</v>
      </c>
    </row>
    <row r="138" spans="4:5" x14ac:dyDescent="0.2">
      <c r="D138">
        <v>2242</v>
      </c>
      <c r="E138" t="s">
        <v>366</v>
      </c>
    </row>
    <row r="139" spans="4:5" x14ac:dyDescent="0.2">
      <c r="D139">
        <v>2243</v>
      </c>
      <c r="E139" t="s">
        <v>230</v>
      </c>
    </row>
    <row r="140" spans="4:5" x14ac:dyDescent="0.2">
      <c r="D140">
        <v>2244</v>
      </c>
      <c r="E140" t="s">
        <v>239</v>
      </c>
    </row>
    <row r="141" spans="4:5" x14ac:dyDescent="0.2">
      <c r="D141">
        <v>2246</v>
      </c>
      <c r="E141" t="s">
        <v>915</v>
      </c>
    </row>
    <row r="142" spans="4:5" x14ac:dyDescent="0.2">
      <c r="D142">
        <v>2247</v>
      </c>
      <c r="E142" t="s">
        <v>223</v>
      </c>
    </row>
    <row r="143" spans="4:5" x14ac:dyDescent="0.2">
      <c r="D143">
        <v>2248</v>
      </c>
      <c r="E143" t="s">
        <v>916</v>
      </c>
    </row>
    <row r="144" spans="4:5" x14ac:dyDescent="0.2">
      <c r="D144">
        <v>2249</v>
      </c>
      <c r="E144" t="s">
        <v>236</v>
      </c>
    </row>
    <row r="145" spans="4:5" x14ac:dyDescent="0.2">
      <c r="D145">
        <v>2250</v>
      </c>
      <c r="E145" t="s">
        <v>917</v>
      </c>
    </row>
    <row r="146" spans="4:5" x14ac:dyDescent="0.2">
      <c r="D146">
        <v>2251</v>
      </c>
      <c r="E146" t="s">
        <v>208</v>
      </c>
    </row>
    <row r="147" spans="4:5" x14ac:dyDescent="0.2">
      <c r="D147">
        <v>2252</v>
      </c>
      <c r="E147" t="s">
        <v>918</v>
      </c>
    </row>
    <row r="148" spans="4:5" x14ac:dyDescent="0.2">
      <c r="D148">
        <v>2259</v>
      </c>
      <c r="E148" t="s">
        <v>919</v>
      </c>
    </row>
    <row r="149" spans="4:5" x14ac:dyDescent="0.2">
      <c r="D149">
        <v>2250</v>
      </c>
      <c r="E149" t="s">
        <v>373</v>
      </c>
    </row>
    <row r="150" spans="4:5" x14ac:dyDescent="0.2">
      <c r="D150">
        <v>2260</v>
      </c>
      <c r="E150" t="s">
        <v>920</v>
      </c>
    </row>
    <row r="151" spans="4:5" x14ac:dyDescent="0.2">
      <c r="D151">
        <v>2261</v>
      </c>
      <c r="E151" t="s">
        <v>231</v>
      </c>
    </row>
    <row r="152" spans="4:5" x14ac:dyDescent="0.2">
      <c r="D152">
        <v>2262</v>
      </c>
      <c r="E152" t="s">
        <v>275</v>
      </c>
    </row>
    <row r="153" spans="4:5" x14ac:dyDescent="0.2">
      <c r="D153">
        <v>2263</v>
      </c>
      <c r="E153" t="s">
        <v>234</v>
      </c>
    </row>
    <row r="154" spans="4:5" x14ac:dyDescent="0.2">
      <c r="D154">
        <v>2264</v>
      </c>
      <c r="E154" t="s">
        <v>704</v>
      </c>
    </row>
    <row r="155" spans="4:5" x14ac:dyDescent="0.2">
      <c r="D155">
        <v>2269</v>
      </c>
      <c r="E155" t="s">
        <v>921</v>
      </c>
    </row>
    <row r="156" spans="4:5" x14ac:dyDescent="0.2">
      <c r="D156">
        <v>2270</v>
      </c>
      <c r="E156" t="s">
        <v>922</v>
      </c>
    </row>
    <row r="157" spans="4:5" x14ac:dyDescent="0.2">
      <c r="D157">
        <v>2271</v>
      </c>
      <c r="E157" t="s">
        <v>923</v>
      </c>
    </row>
    <row r="158" spans="4:5" x14ac:dyDescent="0.2">
      <c r="D158">
        <v>2272</v>
      </c>
      <c r="E158" t="s">
        <v>467</v>
      </c>
    </row>
    <row r="159" spans="4:5" x14ac:dyDescent="0.2">
      <c r="D159">
        <v>2273</v>
      </c>
      <c r="E159" t="s">
        <v>924</v>
      </c>
    </row>
    <row r="160" spans="4:5" x14ac:dyDescent="0.2">
      <c r="D160">
        <v>2275</v>
      </c>
      <c r="E160" t="s">
        <v>301</v>
      </c>
    </row>
    <row r="161" spans="4:5" x14ac:dyDescent="0.2">
      <c r="D161">
        <v>2276</v>
      </c>
      <c r="E161" t="s">
        <v>925</v>
      </c>
    </row>
    <row r="162" spans="4:5" x14ac:dyDescent="0.2">
      <c r="D162">
        <v>2278</v>
      </c>
      <c r="E162" t="s">
        <v>926</v>
      </c>
    </row>
    <row r="163" spans="4:5" x14ac:dyDescent="0.2">
      <c r="D163">
        <v>2279</v>
      </c>
      <c r="E163" t="s">
        <v>217</v>
      </c>
    </row>
    <row r="164" spans="4:5" x14ac:dyDescent="0.2">
      <c r="D164">
        <v>2280</v>
      </c>
      <c r="E164" t="s">
        <v>927</v>
      </c>
    </row>
    <row r="165" spans="4:5" x14ac:dyDescent="0.2">
      <c r="D165">
        <v>2281</v>
      </c>
      <c r="E165" t="s">
        <v>928</v>
      </c>
    </row>
    <row r="166" spans="4:5" x14ac:dyDescent="0.2">
      <c r="D166">
        <v>2282</v>
      </c>
      <c r="E166" t="s">
        <v>929</v>
      </c>
    </row>
    <row r="167" spans="4:5" x14ac:dyDescent="0.2">
      <c r="D167">
        <v>2283</v>
      </c>
      <c r="E167" t="s">
        <v>209</v>
      </c>
    </row>
    <row r="168" spans="4:5" x14ac:dyDescent="0.2">
      <c r="D168">
        <v>2280</v>
      </c>
      <c r="E168" t="s">
        <v>930</v>
      </c>
    </row>
    <row r="169" spans="4:5" x14ac:dyDescent="0.2">
      <c r="D169">
        <v>2300</v>
      </c>
      <c r="E169" t="s">
        <v>931</v>
      </c>
    </row>
    <row r="170" spans="4:5" x14ac:dyDescent="0.2">
      <c r="D170">
        <v>2310</v>
      </c>
      <c r="E170" t="s">
        <v>932</v>
      </c>
    </row>
    <row r="171" spans="4:5" x14ac:dyDescent="0.2">
      <c r="D171">
        <v>2311</v>
      </c>
      <c r="E171" t="s">
        <v>235</v>
      </c>
    </row>
    <row r="172" spans="4:5" x14ac:dyDescent="0.2">
      <c r="D172">
        <v>2312</v>
      </c>
      <c r="E172" t="s">
        <v>232</v>
      </c>
    </row>
    <row r="173" spans="4:5" x14ac:dyDescent="0.2">
      <c r="D173">
        <v>2313</v>
      </c>
      <c r="E173" t="s">
        <v>933</v>
      </c>
    </row>
    <row r="174" spans="4:5" x14ac:dyDescent="0.2">
      <c r="D174">
        <v>2314</v>
      </c>
      <c r="E174" t="s">
        <v>803</v>
      </c>
    </row>
    <row r="175" spans="4:5" x14ac:dyDescent="0.2">
      <c r="D175">
        <v>2320</v>
      </c>
      <c r="E175" t="s">
        <v>934</v>
      </c>
    </row>
    <row r="176" spans="4:5" x14ac:dyDescent="0.2">
      <c r="D176">
        <v>2321</v>
      </c>
      <c r="E176" t="s">
        <v>224</v>
      </c>
    </row>
    <row r="177" spans="4:5" x14ac:dyDescent="0.2">
      <c r="D177">
        <v>2322</v>
      </c>
      <c r="E177" t="s">
        <v>228</v>
      </c>
    </row>
    <row r="178" spans="4:5" x14ac:dyDescent="0.2">
      <c r="D178">
        <v>2329</v>
      </c>
      <c r="E178" t="s">
        <v>674</v>
      </c>
    </row>
    <row r="179" spans="4:5" x14ac:dyDescent="0.2">
      <c r="D179">
        <v>2330</v>
      </c>
      <c r="E179" t="s">
        <v>935</v>
      </c>
    </row>
    <row r="180" spans="4:5" x14ac:dyDescent="0.2">
      <c r="D180">
        <v>2340</v>
      </c>
      <c r="E180" t="s">
        <v>936</v>
      </c>
    </row>
    <row r="181" spans="4:5" x14ac:dyDescent="0.2">
      <c r="D181">
        <v>2341</v>
      </c>
      <c r="E181" t="s">
        <v>229</v>
      </c>
    </row>
    <row r="182" spans="4:5" x14ac:dyDescent="0.2">
      <c r="D182">
        <v>2343</v>
      </c>
      <c r="E182" t="s">
        <v>937</v>
      </c>
    </row>
    <row r="183" spans="4:5" x14ac:dyDescent="0.2">
      <c r="D183">
        <v>2344</v>
      </c>
      <c r="E183" t="s">
        <v>938</v>
      </c>
    </row>
    <row r="184" spans="4:5" x14ac:dyDescent="0.2">
      <c r="D184">
        <v>2350</v>
      </c>
      <c r="E184" t="s">
        <v>520</v>
      </c>
    </row>
    <row r="185" spans="4:5" x14ac:dyDescent="0.2">
      <c r="D185">
        <v>2360</v>
      </c>
      <c r="E185" t="s">
        <v>939</v>
      </c>
    </row>
    <row r="186" spans="4:5" x14ac:dyDescent="0.2">
      <c r="D186">
        <v>2361</v>
      </c>
      <c r="E186" t="s">
        <v>802</v>
      </c>
    </row>
    <row r="187" spans="4:5" x14ac:dyDescent="0.2">
      <c r="D187">
        <v>2362</v>
      </c>
      <c r="E187" t="s">
        <v>379</v>
      </c>
    </row>
    <row r="188" spans="4:5" x14ac:dyDescent="0.2">
      <c r="D188">
        <v>2363</v>
      </c>
      <c r="E188" t="s">
        <v>391</v>
      </c>
    </row>
    <row r="189" spans="4:5" x14ac:dyDescent="0.2">
      <c r="D189">
        <v>2364</v>
      </c>
      <c r="E189" t="s">
        <v>225</v>
      </c>
    </row>
    <row r="190" spans="4:5" x14ac:dyDescent="0.2">
      <c r="D190">
        <v>2365</v>
      </c>
      <c r="E190" t="s">
        <v>940</v>
      </c>
    </row>
    <row r="191" spans="4:5" x14ac:dyDescent="0.2">
      <c r="D191">
        <v>2366</v>
      </c>
      <c r="E191" t="s">
        <v>941</v>
      </c>
    </row>
    <row r="192" spans="4:5" x14ac:dyDescent="0.2">
      <c r="D192">
        <v>2369</v>
      </c>
      <c r="E192" t="s">
        <v>942</v>
      </c>
    </row>
    <row r="193" spans="4:5" x14ac:dyDescent="0.2">
      <c r="D193">
        <v>2370</v>
      </c>
      <c r="E193" t="s">
        <v>210</v>
      </c>
    </row>
    <row r="194" spans="4:5" x14ac:dyDescent="0.2">
      <c r="D194">
        <v>2380</v>
      </c>
      <c r="E194" t="s">
        <v>943</v>
      </c>
    </row>
    <row r="195" spans="4:5" x14ac:dyDescent="0.2">
      <c r="D195">
        <v>2381</v>
      </c>
      <c r="E195" t="s">
        <v>944</v>
      </c>
    </row>
    <row r="196" spans="4:5" x14ac:dyDescent="0.2">
      <c r="D196">
        <v>2382</v>
      </c>
      <c r="E196" t="s">
        <v>945</v>
      </c>
    </row>
    <row r="197" spans="4:5" x14ac:dyDescent="0.2">
      <c r="D197">
        <v>2383</v>
      </c>
      <c r="E197" t="s">
        <v>946</v>
      </c>
    </row>
    <row r="198" spans="4:5" x14ac:dyDescent="0.2">
      <c r="D198">
        <v>2389</v>
      </c>
      <c r="E198" t="s">
        <v>947</v>
      </c>
    </row>
    <row r="199" spans="4:5" x14ac:dyDescent="0.2">
      <c r="D199">
        <v>2390</v>
      </c>
      <c r="E199" t="s">
        <v>211</v>
      </c>
    </row>
    <row r="200" spans="4:5" x14ac:dyDescent="0.2">
      <c r="D200">
        <v>2400</v>
      </c>
      <c r="E200" t="s">
        <v>948</v>
      </c>
    </row>
    <row r="201" spans="4:5" x14ac:dyDescent="0.2">
      <c r="D201">
        <v>2500</v>
      </c>
      <c r="E201" t="s">
        <v>949</v>
      </c>
    </row>
    <row r="202" spans="4:5" x14ac:dyDescent="0.2">
      <c r="D202">
        <v>2510</v>
      </c>
      <c r="E202" t="s">
        <v>950</v>
      </c>
    </row>
    <row r="203" spans="4:5" x14ac:dyDescent="0.2">
      <c r="D203">
        <v>2512</v>
      </c>
      <c r="E203" t="s">
        <v>374</v>
      </c>
    </row>
    <row r="204" spans="4:5" x14ac:dyDescent="0.2">
      <c r="D204">
        <v>2513</v>
      </c>
      <c r="E204" t="s">
        <v>951</v>
      </c>
    </row>
    <row r="205" spans="4:5" x14ac:dyDescent="0.2">
      <c r="D205">
        <v>2514</v>
      </c>
      <c r="E205" t="s">
        <v>952</v>
      </c>
    </row>
    <row r="206" spans="4:5" x14ac:dyDescent="0.2">
      <c r="D206">
        <v>2515</v>
      </c>
      <c r="E206" t="s">
        <v>814</v>
      </c>
    </row>
    <row r="207" spans="4:5" x14ac:dyDescent="0.2">
      <c r="D207">
        <v>2516</v>
      </c>
      <c r="E207" t="s">
        <v>953</v>
      </c>
    </row>
    <row r="208" spans="4:5" x14ac:dyDescent="0.2">
      <c r="D208">
        <v>2519</v>
      </c>
      <c r="E208" t="s">
        <v>375</v>
      </c>
    </row>
    <row r="209" spans="4:5" x14ac:dyDescent="0.2">
      <c r="D209">
        <v>2800</v>
      </c>
      <c r="E209" t="s">
        <v>954</v>
      </c>
    </row>
    <row r="210" spans="4:5" x14ac:dyDescent="0.2">
      <c r="D210">
        <v>3000</v>
      </c>
      <c r="E210" t="s">
        <v>423</v>
      </c>
    </row>
    <row r="211" spans="4:5" x14ac:dyDescent="0.2">
      <c r="D211">
        <v>3100</v>
      </c>
      <c r="E211" t="s">
        <v>955</v>
      </c>
    </row>
    <row r="212" spans="4:5" x14ac:dyDescent="0.2">
      <c r="D212">
        <v>3110</v>
      </c>
      <c r="E212" t="s">
        <v>956</v>
      </c>
    </row>
    <row r="213" spans="4:5" x14ac:dyDescent="0.2">
      <c r="D213">
        <v>3111</v>
      </c>
      <c r="E213" t="s">
        <v>957</v>
      </c>
    </row>
    <row r="214" spans="4:5" x14ac:dyDescent="0.2">
      <c r="D214">
        <v>3112</v>
      </c>
      <c r="E214" t="s">
        <v>958</v>
      </c>
    </row>
    <row r="215" spans="4:5" x14ac:dyDescent="0.2">
      <c r="D215">
        <v>3150</v>
      </c>
      <c r="E215" t="s">
        <v>959</v>
      </c>
    </row>
    <row r="216" spans="4:5" x14ac:dyDescent="0.2">
      <c r="D216">
        <v>3190</v>
      </c>
      <c r="E216" t="s">
        <v>960</v>
      </c>
    </row>
    <row r="217" spans="4:5" x14ac:dyDescent="0.2">
      <c r="D217">
        <v>3191</v>
      </c>
      <c r="E217" t="s">
        <v>961</v>
      </c>
    </row>
    <row r="218" spans="4:5" x14ac:dyDescent="0.2">
      <c r="D218">
        <v>3192</v>
      </c>
      <c r="E218" t="s">
        <v>962</v>
      </c>
    </row>
    <row r="219" spans="4:5" x14ac:dyDescent="0.2">
      <c r="D219">
        <v>3200</v>
      </c>
      <c r="E219" t="s">
        <v>963</v>
      </c>
    </row>
    <row r="220" spans="4:5" x14ac:dyDescent="0.2">
      <c r="D220">
        <v>3210</v>
      </c>
      <c r="E220" t="s">
        <v>964</v>
      </c>
    </row>
    <row r="221" spans="4:5" x14ac:dyDescent="0.2">
      <c r="D221">
        <v>3211</v>
      </c>
      <c r="E221" t="s">
        <v>965</v>
      </c>
    </row>
    <row r="222" spans="4:5" x14ac:dyDescent="0.2">
      <c r="D222">
        <v>3212</v>
      </c>
      <c r="E222" t="s">
        <v>966</v>
      </c>
    </row>
    <row r="223" spans="4:5" x14ac:dyDescent="0.2">
      <c r="D223">
        <v>3230</v>
      </c>
      <c r="E223" t="s">
        <v>967</v>
      </c>
    </row>
    <row r="224" spans="4:5" x14ac:dyDescent="0.2">
      <c r="D224">
        <v>3231</v>
      </c>
      <c r="E224" t="s">
        <v>968</v>
      </c>
    </row>
    <row r="225" spans="4:5" x14ac:dyDescent="0.2">
      <c r="D225">
        <v>3232</v>
      </c>
      <c r="E225" t="s">
        <v>969</v>
      </c>
    </row>
    <row r="226" spans="4:5" x14ac:dyDescent="0.2">
      <c r="D226">
        <v>3260</v>
      </c>
      <c r="E226" t="s">
        <v>970</v>
      </c>
    </row>
    <row r="227" spans="4:5" x14ac:dyDescent="0.2">
      <c r="D227">
        <v>3261</v>
      </c>
      <c r="E227" t="s">
        <v>707</v>
      </c>
    </row>
    <row r="228" spans="4:5" x14ac:dyDescent="0.2">
      <c r="D228">
        <v>3262</v>
      </c>
      <c r="E228" t="s">
        <v>287</v>
      </c>
    </row>
    <row r="229" spans="4:5" x14ac:dyDescent="0.2">
      <c r="D229">
        <v>3263</v>
      </c>
      <c r="E229" t="s">
        <v>227</v>
      </c>
    </row>
    <row r="230" spans="4:5" x14ac:dyDescent="0.2">
      <c r="D230">
        <v>3264</v>
      </c>
      <c r="E230" t="s">
        <v>971</v>
      </c>
    </row>
    <row r="231" spans="4:5" x14ac:dyDescent="0.2">
      <c r="D231">
        <v>3280</v>
      </c>
      <c r="E231" t="s">
        <v>972</v>
      </c>
    </row>
    <row r="232" spans="4:5" x14ac:dyDescent="0.2">
      <c r="D232">
        <v>3281</v>
      </c>
      <c r="E232" t="s">
        <v>973</v>
      </c>
    </row>
    <row r="233" spans="4:5" x14ac:dyDescent="0.2">
      <c r="D233">
        <v>3282</v>
      </c>
      <c r="E233" t="s">
        <v>974</v>
      </c>
    </row>
    <row r="234" spans="4:5" x14ac:dyDescent="0.2">
      <c r="D234">
        <v>3290</v>
      </c>
      <c r="E234" t="s">
        <v>975</v>
      </c>
    </row>
    <row r="235" spans="4:5" x14ac:dyDescent="0.2">
      <c r="D235">
        <v>3291</v>
      </c>
      <c r="E235" t="s">
        <v>976</v>
      </c>
    </row>
    <row r="236" spans="4:5" x14ac:dyDescent="0.2">
      <c r="D236">
        <v>3292</v>
      </c>
      <c r="E236" t="s">
        <v>977</v>
      </c>
    </row>
    <row r="237" spans="4:5" x14ac:dyDescent="0.2">
      <c r="D237">
        <v>3293</v>
      </c>
      <c r="E237" t="s">
        <v>978</v>
      </c>
    </row>
    <row r="238" spans="4:5" x14ac:dyDescent="0.2">
      <c r="D238">
        <v>3294</v>
      </c>
      <c r="E238" t="s">
        <v>979</v>
      </c>
    </row>
    <row r="239" spans="4:5" x14ac:dyDescent="0.2">
      <c r="D239">
        <v>3295</v>
      </c>
      <c r="E239" t="s">
        <v>980</v>
      </c>
    </row>
    <row r="240" spans="4:5" x14ac:dyDescent="0.2">
      <c r="D240">
        <v>3300</v>
      </c>
      <c r="E240" t="s">
        <v>981</v>
      </c>
    </row>
    <row r="241" spans="4:5" x14ac:dyDescent="0.2">
      <c r="D241">
        <v>3310</v>
      </c>
      <c r="E241" t="s">
        <v>982</v>
      </c>
    </row>
    <row r="242" spans="4:5" x14ac:dyDescent="0.2">
      <c r="D242">
        <v>3320</v>
      </c>
      <c r="E242" t="s">
        <v>983</v>
      </c>
    </row>
    <row r="243" spans="4:5" x14ac:dyDescent="0.2">
      <c r="D243">
        <v>3500</v>
      </c>
      <c r="E243" t="s">
        <v>984</v>
      </c>
    </row>
    <row r="244" spans="4:5" x14ac:dyDescent="0.2">
      <c r="D244">
        <v>3800</v>
      </c>
      <c r="E244" t="s">
        <v>985</v>
      </c>
    </row>
    <row r="245" spans="4:5" x14ac:dyDescent="0.2">
      <c r="D245">
        <v>4000</v>
      </c>
      <c r="E245" t="s">
        <v>422</v>
      </c>
    </row>
    <row r="246" spans="4:5" x14ac:dyDescent="0.2">
      <c r="D246">
        <v>4100</v>
      </c>
      <c r="E246" t="s">
        <v>986</v>
      </c>
    </row>
    <row r="247" spans="4:5" x14ac:dyDescent="0.2">
      <c r="D247">
        <v>4110</v>
      </c>
      <c r="E247" t="s">
        <v>987</v>
      </c>
    </row>
    <row r="248" spans="4:5" x14ac:dyDescent="0.2">
      <c r="D248">
        <v>4130</v>
      </c>
      <c r="E248" t="s">
        <v>988</v>
      </c>
    </row>
    <row r="249" spans="4:5" x14ac:dyDescent="0.2">
      <c r="D249">
        <v>4200</v>
      </c>
      <c r="E249" t="s">
        <v>989</v>
      </c>
    </row>
    <row r="250" spans="4:5" x14ac:dyDescent="0.2">
      <c r="D250">
        <v>4230</v>
      </c>
      <c r="E250" t="s">
        <v>990</v>
      </c>
    </row>
    <row r="251" spans="4:5" x14ac:dyDescent="0.2">
      <c r="D251">
        <v>4240</v>
      </c>
      <c r="E251" t="s">
        <v>991</v>
      </c>
    </row>
    <row r="252" spans="4:5" x14ac:dyDescent="0.2">
      <c r="D252">
        <v>4250</v>
      </c>
      <c r="E252" t="s">
        <v>992</v>
      </c>
    </row>
    <row r="253" spans="4:5" x14ac:dyDescent="0.2">
      <c r="D253">
        <v>4300</v>
      </c>
      <c r="E253" t="s">
        <v>993</v>
      </c>
    </row>
    <row r="254" spans="4:5" x14ac:dyDescent="0.2">
      <c r="D254">
        <v>4310</v>
      </c>
      <c r="E254" t="s">
        <v>994</v>
      </c>
    </row>
    <row r="255" spans="4:5" x14ac:dyDescent="0.2">
      <c r="D255">
        <v>4311</v>
      </c>
      <c r="E255" t="s">
        <v>995</v>
      </c>
    </row>
    <row r="256" spans="4:5" x14ac:dyDescent="0.2">
      <c r="D256">
        <v>4312</v>
      </c>
      <c r="E256" t="s">
        <v>996</v>
      </c>
    </row>
    <row r="257" spans="4:5" x14ac:dyDescent="0.2">
      <c r="D257">
        <v>4330</v>
      </c>
      <c r="E257" t="s">
        <v>997</v>
      </c>
    </row>
    <row r="258" spans="4:5" x14ac:dyDescent="0.2">
      <c r="D258">
        <v>4331</v>
      </c>
      <c r="E258" t="s">
        <v>998</v>
      </c>
    </row>
    <row r="259" spans="4:5" x14ac:dyDescent="0.2">
      <c r="D259">
        <v>4332</v>
      </c>
      <c r="E259" t="s">
        <v>999</v>
      </c>
    </row>
    <row r="260" spans="4:5" x14ac:dyDescent="0.2">
      <c r="D260">
        <v>4333</v>
      </c>
      <c r="E260" t="s">
        <v>1000</v>
      </c>
    </row>
    <row r="261" spans="4:5" x14ac:dyDescent="0.2">
      <c r="D261">
        <v>4339</v>
      </c>
      <c r="E261" t="s">
        <v>1001</v>
      </c>
    </row>
    <row r="262" spans="4:5" x14ac:dyDescent="0.2">
      <c r="D262">
        <v>4340</v>
      </c>
      <c r="E262" t="s">
        <v>1002</v>
      </c>
    </row>
    <row r="263" spans="4:5" x14ac:dyDescent="0.2">
      <c r="D263">
        <v>5000</v>
      </c>
      <c r="E263" t="s">
        <v>425</v>
      </c>
    </row>
    <row r="264" spans="4:5" x14ac:dyDescent="0.2">
      <c r="D264">
        <v>5100</v>
      </c>
      <c r="E264" t="s">
        <v>1003</v>
      </c>
    </row>
    <row r="265" spans="4:5" x14ac:dyDescent="0.2">
      <c r="D265">
        <v>5110</v>
      </c>
      <c r="E265" t="s">
        <v>226</v>
      </c>
    </row>
    <row r="266" spans="4:5" x14ac:dyDescent="0.2">
      <c r="D266">
        <v>5120</v>
      </c>
      <c r="E266" t="s">
        <v>1004</v>
      </c>
    </row>
    <row r="267" spans="4:5" x14ac:dyDescent="0.2">
      <c r="D267">
        <v>5121</v>
      </c>
      <c r="E267" t="s">
        <v>212</v>
      </c>
    </row>
    <row r="268" spans="4:5" x14ac:dyDescent="0.2">
      <c r="D268">
        <v>5129</v>
      </c>
      <c r="E268" t="s">
        <v>1005</v>
      </c>
    </row>
    <row r="269" spans="4:5" x14ac:dyDescent="0.2">
      <c r="D269">
        <v>5120</v>
      </c>
      <c r="E269" t="s">
        <v>308</v>
      </c>
    </row>
    <row r="270" spans="4:5" x14ac:dyDescent="0.2">
      <c r="D270">
        <v>5130</v>
      </c>
      <c r="E270" t="s">
        <v>1006</v>
      </c>
    </row>
    <row r="271" spans="4:5" x14ac:dyDescent="0.2">
      <c r="D271">
        <v>5140</v>
      </c>
      <c r="E271" t="s">
        <v>461</v>
      </c>
    </row>
    <row r="272" spans="4:5" x14ac:dyDescent="0.2">
      <c r="D272">
        <v>5160</v>
      </c>
      <c r="E272" t="s">
        <v>1007</v>
      </c>
    </row>
    <row r="273" spans="4:5" x14ac:dyDescent="0.2">
      <c r="D273">
        <v>5170</v>
      </c>
      <c r="E273" t="s">
        <v>1008</v>
      </c>
    </row>
    <row r="274" spans="4:5" x14ac:dyDescent="0.2">
      <c r="D274">
        <v>5200</v>
      </c>
      <c r="E274" t="s">
        <v>1009</v>
      </c>
    </row>
    <row r="275" spans="4:5" x14ac:dyDescent="0.2">
      <c r="D275">
        <v>5210</v>
      </c>
      <c r="E275" t="s">
        <v>1010</v>
      </c>
    </row>
    <row r="276" spans="4:5" x14ac:dyDescent="0.2">
      <c r="D276">
        <v>5211</v>
      </c>
      <c r="E276" t="s">
        <v>1011</v>
      </c>
    </row>
    <row r="277" spans="4:5" x14ac:dyDescent="0.2">
      <c r="D277">
        <v>5212</v>
      </c>
      <c r="E277" t="s">
        <v>1012</v>
      </c>
    </row>
    <row r="278" spans="4:5" x14ac:dyDescent="0.2">
      <c r="D278">
        <v>5213</v>
      </c>
      <c r="E278" t="s">
        <v>242</v>
      </c>
    </row>
    <row r="279" spans="4:5" x14ac:dyDescent="0.2">
      <c r="D279">
        <v>5214</v>
      </c>
      <c r="E279" t="s">
        <v>807</v>
      </c>
    </row>
    <row r="280" spans="4:5" x14ac:dyDescent="0.2">
      <c r="D280">
        <v>5215</v>
      </c>
      <c r="E280" t="s">
        <v>1013</v>
      </c>
    </row>
    <row r="281" spans="4:5" x14ac:dyDescent="0.2">
      <c r="D281">
        <v>5216</v>
      </c>
      <c r="E281" t="s">
        <v>1014</v>
      </c>
    </row>
    <row r="282" spans="4:5" x14ac:dyDescent="0.2">
      <c r="D282">
        <v>5217</v>
      </c>
      <c r="E282" t="s">
        <v>718</v>
      </c>
    </row>
    <row r="283" spans="4:5" x14ac:dyDescent="0.2">
      <c r="D283">
        <v>5218</v>
      </c>
      <c r="E283" t="s">
        <v>523</v>
      </c>
    </row>
    <row r="284" spans="4:5" x14ac:dyDescent="0.2">
      <c r="D284">
        <v>5219</v>
      </c>
      <c r="E284" t="s">
        <v>1015</v>
      </c>
    </row>
    <row r="285" spans="4:5" x14ac:dyDescent="0.2">
      <c r="D285">
        <v>5220</v>
      </c>
      <c r="E285" t="s">
        <v>1016</v>
      </c>
    </row>
    <row r="286" spans="4:5" x14ac:dyDescent="0.2">
      <c r="D286">
        <v>5230</v>
      </c>
      <c r="E286" t="s">
        <v>1017</v>
      </c>
    </row>
    <row r="287" spans="4:5" x14ac:dyDescent="0.2">
      <c r="D287">
        <v>5231</v>
      </c>
      <c r="E287" t="s">
        <v>675</v>
      </c>
    </row>
    <row r="288" spans="4:5" x14ac:dyDescent="0.2">
      <c r="D288">
        <v>5232</v>
      </c>
      <c r="E288" t="s">
        <v>1018</v>
      </c>
    </row>
    <row r="289" spans="4:5" x14ac:dyDescent="0.2">
      <c r="D289">
        <v>5233</v>
      </c>
      <c r="E289" t="s">
        <v>334</v>
      </c>
    </row>
    <row r="290" spans="4:5" x14ac:dyDescent="0.2">
      <c r="D290">
        <v>5234</v>
      </c>
      <c r="E290" t="s">
        <v>1019</v>
      </c>
    </row>
    <row r="291" spans="4:5" x14ac:dyDescent="0.2">
      <c r="D291">
        <v>5235</v>
      </c>
      <c r="E291" t="s">
        <v>1020</v>
      </c>
    </row>
    <row r="292" spans="4:5" x14ac:dyDescent="0.2">
      <c r="D292">
        <v>5236</v>
      </c>
      <c r="E292" t="s">
        <v>1021</v>
      </c>
    </row>
    <row r="293" spans="4:5" x14ac:dyDescent="0.2">
      <c r="D293">
        <v>5237</v>
      </c>
      <c r="E293" t="s">
        <v>1022</v>
      </c>
    </row>
    <row r="294" spans="4:5" x14ac:dyDescent="0.2">
      <c r="D294">
        <v>5238</v>
      </c>
      <c r="E294" t="s">
        <v>213</v>
      </c>
    </row>
    <row r="295" spans="4:5" x14ac:dyDescent="0.2">
      <c r="D295">
        <v>5239</v>
      </c>
      <c r="E295" t="s">
        <v>665</v>
      </c>
    </row>
    <row r="296" spans="4:5" x14ac:dyDescent="0.2">
      <c r="D296">
        <v>5240</v>
      </c>
      <c r="E296" t="s">
        <v>666</v>
      </c>
    </row>
    <row r="297" spans="4:5" x14ac:dyDescent="0.2">
      <c r="D297">
        <v>5250</v>
      </c>
      <c r="E297" t="s">
        <v>240</v>
      </c>
    </row>
    <row r="298" spans="4:5" x14ac:dyDescent="0.2">
      <c r="D298">
        <v>5260</v>
      </c>
      <c r="E298" t="s">
        <v>1023</v>
      </c>
    </row>
    <row r="299" spans="4:5" x14ac:dyDescent="0.2">
      <c r="D299">
        <v>5261</v>
      </c>
      <c r="E299" t="s">
        <v>1024</v>
      </c>
    </row>
    <row r="300" spans="4:5" x14ac:dyDescent="0.2">
      <c r="D300">
        <v>5262</v>
      </c>
      <c r="E300" t="s">
        <v>1025</v>
      </c>
    </row>
    <row r="301" spans="4:5" x14ac:dyDescent="0.2">
      <c r="D301">
        <v>5269</v>
      </c>
      <c r="E301" t="s">
        <v>1026</v>
      </c>
    </row>
    <row r="302" spans="4:5" x14ac:dyDescent="0.2">
      <c r="D302">
        <v>5270</v>
      </c>
      <c r="E302" t="s">
        <v>1027</v>
      </c>
    </row>
    <row r="303" spans="4:5" x14ac:dyDescent="0.2">
      <c r="D303">
        <v>5300</v>
      </c>
      <c r="E303" t="s">
        <v>1028</v>
      </c>
    </row>
    <row r="304" spans="4:5" x14ac:dyDescent="0.2">
      <c r="D304">
        <v>5310</v>
      </c>
      <c r="E304" t="s">
        <v>1029</v>
      </c>
    </row>
    <row r="305" spans="4:5" x14ac:dyDescent="0.2">
      <c r="D305">
        <v>5311</v>
      </c>
      <c r="E305" t="s">
        <v>1030</v>
      </c>
    </row>
    <row r="306" spans="4:5" x14ac:dyDescent="0.2">
      <c r="D306">
        <v>5312</v>
      </c>
      <c r="E306" t="s">
        <v>1031</v>
      </c>
    </row>
    <row r="307" spans="4:5" x14ac:dyDescent="0.2">
      <c r="D307">
        <v>5320</v>
      </c>
      <c r="E307" t="s">
        <v>1032</v>
      </c>
    </row>
    <row r="308" spans="4:5" x14ac:dyDescent="0.2">
      <c r="D308">
        <v>5321</v>
      </c>
      <c r="E308" t="s">
        <v>1033</v>
      </c>
    </row>
    <row r="309" spans="4:5" x14ac:dyDescent="0.2">
      <c r="D309">
        <v>5322</v>
      </c>
      <c r="E309" t="s">
        <v>1034</v>
      </c>
    </row>
    <row r="310" spans="4:5" x14ac:dyDescent="0.2">
      <c r="D310">
        <v>6000</v>
      </c>
      <c r="E310" t="s">
        <v>424</v>
      </c>
    </row>
    <row r="311" spans="4:5" x14ac:dyDescent="0.2">
      <c r="D311">
        <v>6200</v>
      </c>
      <c r="E311" t="s">
        <v>1035</v>
      </c>
    </row>
    <row r="312" spans="4:5" x14ac:dyDescent="0.2">
      <c r="D312">
        <v>6210</v>
      </c>
      <c r="E312" t="s">
        <v>1036</v>
      </c>
    </row>
    <row r="313" spans="4:5" x14ac:dyDescent="0.2">
      <c r="D313">
        <v>6211</v>
      </c>
      <c r="E313" t="s">
        <v>1037</v>
      </c>
    </row>
    <row r="314" spans="4:5" x14ac:dyDescent="0.2">
      <c r="D314">
        <v>6212</v>
      </c>
      <c r="E314" t="s">
        <v>1038</v>
      </c>
    </row>
    <row r="315" spans="4:5" x14ac:dyDescent="0.2">
      <c r="D315">
        <v>6213</v>
      </c>
      <c r="E315" t="s">
        <v>1039</v>
      </c>
    </row>
    <row r="316" spans="4:5" x14ac:dyDescent="0.2">
      <c r="D316">
        <v>6214</v>
      </c>
      <c r="E316" t="s">
        <v>1040</v>
      </c>
    </row>
    <row r="317" spans="4:5" x14ac:dyDescent="0.2">
      <c r="D317">
        <v>6215</v>
      </c>
      <c r="E317" t="s">
        <v>1041</v>
      </c>
    </row>
    <row r="318" spans="4:5" x14ac:dyDescent="0.2">
      <c r="D318">
        <v>6216</v>
      </c>
      <c r="E318" t="s">
        <v>1042</v>
      </c>
    </row>
    <row r="319" spans="4:5" x14ac:dyDescent="0.2">
      <c r="D319">
        <v>6220</v>
      </c>
      <c r="E319" t="s">
        <v>1043</v>
      </c>
    </row>
    <row r="320" spans="4:5" x14ac:dyDescent="0.2">
      <c r="D320">
        <v>6221</v>
      </c>
      <c r="E320" t="s">
        <v>1044</v>
      </c>
    </row>
    <row r="321" spans="4:5" x14ac:dyDescent="0.2">
      <c r="D321">
        <v>6222</v>
      </c>
      <c r="E321" t="s">
        <v>1045</v>
      </c>
    </row>
    <row r="322" spans="4:5" x14ac:dyDescent="0.2">
      <c r="D322">
        <v>6223</v>
      </c>
      <c r="E322" t="s">
        <v>1046</v>
      </c>
    </row>
    <row r="323" spans="4:5" x14ac:dyDescent="0.2">
      <c r="D323">
        <v>6224</v>
      </c>
      <c r="E323" t="s">
        <v>1047</v>
      </c>
    </row>
    <row r="324" spans="4:5" x14ac:dyDescent="0.2">
      <c r="D324">
        <v>6225</v>
      </c>
      <c r="E324" t="s">
        <v>1048</v>
      </c>
    </row>
    <row r="325" spans="4:5" x14ac:dyDescent="0.2">
      <c r="D325">
        <v>6226</v>
      </c>
      <c r="E325" t="s">
        <v>1049</v>
      </c>
    </row>
    <row r="326" spans="4:5" x14ac:dyDescent="0.2">
      <c r="D326">
        <v>6227</v>
      </c>
      <c r="E326" t="s">
        <v>1050</v>
      </c>
    </row>
    <row r="327" spans="4:5" x14ac:dyDescent="0.2">
      <c r="D327">
        <v>6228</v>
      </c>
      <c r="E327" t="s">
        <v>1051</v>
      </c>
    </row>
    <row r="328" spans="4:5" x14ac:dyDescent="0.2">
      <c r="D328">
        <v>6229</v>
      </c>
      <c r="E328" t="s">
        <v>1052</v>
      </c>
    </row>
    <row r="329" spans="4:5" x14ac:dyDescent="0.2">
      <c r="D329">
        <v>6230</v>
      </c>
      <c r="E329" t="s">
        <v>1053</v>
      </c>
    </row>
    <row r="330" spans="4:5" x14ac:dyDescent="0.2">
      <c r="D330">
        <v>6231</v>
      </c>
      <c r="E330" t="s">
        <v>1054</v>
      </c>
    </row>
    <row r="331" spans="4:5" x14ac:dyDescent="0.2">
      <c r="D331">
        <v>6232</v>
      </c>
      <c r="E331" t="s">
        <v>1055</v>
      </c>
    </row>
    <row r="332" spans="4:5" x14ac:dyDescent="0.2">
      <c r="D332">
        <v>6233</v>
      </c>
      <c r="E332" t="s">
        <v>1056</v>
      </c>
    </row>
    <row r="333" spans="4:5" x14ac:dyDescent="0.2">
      <c r="D333">
        <v>6234</v>
      </c>
      <c r="E333" t="s">
        <v>1057</v>
      </c>
    </row>
    <row r="334" spans="4:5" x14ac:dyDescent="0.2">
      <c r="D334">
        <v>6235</v>
      </c>
      <c r="E334" t="s">
        <v>1058</v>
      </c>
    </row>
    <row r="335" spans="4:5" x14ac:dyDescent="0.2">
      <c r="D335">
        <v>6237</v>
      </c>
      <c r="E335" t="s">
        <v>1059</v>
      </c>
    </row>
    <row r="336" spans="4:5" x14ac:dyDescent="0.2">
      <c r="D336">
        <v>6238</v>
      </c>
      <c r="E336" t="s">
        <v>1060</v>
      </c>
    </row>
    <row r="337" spans="4:5" x14ac:dyDescent="0.2">
      <c r="D337">
        <v>6239</v>
      </c>
      <c r="E337" t="s">
        <v>1061</v>
      </c>
    </row>
    <row r="338" spans="4:5" x14ac:dyDescent="0.2">
      <c r="D338">
        <v>6240</v>
      </c>
      <c r="E338" t="s">
        <v>1062</v>
      </c>
    </row>
    <row r="339" spans="4:5" x14ac:dyDescent="0.2">
      <c r="D339">
        <v>6241</v>
      </c>
      <c r="E339" t="s">
        <v>1063</v>
      </c>
    </row>
    <row r="340" spans="4:5" x14ac:dyDescent="0.2">
      <c r="D340">
        <v>6242</v>
      </c>
      <c r="E340" t="s">
        <v>1064</v>
      </c>
    </row>
    <row r="341" spans="4:5" x14ac:dyDescent="0.2">
      <c r="D341">
        <v>6250</v>
      </c>
      <c r="E341" t="s">
        <v>1065</v>
      </c>
    </row>
    <row r="342" spans="4:5" x14ac:dyDescent="0.2">
      <c r="D342">
        <v>6252</v>
      </c>
      <c r="E342" t="s">
        <v>790</v>
      </c>
    </row>
    <row r="343" spans="4:5" x14ac:dyDescent="0.2">
      <c r="D343">
        <v>6253</v>
      </c>
      <c r="E343" t="s">
        <v>1066</v>
      </c>
    </row>
    <row r="344" spans="4:5" x14ac:dyDescent="0.2">
      <c r="D344">
        <v>6254</v>
      </c>
      <c r="E344" t="s">
        <v>470</v>
      </c>
    </row>
    <row r="345" spans="4:5" x14ac:dyDescent="0.2">
      <c r="D345">
        <v>6255</v>
      </c>
      <c r="E345" t="s">
        <v>791</v>
      </c>
    </row>
    <row r="346" spans="4:5" x14ac:dyDescent="0.2">
      <c r="D346">
        <v>6259</v>
      </c>
      <c r="E346" t="s">
        <v>792</v>
      </c>
    </row>
    <row r="347" spans="4:5" x14ac:dyDescent="0.2">
      <c r="D347">
        <v>6260</v>
      </c>
      <c r="E347" t="s">
        <v>794</v>
      </c>
    </row>
    <row r="348" spans="4:5" x14ac:dyDescent="0.2">
      <c r="D348">
        <v>6270</v>
      </c>
      <c r="E348" t="s">
        <v>793</v>
      </c>
    </row>
    <row r="349" spans="4:5" x14ac:dyDescent="0.2">
      <c r="D349">
        <v>6290</v>
      </c>
      <c r="E349" t="s">
        <v>1067</v>
      </c>
    </row>
    <row r="350" spans="4:5" x14ac:dyDescent="0.2">
      <c r="D350">
        <v>6291</v>
      </c>
      <c r="E350" t="s">
        <v>1068</v>
      </c>
    </row>
    <row r="351" spans="4:5" x14ac:dyDescent="0.2">
      <c r="D351">
        <v>6292</v>
      </c>
      <c r="E351" t="s">
        <v>370</v>
      </c>
    </row>
    <row r="352" spans="4:5" x14ac:dyDescent="0.2">
      <c r="D352">
        <v>6293</v>
      </c>
      <c r="E352" t="s">
        <v>1069</v>
      </c>
    </row>
    <row r="353" spans="4:5" x14ac:dyDescent="0.2">
      <c r="D353">
        <v>6294</v>
      </c>
      <c r="E353" t="s">
        <v>1070</v>
      </c>
    </row>
    <row r="354" spans="4:5" x14ac:dyDescent="0.2">
      <c r="D354">
        <v>6295</v>
      </c>
      <c r="E354" t="s">
        <v>1071</v>
      </c>
    </row>
    <row r="355" spans="4:5" x14ac:dyDescent="0.2">
      <c r="D355">
        <v>6296</v>
      </c>
      <c r="E355" t="s">
        <v>1072</v>
      </c>
    </row>
    <row r="356" spans="4:5" x14ac:dyDescent="0.2">
      <c r="D356">
        <v>6299</v>
      </c>
      <c r="E356" t="s">
        <v>237</v>
      </c>
    </row>
    <row r="357" spans="4:5" x14ac:dyDescent="0.2">
      <c r="D357">
        <v>6300</v>
      </c>
      <c r="E357" t="s">
        <v>1073</v>
      </c>
    </row>
    <row r="358" spans="4:5" x14ac:dyDescent="0.2">
      <c r="D358">
        <v>6320</v>
      </c>
      <c r="E358" t="s">
        <v>1074</v>
      </c>
    </row>
    <row r="359" spans="4:5" x14ac:dyDescent="0.2">
      <c r="D359">
        <v>6321</v>
      </c>
      <c r="E359" t="s">
        <v>1075</v>
      </c>
    </row>
    <row r="360" spans="4:5" x14ac:dyDescent="0.2">
      <c r="D360">
        <v>6322</v>
      </c>
      <c r="E360" t="s">
        <v>536</v>
      </c>
    </row>
    <row r="361" spans="4:5" x14ac:dyDescent="0.2">
      <c r="D361">
        <v>6323</v>
      </c>
      <c r="E361" t="s">
        <v>1076</v>
      </c>
    </row>
    <row r="362" spans="4:5" x14ac:dyDescent="0.2">
      <c r="D362">
        <v>6324</v>
      </c>
      <c r="E362" t="s">
        <v>1077</v>
      </c>
    </row>
    <row r="363" spans="4:5" x14ac:dyDescent="0.2">
      <c r="D363">
        <v>6329</v>
      </c>
      <c r="E363" t="s">
        <v>1078</v>
      </c>
    </row>
    <row r="364" spans="4:5" x14ac:dyDescent="0.2">
      <c r="D364">
        <v>6330</v>
      </c>
      <c r="E364" t="s">
        <v>1079</v>
      </c>
    </row>
    <row r="365" spans="4:5" x14ac:dyDescent="0.2">
      <c r="D365">
        <v>6340</v>
      </c>
      <c r="E365" t="s">
        <v>1080</v>
      </c>
    </row>
    <row r="366" spans="4:5" x14ac:dyDescent="0.2">
      <c r="D366">
        <v>6350</v>
      </c>
      <c r="E366" t="s">
        <v>1081</v>
      </c>
    </row>
    <row r="367" spans="4:5" x14ac:dyDescent="0.2">
      <c r="D367">
        <v>6360</v>
      </c>
      <c r="E367" t="s">
        <v>795</v>
      </c>
    </row>
    <row r="368" spans="4:5" x14ac:dyDescent="0.2">
      <c r="D368">
        <v>6400</v>
      </c>
      <c r="E368" t="s">
        <v>1082</v>
      </c>
    </row>
    <row r="369" spans="4:5" x14ac:dyDescent="0.2">
      <c r="D369">
        <v>6410</v>
      </c>
      <c r="E369" t="s">
        <v>1083</v>
      </c>
    </row>
    <row r="370" spans="4:5" x14ac:dyDescent="0.2">
      <c r="D370">
        <v>6411</v>
      </c>
      <c r="E370" t="s">
        <v>371</v>
      </c>
    </row>
    <row r="371" spans="4:5" x14ac:dyDescent="0.2">
      <c r="D371">
        <v>6412</v>
      </c>
      <c r="E371" t="s">
        <v>364</v>
      </c>
    </row>
    <row r="372" spans="4:5" x14ac:dyDescent="0.2">
      <c r="D372">
        <v>6419</v>
      </c>
      <c r="E372" t="s">
        <v>524</v>
      </c>
    </row>
    <row r="373" spans="4:5" x14ac:dyDescent="0.2">
      <c r="D373">
        <v>6420</v>
      </c>
      <c r="E373" t="s">
        <v>1084</v>
      </c>
    </row>
    <row r="374" spans="4:5" x14ac:dyDescent="0.2">
      <c r="D374">
        <v>6421</v>
      </c>
      <c r="E374" t="s">
        <v>521</v>
      </c>
    </row>
    <row r="375" spans="4:5" x14ac:dyDescent="0.2">
      <c r="D375">
        <v>6422</v>
      </c>
      <c r="E375" t="s">
        <v>207</v>
      </c>
    </row>
    <row r="376" spans="4:5" x14ac:dyDescent="0.2">
      <c r="D376">
        <v>6423</v>
      </c>
      <c r="E376" t="s">
        <v>238</v>
      </c>
    </row>
    <row r="377" spans="4:5" x14ac:dyDescent="0.2">
      <c r="D377">
        <v>6500</v>
      </c>
      <c r="E377" t="s">
        <v>877</v>
      </c>
    </row>
    <row r="378" spans="4:5" x14ac:dyDescent="0.2">
      <c r="D378">
        <v>7000</v>
      </c>
      <c r="E378" t="s">
        <v>661</v>
      </c>
    </row>
    <row r="379" spans="4:5" x14ac:dyDescent="0.2">
      <c r="D379">
        <v>7100</v>
      </c>
      <c r="E379" t="s">
        <v>1085</v>
      </c>
    </row>
    <row r="380" spans="4:5" x14ac:dyDescent="0.2">
      <c r="D380">
        <v>7110</v>
      </c>
      <c r="E380" t="s">
        <v>1086</v>
      </c>
    </row>
    <row r="381" spans="4:5" x14ac:dyDescent="0.2">
      <c r="D381">
        <v>7130</v>
      </c>
      <c r="E381" t="s">
        <v>1087</v>
      </c>
    </row>
    <row r="382" spans="4:5" x14ac:dyDescent="0.2">
      <c r="D382">
        <v>7131</v>
      </c>
      <c r="E382" t="s">
        <v>1088</v>
      </c>
    </row>
    <row r="383" spans="4:5" x14ac:dyDescent="0.2">
      <c r="D383">
        <v>7132</v>
      </c>
      <c r="E383" t="s">
        <v>1089</v>
      </c>
    </row>
    <row r="384" spans="4:5" x14ac:dyDescent="0.2">
      <c r="D384">
        <v>7137</v>
      </c>
      <c r="E384" t="s">
        <v>1090</v>
      </c>
    </row>
    <row r="385" spans="4:5" x14ac:dyDescent="0.2">
      <c r="D385">
        <v>7138</v>
      </c>
      <c r="E385" t="s">
        <v>1091</v>
      </c>
    </row>
    <row r="386" spans="4:5" x14ac:dyDescent="0.2">
      <c r="D386">
        <v>7139</v>
      </c>
      <c r="E386" t="s">
        <v>1092</v>
      </c>
    </row>
    <row r="387" spans="4:5" x14ac:dyDescent="0.2">
      <c r="D387">
        <v>7140</v>
      </c>
      <c r="E387" t="s">
        <v>1093</v>
      </c>
    </row>
    <row r="388" spans="4:5" x14ac:dyDescent="0.2">
      <c r="D388">
        <v>7200</v>
      </c>
      <c r="E388" t="s">
        <v>1094</v>
      </c>
    </row>
    <row r="389" spans="4:5" x14ac:dyDescent="0.2">
      <c r="D389">
        <v>7210</v>
      </c>
      <c r="E389" t="s">
        <v>886</v>
      </c>
    </row>
    <row r="390" spans="4:5" x14ac:dyDescent="0.2">
      <c r="D390">
        <v>7220</v>
      </c>
      <c r="E390" t="s">
        <v>1095</v>
      </c>
    </row>
    <row r="391" spans="4:5" x14ac:dyDescent="0.2">
      <c r="D391">
        <v>7222</v>
      </c>
      <c r="E391" t="s">
        <v>1096</v>
      </c>
    </row>
    <row r="392" spans="4:5" x14ac:dyDescent="0.2">
      <c r="D392">
        <v>7230</v>
      </c>
      <c r="E392" t="s">
        <v>504</v>
      </c>
    </row>
    <row r="393" spans="4:5" x14ac:dyDescent="0.2">
      <c r="D393">
        <v>7240</v>
      </c>
      <c r="E393" t="s">
        <v>1097</v>
      </c>
    </row>
    <row r="394" spans="4:5" x14ac:dyDescent="0.2">
      <c r="D394">
        <v>7245</v>
      </c>
      <c r="E394" t="s">
        <v>302</v>
      </c>
    </row>
    <row r="395" spans="4:5" x14ac:dyDescent="0.2">
      <c r="D395">
        <v>7246</v>
      </c>
      <c r="E395" t="s">
        <v>1098</v>
      </c>
    </row>
    <row r="396" spans="4:5" x14ac:dyDescent="0.2">
      <c r="D396">
        <v>7247</v>
      </c>
      <c r="E396" t="s">
        <v>297</v>
      </c>
    </row>
    <row r="397" spans="4:5" x14ac:dyDescent="0.2">
      <c r="D397">
        <v>7260</v>
      </c>
      <c r="E397" t="s">
        <v>214</v>
      </c>
    </row>
    <row r="398" spans="4:5" x14ac:dyDescent="0.2">
      <c r="D398">
        <v>7270</v>
      </c>
      <c r="E398" t="s">
        <v>1099</v>
      </c>
    </row>
    <row r="399" spans="4:5" x14ac:dyDescent="0.2">
      <c r="D399">
        <v>7300</v>
      </c>
      <c r="E399" t="s">
        <v>1100</v>
      </c>
    </row>
    <row r="400" spans="4:5" x14ac:dyDescent="0.2">
      <c r="D400">
        <v>7310</v>
      </c>
      <c r="E400" t="s">
        <v>1101</v>
      </c>
    </row>
    <row r="401" spans="4:5" x14ac:dyDescent="0.2">
      <c r="D401">
        <v>7320</v>
      </c>
      <c r="E401" t="s">
        <v>1102</v>
      </c>
    </row>
    <row r="402" spans="4:5" x14ac:dyDescent="0.2">
      <c r="D402">
        <v>7350</v>
      </c>
      <c r="E402" t="s">
        <v>1103</v>
      </c>
    </row>
    <row r="403" spans="4:5" x14ac:dyDescent="0.2">
      <c r="D403">
        <v>7351</v>
      </c>
      <c r="E403" t="s">
        <v>1104</v>
      </c>
    </row>
    <row r="404" spans="4:5" x14ac:dyDescent="0.2">
      <c r="D404">
        <v>7352</v>
      </c>
      <c r="E404" t="s">
        <v>1105</v>
      </c>
    </row>
    <row r="405" spans="4:5" x14ac:dyDescent="0.2">
      <c r="D405">
        <v>7353</v>
      </c>
      <c r="E405" t="s">
        <v>1106</v>
      </c>
    </row>
    <row r="406" spans="4:5" x14ac:dyDescent="0.2">
      <c r="D406">
        <v>7354</v>
      </c>
      <c r="E406" t="s">
        <v>1107</v>
      </c>
    </row>
    <row r="407" spans="4:5" x14ac:dyDescent="0.2">
      <c r="D407">
        <v>7400</v>
      </c>
      <c r="E407" t="s">
        <v>1108</v>
      </c>
    </row>
    <row r="408" spans="4:5" x14ac:dyDescent="0.2">
      <c r="D408">
        <v>7460</v>
      </c>
      <c r="E408" t="s">
        <v>1109</v>
      </c>
    </row>
    <row r="409" spans="4:5" x14ac:dyDescent="0.2">
      <c r="D409">
        <v>7470</v>
      </c>
      <c r="E409" t="s">
        <v>1110</v>
      </c>
    </row>
    <row r="410" spans="4:5" x14ac:dyDescent="0.2">
      <c r="D410">
        <v>7471</v>
      </c>
      <c r="E410" t="s">
        <v>1111</v>
      </c>
    </row>
    <row r="411" spans="4:5" x14ac:dyDescent="0.2">
      <c r="D411">
        <v>7472</v>
      </c>
      <c r="E411" t="s">
        <v>1112</v>
      </c>
    </row>
    <row r="412" spans="4:5" x14ac:dyDescent="0.2">
      <c r="D412">
        <v>7500</v>
      </c>
      <c r="E412" t="s">
        <v>1113</v>
      </c>
    </row>
    <row r="413" spans="4:5" x14ac:dyDescent="0.2">
      <c r="D413">
        <v>7510</v>
      </c>
      <c r="E413" t="s">
        <v>1114</v>
      </c>
    </row>
    <row r="414" spans="4:5" x14ac:dyDescent="0.2">
      <c r="D414">
        <v>7600</v>
      </c>
      <c r="E414" t="s">
        <v>1115</v>
      </c>
    </row>
    <row r="415" spans="4:5" x14ac:dyDescent="0.2">
      <c r="D415">
        <v>7610</v>
      </c>
      <c r="E415" t="s">
        <v>1116</v>
      </c>
    </row>
    <row r="416" spans="4:5" x14ac:dyDescent="0.2">
      <c r="D416">
        <v>7620</v>
      </c>
      <c r="E416" t="s">
        <v>1117</v>
      </c>
    </row>
    <row r="417" spans="4:5" x14ac:dyDescent="0.2">
      <c r="D417">
        <v>7621</v>
      </c>
      <c r="E417" t="s">
        <v>1118</v>
      </c>
    </row>
    <row r="418" spans="4:5" x14ac:dyDescent="0.2">
      <c r="D418">
        <v>7622</v>
      </c>
      <c r="E418" t="s">
        <v>1119</v>
      </c>
    </row>
    <row r="419" spans="4:5" x14ac:dyDescent="0.2">
      <c r="D419">
        <v>7623</v>
      </c>
      <c r="E419" t="s">
        <v>1120</v>
      </c>
    </row>
    <row r="420" spans="4:5" x14ac:dyDescent="0.2">
      <c r="D420">
        <v>7624</v>
      </c>
      <c r="E420" t="s">
        <v>1121</v>
      </c>
    </row>
    <row r="421" spans="4:5" x14ac:dyDescent="0.2">
      <c r="D421">
        <v>7630</v>
      </c>
      <c r="E421" t="s">
        <v>1122</v>
      </c>
    </row>
    <row r="422" spans="4:5" x14ac:dyDescent="0.2">
      <c r="D422">
        <v>7631</v>
      </c>
      <c r="E422" t="s">
        <v>1123</v>
      </c>
    </row>
    <row r="423" spans="4:5" x14ac:dyDescent="0.2">
      <c r="D423">
        <v>7632</v>
      </c>
      <c r="E423" t="s">
        <v>1124</v>
      </c>
    </row>
    <row r="424" spans="4:5" x14ac:dyDescent="0.2">
      <c r="D424">
        <v>7639</v>
      </c>
      <c r="E424" t="s">
        <v>1125</v>
      </c>
    </row>
    <row r="425" spans="4:5" x14ac:dyDescent="0.2">
      <c r="D425">
        <v>7700</v>
      </c>
      <c r="E425" t="s">
        <v>1126</v>
      </c>
    </row>
    <row r="426" spans="4:5" x14ac:dyDescent="0.2">
      <c r="D426">
        <v>7710</v>
      </c>
      <c r="E426" t="s">
        <v>1127</v>
      </c>
    </row>
    <row r="427" spans="4:5" x14ac:dyDescent="0.2">
      <c r="D427">
        <v>7711</v>
      </c>
      <c r="E427" t="s">
        <v>1128</v>
      </c>
    </row>
    <row r="428" spans="4:5" x14ac:dyDescent="0.2">
      <c r="D428">
        <v>7712</v>
      </c>
      <c r="E428" t="s">
        <v>1129</v>
      </c>
    </row>
    <row r="429" spans="4:5" x14ac:dyDescent="0.2">
      <c r="D429">
        <v>7713</v>
      </c>
      <c r="E429" t="s">
        <v>1130</v>
      </c>
    </row>
    <row r="430" spans="4:5" x14ac:dyDescent="0.2">
      <c r="D430">
        <v>7714</v>
      </c>
      <c r="E430" t="s">
        <v>1131</v>
      </c>
    </row>
    <row r="431" spans="4:5" x14ac:dyDescent="0.2">
      <c r="D431">
        <v>7715</v>
      </c>
      <c r="E431" t="s">
        <v>1132</v>
      </c>
    </row>
    <row r="432" spans="4:5" x14ac:dyDescent="0.2">
      <c r="D432">
        <v>7720</v>
      </c>
      <c r="E432" t="s">
        <v>1133</v>
      </c>
    </row>
    <row r="433" spans="4:5" x14ac:dyDescent="0.2">
      <c r="D433">
        <v>7730</v>
      </c>
      <c r="E433" t="s">
        <v>1134</v>
      </c>
    </row>
    <row r="434" spans="4:5" x14ac:dyDescent="0.2">
      <c r="D434">
        <v>7800</v>
      </c>
      <c r="E434" t="s">
        <v>1135</v>
      </c>
    </row>
    <row r="435" spans="4:5" x14ac:dyDescent="0.2">
      <c r="D435">
        <v>7810</v>
      </c>
      <c r="E435" t="s">
        <v>1136</v>
      </c>
    </row>
    <row r="436" spans="4:5" x14ac:dyDescent="0.2">
      <c r="D436">
        <v>7811</v>
      </c>
      <c r="E436" t="s">
        <v>1137</v>
      </c>
    </row>
    <row r="437" spans="4:5" x14ac:dyDescent="0.2">
      <c r="D437">
        <v>7812</v>
      </c>
      <c r="E437" t="s">
        <v>1138</v>
      </c>
    </row>
    <row r="438" spans="4:5" x14ac:dyDescent="0.2">
      <c r="D438">
        <v>7813</v>
      </c>
      <c r="E438" t="s">
        <v>1139</v>
      </c>
    </row>
    <row r="439" spans="4:5" x14ac:dyDescent="0.2">
      <c r="D439">
        <v>7814</v>
      </c>
      <c r="E439" t="s">
        <v>1140</v>
      </c>
    </row>
    <row r="440" spans="4:5" x14ac:dyDescent="0.2">
      <c r="D440">
        <v>7820</v>
      </c>
      <c r="E440" t="s">
        <v>1141</v>
      </c>
    </row>
    <row r="441" spans="4:5" x14ac:dyDescent="0.2">
      <c r="D441">
        <v>7830</v>
      </c>
      <c r="E441" t="s">
        <v>1142</v>
      </c>
    </row>
    <row r="442" spans="4:5" x14ac:dyDescent="0.2">
      <c r="D442">
        <v>7840</v>
      </c>
      <c r="E442" t="s">
        <v>1143</v>
      </c>
    </row>
    <row r="443" spans="4:5" x14ac:dyDescent="0.2">
      <c r="D443">
        <v>7841</v>
      </c>
      <c r="E443" t="s">
        <v>1144</v>
      </c>
    </row>
    <row r="444" spans="4:5" x14ac:dyDescent="0.2">
      <c r="D444">
        <v>7842</v>
      </c>
      <c r="E444" t="s">
        <v>1145</v>
      </c>
    </row>
    <row r="445" spans="4:5" x14ac:dyDescent="0.2">
      <c r="D445">
        <v>8000</v>
      </c>
      <c r="E445" t="s">
        <v>1146</v>
      </c>
    </row>
    <row r="446" spans="4:5" x14ac:dyDescent="0.2">
      <c r="D446">
        <v>8100</v>
      </c>
      <c r="E446" t="s">
        <v>1147</v>
      </c>
    </row>
    <row r="447" spans="4:5" x14ac:dyDescent="0.2">
      <c r="D447">
        <v>8120</v>
      </c>
      <c r="E447" t="s">
        <v>1148</v>
      </c>
    </row>
    <row r="448" spans="4:5" x14ac:dyDescent="0.2">
      <c r="D448">
        <v>8600</v>
      </c>
      <c r="E448" t="s">
        <v>1149</v>
      </c>
    </row>
    <row r="449" spans="4:5" x14ac:dyDescent="0.2">
      <c r="D449">
        <v>8610</v>
      </c>
      <c r="E449" t="s">
        <v>1150</v>
      </c>
    </row>
    <row r="450" spans="4:5" x14ac:dyDescent="0.2">
      <c r="D450">
        <v>8900</v>
      </c>
      <c r="E450" t="s">
        <v>1151</v>
      </c>
    </row>
    <row r="451" spans="4:5" x14ac:dyDescent="0.2">
      <c r="D451">
        <v>9000</v>
      </c>
      <c r="E451" t="s">
        <v>1152</v>
      </c>
    </row>
    <row r="452" spans="4:5" x14ac:dyDescent="0.2">
      <c r="D452">
        <v>9100</v>
      </c>
      <c r="E452" t="s">
        <v>1153</v>
      </c>
    </row>
    <row r="453" spans="4:5" x14ac:dyDescent="0.2">
      <c r="D453">
        <v>9110</v>
      </c>
      <c r="E453" t="s">
        <v>1154</v>
      </c>
    </row>
    <row r="454" spans="4:5" x14ac:dyDescent="0.2">
      <c r="D454">
        <v>9120</v>
      </c>
      <c r="E454" t="s">
        <v>1155</v>
      </c>
    </row>
    <row r="455" spans="4:5" x14ac:dyDescent="0.2">
      <c r="D455">
        <v>9140</v>
      </c>
      <c r="E455" t="s">
        <v>1156</v>
      </c>
    </row>
    <row r="456" spans="4:5" x14ac:dyDescent="0.2">
      <c r="D456">
        <v>9141</v>
      </c>
      <c r="E456" t="s">
        <v>1157</v>
      </c>
    </row>
    <row r="457" spans="4:5" x14ac:dyDescent="0.2">
      <c r="D457">
        <v>9142</v>
      </c>
      <c r="E457" t="s">
        <v>1158</v>
      </c>
    </row>
    <row r="458" spans="4:5" x14ac:dyDescent="0.2">
      <c r="D458">
        <v>9147</v>
      </c>
      <c r="E458" t="s">
        <v>1159</v>
      </c>
    </row>
    <row r="459" spans="4:5" x14ac:dyDescent="0.2">
      <c r="D459">
        <v>9148</v>
      </c>
      <c r="E459" t="s">
        <v>1160</v>
      </c>
    </row>
    <row r="460" spans="4:5" x14ac:dyDescent="0.2">
      <c r="D460">
        <v>9149</v>
      </c>
      <c r="E460" t="s">
        <v>1161</v>
      </c>
    </row>
    <row r="461" spans="4:5" x14ac:dyDescent="0.2">
      <c r="D461">
        <v>9150</v>
      </c>
      <c r="E461" t="s">
        <v>1162</v>
      </c>
    </row>
    <row r="462" spans="4:5" x14ac:dyDescent="0.2">
      <c r="D462">
        <v>9200</v>
      </c>
      <c r="E462" t="s">
        <v>1163</v>
      </c>
    </row>
    <row r="463" spans="4:5" x14ac:dyDescent="0.2">
      <c r="D463">
        <v>9230</v>
      </c>
      <c r="E463" t="s">
        <v>1164</v>
      </c>
    </row>
    <row r="464" spans="4:5" x14ac:dyDescent="0.2">
      <c r="D464">
        <v>9240</v>
      </c>
      <c r="E464" t="s">
        <v>1165</v>
      </c>
    </row>
    <row r="465" spans="4:5" x14ac:dyDescent="0.2">
      <c r="D465">
        <v>9241</v>
      </c>
      <c r="E465" t="s">
        <v>1166</v>
      </c>
    </row>
    <row r="466" spans="4:5" x14ac:dyDescent="0.2">
      <c r="D466">
        <v>9242</v>
      </c>
      <c r="E466" t="s">
        <v>1167</v>
      </c>
    </row>
    <row r="467" spans="4:5" x14ac:dyDescent="0.2">
      <c r="D467">
        <v>9250</v>
      </c>
      <c r="E467" t="s">
        <v>1168</v>
      </c>
    </row>
    <row r="468" spans="4:5" x14ac:dyDescent="0.2">
      <c r="D468">
        <v>9260</v>
      </c>
      <c r="E468" t="s">
        <v>1169</v>
      </c>
    </row>
    <row r="469" spans="4:5" x14ac:dyDescent="0.2">
      <c r="D469">
        <v>9261</v>
      </c>
      <c r="E469" t="s">
        <v>1170</v>
      </c>
    </row>
    <row r="470" spans="4:5" x14ac:dyDescent="0.2">
      <c r="D470">
        <v>9262</v>
      </c>
      <c r="E470" t="s">
        <v>1171</v>
      </c>
    </row>
    <row r="471" spans="4:5" x14ac:dyDescent="0.2">
      <c r="D471">
        <v>9263</v>
      </c>
      <c r="E471" t="s">
        <v>1172</v>
      </c>
    </row>
    <row r="472" spans="4:5" x14ac:dyDescent="0.2">
      <c r="D472">
        <v>9270</v>
      </c>
      <c r="E472" t="s">
        <v>1173</v>
      </c>
    </row>
    <row r="473" spans="4:5" x14ac:dyDescent="0.2">
      <c r="D473">
        <v>9500</v>
      </c>
      <c r="E473" t="s">
        <v>1174</v>
      </c>
    </row>
    <row r="474" spans="4:5" x14ac:dyDescent="0.2">
      <c r="D474">
        <v>9510</v>
      </c>
      <c r="E474" t="s">
        <v>1175</v>
      </c>
    </row>
    <row r="475" spans="4:5" x14ac:dyDescent="0.2">
      <c r="D475">
        <v>9580</v>
      </c>
      <c r="E475" t="s">
        <v>1176</v>
      </c>
    </row>
    <row r="476" spans="4:5" x14ac:dyDescent="0.2">
      <c r="D476">
        <v>9590</v>
      </c>
      <c r="E476" t="s">
        <v>1177</v>
      </c>
    </row>
    <row r="477" spans="4:5" x14ac:dyDescent="0.2">
      <c r="D477">
        <v>9591</v>
      </c>
      <c r="E477" t="s">
        <v>1178</v>
      </c>
    </row>
    <row r="478" spans="4:5" x14ac:dyDescent="0.2">
      <c r="D478">
        <v>9592</v>
      </c>
      <c r="E478" t="s">
        <v>1179</v>
      </c>
    </row>
    <row r="479" spans="4:5" x14ac:dyDescent="0.2">
      <c r="D479">
        <v>9593</v>
      </c>
      <c r="E479" t="s">
        <v>1180</v>
      </c>
    </row>
    <row r="480" spans="4:5" x14ac:dyDescent="0.2">
      <c r="D480">
        <v>9594</v>
      </c>
      <c r="E480" t="s">
        <v>1181</v>
      </c>
    </row>
    <row r="481" spans="4:5" x14ac:dyDescent="0.2">
      <c r="D481">
        <v>9600</v>
      </c>
      <c r="E481" t="s">
        <v>1182</v>
      </c>
    </row>
    <row r="482" spans="4:5" x14ac:dyDescent="0.2">
      <c r="D482">
        <v>9610</v>
      </c>
      <c r="E482" t="s">
        <v>1183</v>
      </c>
    </row>
    <row r="483" spans="4:5" x14ac:dyDescent="0.2">
      <c r="D483">
        <v>9611</v>
      </c>
      <c r="E483" t="s">
        <v>1184</v>
      </c>
    </row>
    <row r="484" spans="4:5" x14ac:dyDescent="0.2">
      <c r="D484">
        <v>9700</v>
      </c>
      <c r="E484" t="s">
        <v>1185</v>
      </c>
    </row>
    <row r="485" spans="4:5" x14ac:dyDescent="0.2">
      <c r="D485">
        <v>9710</v>
      </c>
      <c r="E485" t="s">
        <v>1186</v>
      </c>
    </row>
    <row r="486" spans="4:5" x14ac:dyDescent="0.2">
      <c r="D486">
        <v>9720</v>
      </c>
      <c r="E486" t="s">
        <v>1187</v>
      </c>
    </row>
    <row r="487" spans="4:5" x14ac:dyDescent="0.2">
      <c r="D487">
        <v>9721</v>
      </c>
      <c r="E487" t="s">
        <v>1188</v>
      </c>
    </row>
    <row r="488" spans="4:5" x14ac:dyDescent="0.2">
      <c r="D488">
        <v>9722</v>
      </c>
      <c r="E488" t="s">
        <v>1189</v>
      </c>
    </row>
    <row r="489" spans="4:5" x14ac:dyDescent="0.2">
      <c r="D489">
        <v>9800</v>
      </c>
      <c r="E489" t="s">
        <v>1190</v>
      </c>
    </row>
    <row r="490" spans="4:5" x14ac:dyDescent="0.2">
      <c r="D490">
        <v>9810</v>
      </c>
      <c r="E490" t="s">
        <v>1191</v>
      </c>
    </row>
    <row r="491" spans="4:5" x14ac:dyDescent="0.2">
      <c r="D491">
        <v>9811</v>
      </c>
      <c r="E491" t="s">
        <v>1192</v>
      </c>
    </row>
    <row r="492" spans="4:5" x14ac:dyDescent="0.2">
      <c r="D492">
        <v>9812</v>
      </c>
      <c r="E492" t="s">
        <v>1193</v>
      </c>
    </row>
    <row r="493" spans="4:5" x14ac:dyDescent="0.2">
      <c r="D493">
        <v>9813</v>
      </c>
      <c r="E493" t="s">
        <v>1194</v>
      </c>
    </row>
    <row r="494" spans="4:5" x14ac:dyDescent="0.2">
      <c r="D494">
        <v>9814</v>
      </c>
      <c r="E494" t="s">
        <v>1140</v>
      </c>
    </row>
    <row r="495" spans="4:5" x14ac:dyDescent="0.2">
      <c r="D495">
        <v>9820</v>
      </c>
      <c r="E495" t="s">
        <v>1195</v>
      </c>
    </row>
    <row r="496" spans="4:5" x14ac:dyDescent="0.2">
      <c r="D496">
        <v>9830</v>
      </c>
      <c r="E496" t="s">
        <v>1196</v>
      </c>
    </row>
    <row r="497" spans="4:5" x14ac:dyDescent="0.2">
      <c r="D497">
        <v>9840</v>
      </c>
      <c r="E497" t="s">
        <v>1197</v>
      </c>
    </row>
    <row r="498" spans="4:5" x14ac:dyDescent="0.2">
      <c r="D498">
        <v>9841</v>
      </c>
      <c r="E498" t="s">
        <v>1198</v>
      </c>
    </row>
    <row r="499" spans="4:5" x14ac:dyDescent="0.2">
      <c r="D499">
        <v>9842</v>
      </c>
      <c r="E499" t="s">
        <v>1199</v>
      </c>
    </row>
    <row r="500" spans="4:5" x14ac:dyDescent="0.2">
      <c r="D500">
        <v>9615</v>
      </c>
      <c r="E500" t="s">
        <v>1200</v>
      </c>
    </row>
  </sheetData>
  <mergeCells count="1">
    <mergeCell ref="K4:L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262F-127E-41A4-8043-2D99291DCFE6}">
  <sheetPr codeName="Lapa3">
    <tabColor theme="2" tint="-0.749992370372631"/>
  </sheetPr>
  <dimension ref="B5:S44"/>
  <sheetViews>
    <sheetView zoomScaleNormal="100" workbookViewId="0">
      <selection activeCell="G10" sqref="G10"/>
    </sheetView>
  </sheetViews>
  <sheetFormatPr defaultRowHeight="11.4" x14ac:dyDescent="0.2"/>
  <cols>
    <col min="1" max="1" width="3.25" customWidth="1"/>
    <col min="2" max="2" width="12.125" customWidth="1"/>
    <col min="3" max="7" width="13.75" customWidth="1"/>
    <col min="8" max="8" width="2.125" customWidth="1"/>
    <col min="9" max="10" width="12" customWidth="1"/>
    <col min="11" max="11" width="1.625" customWidth="1"/>
    <col min="12" max="13" width="12" customWidth="1"/>
    <col min="14" max="14" width="2" customWidth="1"/>
    <col min="15" max="16" width="12" customWidth="1"/>
    <col min="17" max="17" width="2" customWidth="1"/>
    <col min="18" max="18" width="10.875" bestFit="1" customWidth="1"/>
  </cols>
  <sheetData>
    <row r="5" spans="2:19" ht="12" x14ac:dyDescent="0.2">
      <c r="I5" s="530" t="s">
        <v>320</v>
      </c>
      <c r="J5" s="530"/>
      <c r="L5" s="530" t="s">
        <v>320</v>
      </c>
      <c r="M5" s="530"/>
      <c r="O5" s="530" t="s">
        <v>320</v>
      </c>
      <c r="P5" s="530"/>
      <c r="R5" s="530" t="s">
        <v>320</v>
      </c>
      <c r="S5" s="530"/>
    </row>
    <row r="6" spans="2:19" ht="12" x14ac:dyDescent="0.25">
      <c r="C6" s="2">
        <v>2021</v>
      </c>
      <c r="D6" s="2">
        <v>2022</v>
      </c>
      <c r="E6" s="2">
        <v>2023</v>
      </c>
      <c r="F6" s="2">
        <v>2024</v>
      </c>
      <c r="G6" s="162">
        <v>2025</v>
      </c>
      <c r="H6" s="2"/>
      <c r="I6" s="2" t="s">
        <v>801</v>
      </c>
      <c r="J6" s="2" t="s">
        <v>734</v>
      </c>
      <c r="K6" s="2"/>
      <c r="L6" s="2" t="s">
        <v>800</v>
      </c>
      <c r="M6" s="2" t="s">
        <v>735</v>
      </c>
      <c r="N6" s="2"/>
      <c r="O6" s="2" t="s">
        <v>796</v>
      </c>
      <c r="P6" s="2" t="s">
        <v>736</v>
      </c>
      <c r="Q6" s="2"/>
      <c r="R6" s="162" t="s">
        <v>1296</v>
      </c>
      <c r="S6" s="162" t="s">
        <v>1297</v>
      </c>
    </row>
    <row r="7" spans="2:19" ht="12" x14ac:dyDescent="0.2">
      <c r="G7" s="163"/>
      <c r="I7" s="6"/>
      <c r="R7" s="163"/>
      <c r="S7" s="163"/>
    </row>
    <row r="8" spans="2:19" ht="12" x14ac:dyDescent="0.25">
      <c r="B8" s="2" t="s">
        <v>534</v>
      </c>
      <c r="C8" s="3">
        <v>22209387</v>
      </c>
      <c r="D8" s="3">
        <v>27602472</v>
      </c>
      <c r="E8" s="104">
        <v>28441559</v>
      </c>
      <c r="F8" s="104">
        <v>34832686</v>
      </c>
      <c r="G8" s="166">
        <v>39439118.035891481</v>
      </c>
      <c r="I8" s="6">
        <f>D8-C8</f>
        <v>5393085</v>
      </c>
      <c r="J8" s="103">
        <f>I8/C8</f>
        <v>0.2428290794338448</v>
      </c>
      <c r="L8" s="6">
        <f>E8-D8</f>
        <v>839087</v>
      </c>
      <c r="M8" s="103">
        <f>L8/D8</f>
        <v>3.0398980207279987E-2</v>
      </c>
      <c r="O8" s="6">
        <f>F8-E8</f>
        <v>6391127</v>
      </c>
      <c r="P8" s="103">
        <f>O8/E8</f>
        <v>0.22471085357873666</v>
      </c>
      <c r="R8" s="164">
        <f>G8-F8</f>
        <v>4606432.0358914807</v>
      </c>
      <c r="S8" s="165">
        <f>R8/G8</f>
        <v>0.11679855598442662</v>
      </c>
    </row>
    <row r="9" spans="2:19" ht="12" x14ac:dyDescent="0.25">
      <c r="B9" s="161" t="s">
        <v>518</v>
      </c>
      <c r="C9" s="117">
        <v>4148846</v>
      </c>
      <c r="D9" s="117">
        <v>7562074</v>
      </c>
      <c r="E9" s="117">
        <v>4418774</v>
      </c>
      <c r="F9" s="117">
        <v>6416270</v>
      </c>
      <c r="G9" s="166">
        <v>6917724</v>
      </c>
      <c r="I9" s="159">
        <f>D9-C9</f>
        <v>3413228</v>
      </c>
      <c r="J9" s="160">
        <f>I9/C9</f>
        <v>0.82269334653539805</v>
      </c>
      <c r="L9" s="159">
        <f>E9-D9</f>
        <v>-3143300</v>
      </c>
      <c r="M9" s="160">
        <f>L9/D9</f>
        <v>-0.41566638993482474</v>
      </c>
      <c r="O9" s="159">
        <f>F9-E9</f>
        <v>1997496</v>
      </c>
      <c r="P9" s="160">
        <f>O9/E9</f>
        <v>0.45204755889303233</v>
      </c>
      <c r="R9" s="164">
        <f>G9-F9</f>
        <v>501454</v>
      </c>
      <c r="S9" s="165">
        <f>R9/G9</f>
        <v>7.2488292392122039E-2</v>
      </c>
    </row>
    <row r="10" spans="2:19" ht="12" x14ac:dyDescent="0.25">
      <c r="B10" s="2" t="s">
        <v>797</v>
      </c>
      <c r="C10" s="6">
        <f>C8-C9</f>
        <v>18060541</v>
      </c>
      <c r="D10" s="6">
        <f>D8-D9</f>
        <v>20040398</v>
      </c>
      <c r="E10" s="6">
        <f>E8-E9</f>
        <v>24022785</v>
      </c>
      <c r="F10" s="6">
        <f>F8-F9</f>
        <v>28416416</v>
      </c>
      <c r="G10" s="164">
        <f>G8-G9</f>
        <v>32521394.035891481</v>
      </c>
      <c r="I10" s="6">
        <f>D10-C10</f>
        <v>1979857</v>
      </c>
      <c r="J10" s="103">
        <f>I10/C10</f>
        <v>0.10962334959954965</v>
      </c>
      <c r="L10" s="6">
        <f>E10-D10</f>
        <v>3982387</v>
      </c>
      <c r="M10" s="103">
        <f>L10/D10</f>
        <v>0.19871795959341726</v>
      </c>
      <c r="O10" s="6">
        <f>F10-E10</f>
        <v>4393631</v>
      </c>
      <c r="P10" s="103">
        <f>O10/E10</f>
        <v>0.1828943230354016</v>
      </c>
      <c r="R10" s="164">
        <f>G10-F10</f>
        <v>4104978.0358914807</v>
      </c>
      <c r="S10" s="165">
        <f>R10/G10</f>
        <v>0.12622392605191268</v>
      </c>
    </row>
    <row r="14" spans="2:19" ht="12" x14ac:dyDescent="0.25">
      <c r="B14" s="2" t="s">
        <v>798</v>
      </c>
      <c r="C14" s="103">
        <f>C9/C8</f>
        <v>0.18680596632405927</v>
      </c>
      <c r="D14" s="103">
        <f>D9/D8</f>
        <v>0.27396365079185664</v>
      </c>
      <c r="E14" s="103">
        <f>E9/E8</f>
        <v>0.1553632837074789</v>
      </c>
      <c r="F14" s="103">
        <f>F9/F8</f>
        <v>0.18420256192703599</v>
      </c>
      <c r="G14" s="103">
        <f>G9/G8</f>
        <v>0.17540260392497978</v>
      </c>
    </row>
    <row r="16" spans="2:19" ht="12" x14ac:dyDescent="0.25">
      <c r="C16" s="2" t="s">
        <v>799</v>
      </c>
      <c r="D16" s="2"/>
    </row>
    <row r="17" spans="2:17" ht="12" x14ac:dyDescent="0.2">
      <c r="C17" s="94">
        <f>C8/C9</f>
        <v>5.3531480802131481</v>
      </c>
      <c r="D17" s="94">
        <f>D8/D9</f>
        <v>3.6501192662224677</v>
      </c>
      <c r="E17" s="94">
        <f>E8/E9</f>
        <v>6.436527190573675</v>
      </c>
      <c r="F17" s="94">
        <f>F8/F9</f>
        <v>5.4288061443798341</v>
      </c>
      <c r="G17" s="94">
        <f>G8/G9</f>
        <v>5.701169638437654</v>
      </c>
    </row>
    <row r="19" spans="2:17" ht="12" x14ac:dyDescent="0.2">
      <c r="E19" s="3"/>
    </row>
    <row r="20" spans="2:17" ht="12" x14ac:dyDescent="0.2">
      <c r="D20" s="40"/>
      <c r="E20" s="3"/>
      <c r="F20" s="3"/>
      <c r="G20" s="3"/>
      <c r="I20" s="6"/>
    </row>
    <row r="21" spans="2:17" ht="12" x14ac:dyDescent="0.2">
      <c r="D21" s="40"/>
      <c r="E21" s="3"/>
      <c r="F21" s="3"/>
      <c r="G21" s="3"/>
      <c r="H21" s="3"/>
      <c r="I21" s="6"/>
    </row>
    <row r="22" spans="2:17" ht="12" x14ac:dyDescent="0.25">
      <c r="D22" s="40"/>
      <c r="E22" s="3"/>
      <c r="F22" s="170"/>
      <c r="G22" s="170"/>
      <c r="H22" s="169"/>
      <c r="I22" s="6"/>
      <c r="J22" s="2"/>
      <c r="K22" s="2"/>
      <c r="L22" s="2"/>
      <c r="M22" s="2"/>
      <c r="N22" s="2"/>
      <c r="O22" s="2"/>
      <c r="P22" s="2"/>
      <c r="Q22" s="2"/>
    </row>
    <row r="23" spans="2:17" ht="12" x14ac:dyDescent="0.25">
      <c r="B23" s="2"/>
      <c r="C23" s="2"/>
      <c r="D23" s="40"/>
      <c r="E23" s="3"/>
      <c r="F23" s="3"/>
      <c r="G23" s="3"/>
      <c r="H23" s="3"/>
      <c r="I23" s="6"/>
      <c r="J23" s="6"/>
      <c r="K23" s="6"/>
      <c r="L23" s="6"/>
      <c r="M23" s="6"/>
      <c r="N23" s="6"/>
      <c r="O23" s="6"/>
      <c r="P23" s="6"/>
      <c r="Q23" s="6"/>
    </row>
    <row r="24" spans="2:17" ht="12" x14ac:dyDescent="0.25">
      <c r="B24" s="2"/>
      <c r="C24" s="2"/>
      <c r="D24" s="2"/>
      <c r="E24" s="98"/>
      <c r="F24" s="98"/>
      <c r="G24" s="98"/>
      <c r="H24" s="6"/>
      <c r="I24" s="98"/>
      <c r="J24" s="6"/>
      <c r="K24" s="6"/>
      <c r="L24" s="6"/>
      <c r="M24" s="6"/>
      <c r="N24" s="6"/>
      <c r="O24" s="6"/>
      <c r="P24" s="6"/>
      <c r="Q24" s="6"/>
    </row>
    <row r="25" spans="2:17" ht="12" x14ac:dyDescent="0.25">
      <c r="B25" s="2"/>
      <c r="C25" s="2"/>
      <c r="D25" s="2"/>
      <c r="E25" s="6"/>
      <c r="F25" s="6"/>
      <c r="G25" s="6"/>
      <c r="H25" s="6"/>
      <c r="I25" s="6"/>
      <c r="J25" s="6"/>
      <c r="K25" s="6"/>
      <c r="L25" s="6"/>
      <c r="M25" s="6"/>
      <c r="N25" s="6"/>
      <c r="O25" s="6"/>
      <c r="P25" s="6"/>
      <c r="Q25" s="6"/>
    </row>
    <row r="26" spans="2:17" ht="12" x14ac:dyDescent="0.25">
      <c r="B26" s="2"/>
      <c r="C26" s="2"/>
      <c r="D26" s="2"/>
      <c r="E26" s="6"/>
      <c r="F26" s="6"/>
      <c r="G26" s="6"/>
      <c r="H26" s="6"/>
      <c r="I26" s="6"/>
      <c r="J26" s="6"/>
      <c r="K26" s="6"/>
      <c r="L26" s="6"/>
      <c r="M26" s="6"/>
      <c r="N26" s="6"/>
      <c r="O26" s="6"/>
      <c r="P26" s="6"/>
      <c r="Q26" s="6"/>
    </row>
    <row r="27" spans="2:17" ht="12" x14ac:dyDescent="0.2">
      <c r="E27" s="6"/>
    </row>
    <row r="28" spans="2:17" ht="12" x14ac:dyDescent="0.2">
      <c r="D28" s="41"/>
      <c r="E28" s="6"/>
    </row>
    <row r="29" spans="2:17" ht="12" x14ac:dyDescent="0.2">
      <c r="E29" s="6"/>
    </row>
    <row r="30" spans="2:17" ht="12" x14ac:dyDescent="0.2">
      <c r="E30" s="6"/>
    </row>
    <row r="31" spans="2:17" ht="12" x14ac:dyDescent="0.2">
      <c r="D31" s="172"/>
      <c r="E31" s="6"/>
      <c r="F31" s="171"/>
      <c r="G31" s="171"/>
      <c r="I31" s="3"/>
    </row>
    <row r="32" spans="2:17" ht="12" x14ac:dyDescent="0.2">
      <c r="D32" s="41"/>
      <c r="E32" s="6"/>
    </row>
    <row r="33" spans="4:5" ht="12" x14ac:dyDescent="0.2">
      <c r="D33" s="41"/>
      <c r="E33" s="6"/>
    </row>
    <row r="34" spans="4:5" ht="12" x14ac:dyDescent="0.2">
      <c r="D34" s="41"/>
      <c r="E34" s="6"/>
    </row>
    <row r="35" spans="4:5" ht="12" x14ac:dyDescent="0.2">
      <c r="D35" s="41"/>
      <c r="E35" s="6"/>
    </row>
    <row r="36" spans="4:5" ht="12" x14ac:dyDescent="0.2">
      <c r="D36" s="41"/>
      <c r="E36" s="105"/>
    </row>
    <row r="37" spans="4:5" ht="12" x14ac:dyDescent="0.2">
      <c r="E37" s="3"/>
    </row>
    <row r="38" spans="4:5" ht="12" x14ac:dyDescent="0.2">
      <c r="E38" s="3"/>
    </row>
    <row r="39" spans="4:5" ht="12" x14ac:dyDescent="0.2">
      <c r="D39" s="41"/>
      <c r="E39" s="3"/>
    </row>
    <row r="40" spans="4:5" ht="12" x14ac:dyDescent="0.2">
      <c r="E40" s="3"/>
    </row>
    <row r="41" spans="4:5" ht="12" x14ac:dyDescent="0.2">
      <c r="E41" s="3"/>
    </row>
    <row r="42" spans="4:5" ht="12" x14ac:dyDescent="0.2">
      <c r="E42" s="3"/>
    </row>
    <row r="43" spans="4:5" x14ac:dyDescent="0.2">
      <c r="E43" s="3"/>
    </row>
    <row r="44" spans="4:5" x14ac:dyDescent="0.2">
      <c r="E44" s="3"/>
    </row>
  </sheetData>
  <mergeCells count="4">
    <mergeCell ref="I5:J5"/>
    <mergeCell ref="L5:M5"/>
    <mergeCell ref="O5:P5"/>
    <mergeCell ref="R5:S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sheetPr>
  <dimension ref="A1:T297"/>
  <sheetViews>
    <sheetView zoomScale="98" zoomScaleNormal="98" zoomScaleSheetLayoutView="80" workbookViewId="0">
      <pane xSplit="4" ySplit="5" topLeftCell="M6" activePane="bottomRight" state="frozen"/>
      <selection activeCell="C1" sqref="C1"/>
      <selection pane="topRight" activeCell="E1" sqref="E1"/>
      <selection pane="bottomLeft" activeCell="C6" sqref="C6"/>
      <selection pane="bottomRight" activeCell="O3" sqref="O3:Q4"/>
    </sheetView>
  </sheetViews>
  <sheetFormatPr defaultRowHeight="13.8" outlineLevelRow="1" outlineLevelCol="2" x14ac:dyDescent="0.25"/>
  <cols>
    <col min="1" max="1" width="7.875" style="7" hidden="1" customWidth="1" outlineLevel="2"/>
    <col min="2" max="2" width="11.375" style="7" hidden="1" customWidth="1" outlineLevel="2"/>
    <col min="3" max="3" width="15" style="9" customWidth="1" collapsed="1"/>
    <col min="4" max="4" width="44" style="8" customWidth="1"/>
    <col min="5" max="5" width="14.875" style="101" customWidth="1"/>
    <col min="6" max="6" width="14.875" style="101" customWidth="1" collapsed="1"/>
    <col min="7" max="7" width="14.875" style="7" hidden="1" customWidth="1" outlineLevel="1"/>
    <col min="8" max="8" width="70.75" style="1" hidden="1" customWidth="1" outlineLevel="1" collapsed="1"/>
    <col min="9" max="9" width="14.875" style="101" customWidth="1" collapsed="1"/>
    <col min="10" max="10" width="14.875" style="7" hidden="1" customWidth="1" outlineLevel="1"/>
    <col min="11" max="11" width="70.75" style="1" hidden="1" customWidth="1" outlineLevel="1" collapsed="1"/>
    <col min="12" max="12" width="14.875" style="101" customWidth="1" collapsed="1"/>
    <col min="13" max="13" width="14.875" style="7" customWidth="1"/>
    <col min="14" max="14" width="42.875" style="1" customWidth="1" collapsed="1"/>
    <col min="15" max="15" width="14.875" style="21" customWidth="1" outlineLevel="1" collapsed="1"/>
    <col min="16" max="16" width="14.875" style="467" customWidth="1" outlineLevel="1" collapsed="1"/>
    <col min="17" max="17" width="45.875" style="7" customWidth="1" outlineLevel="1" collapsed="1"/>
    <col min="18" max="18" width="9" style="7"/>
    <col min="19" max="20" width="10.75" style="7" bestFit="1" customWidth="1"/>
    <col min="21" max="183" width="9" style="7"/>
    <col min="184" max="185" width="0" style="7" hidden="1" customWidth="1"/>
    <col min="186" max="186" width="13.75" style="7" customWidth="1"/>
    <col min="187" max="187" width="52.875" style="7" customWidth="1"/>
    <col min="188" max="227" width="0" style="7" hidden="1" customWidth="1"/>
    <col min="228" max="229" width="14.875" style="7" customWidth="1"/>
    <col min="230" max="231" width="0" style="7" hidden="1" customWidth="1"/>
    <col min="232" max="232" width="14.875" style="7" customWidth="1"/>
    <col min="233" max="234" width="0" style="7" hidden="1" customWidth="1"/>
    <col min="235" max="235" width="14.875" style="7" customWidth="1"/>
    <col min="236" max="237" width="0" style="7" hidden="1" customWidth="1"/>
    <col min="238" max="238" width="14.875" style="7" customWidth="1"/>
    <col min="239" max="240" width="0" style="7" hidden="1" customWidth="1"/>
    <col min="241" max="241" width="14.875" style="7" customWidth="1"/>
    <col min="242" max="243" width="0" style="7" hidden="1" customWidth="1"/>
    <col min="244" max="245" width="14.875" style="7" customWidth="1"/>
    <col min="246" max="246" width="44.375" style="7" customWidth="1"/>
    <col min="247" max="251" width="14.875" style="7" customWidth="1"/>
    <col min="252" max="252" width="63.875" style="7" customWidth="1"/>
    <col min="253" max="253" width="13.25" style="7" customWidth="1"/>
    <col min="254" max="439" width="9" style="7"/>
    <col min="440" max="441" width="0" style="7" hidden="1" customWidth="1"/>
    <col min="442" max="442" width="13.75" style="7" customWidth="1"/>
    <col min="443" max="443" width="52.875" style="7" customWidth="1"/>
    <col min="444" max="483" width="0" style="7" hidden="1" customWidth="1"/>
    <col min="484" max="485" width="14.875" style="7" customWidth="1"/>
    <col min="486" max="487" width="0" style="7" hidden="1" customWidth="1"/>
    <col min="488" max="488" width="14.875" style="7" customWidth="1"/>
    <col min="489" max="490" width="0" style="7" hidden="1" customWidth="1"/>
    <col min="491" max="491" width="14.875" style="7" customWidth="1"/>
    <col min="492" max="493" width="0" style="7" hidden="1" customWidth="1"/>
    <col min="494" max="494" width="14.875" style="7" customWidth="1"/>
    <col min="495" max="496" width="0" style="7" hidden="1" customWidth="1"/>
    <col min="497" max="497" width="14.875" style="7" customWidth="1"/>
    <col min="498" max="499" width="0" style="7" hidden="1" customWidth="1"/>
    <col min="500" max="501" width="14.875" style="7" customWidth="1"/>
    <col min="502" max="502" width="44.375" style="7" customWidth="1"/>
    <col min="503" max="507" width="14.875" style="7" customWidth="1"/>
    <col min="508" max="508" width="63.875" style="7" customWidth="1"/>
    <col min="509" max="509" width="13.25" style="7" customWidth="1"/>
    <col min="510" max="695" width="9" style="7"/>
    <col min="696" max="697" width="0" style="7" hidden="1" customWidth="1"/>
    <col min="698" max="698" width="13.75" style="7" customWidth="1"/>
    <col min="699" max="699" width="52.875" style="7" customWidth="1"/>
    <col min="700" max="739" width="0" style="7" hidden="1" customWidth="1"/>
    <col min="740" max="741" width="14.875" style="7" customWidth="1"/>
    <col min="742" max="743" width="0" style="7" hidden="1" customWidth="1"/>
    <col min="744" max="744" width="14.875" style="7" customWidth="1"/>
    <col min="745" max="746" width="0" style="7" hidden="1" customWidth="1"/>
    <col min="747" max="747" width="14.875" style="7" customWidth="1"/>
    <col min="748" max="749" width="0" style="7" hidden="1" customWidth="1"/>
    <col min="750" max="750" width="14.875" style="7" customWidth="1"/>
    <col min="751" max="752" width="0" style="7" hidden="1" customWidth="1"/>
    <col min="753" max="753" width="14.875" style="7" customWidth="1"/>
    <col min="754" max="755" width="0" style="7" hidden="1" customWidth="1"/>
    <col min="756" max="757" width="14.875" style="7" customWidth="1"/>
    <col min="758" max="758" width="44.375" style="7" customWidth="1"/>
    <col min="759" max="763" width="14.875" style="7" customWidth="1"/>
    <col min="764" max="764" width="63.875" style="7" customWidth="1"/>
    <col min="765" max="765" width="13.25" style="7" customWidth="1"/>
    <col min="766" max="951" width="9" style="7"/>
    <col min="952" max="953" width="0" style="7" hidden="1" customWidth="1"/>
    <col min="954" max="954" width="13.75" style="7" customWidth="1"/>
    <col min="955" max="955" width="52.875" style="7" customWidth="1"/>
    <col min="956" max="995" width="0" style="7" hidden="1" customWidth="1"/>
    <col min="996" max="997" width="14.875" style="7" customWidth="1"/>
    <col min="998" max="999" width="0" style="7" hidden="1" customWidth="1"/>
    <col min="1000" max="1000" width="14.875" style="7" customWidth="1"/>
    <col min="1001" max="1002" width="0" style="7" hidden="1" customWidth="1"/>
    <col min="1003" max="1003" width="14.875" style="7" customWidth="1"/>
    <col min="1004" max="1005" width="0" style="7" hidden="1" customWidth="1"/>
    <col min="1006" max="1006" width="14.875" style="7" customWidth="1"/>
    <col min="1007" max="1008" width="0" style="7" hidden="1" customWidth="1"/>
    <col min="1009" max="1009" width="14.875" style="7" customWidth="1"/>
    <col min="1010" max="1011" width="0" style="7" hidden="1" customWidth="1"/>
    <col min="1012" max="1013" width="14.875" style="7" customWidth="1"/>
    <col min="1014" max="1014" width="44.375" style="7" customWidth="1"/>
    <col min="1015" max="1019" width="14.875" style="7" customWidth="1"/>
    <col min="1020" max="1020" width="63.875" style="7" customWidth="1"/>
    <col min="1021" max="1021" width="13.25" style="7" customWidth="1"/>
    <col min="1022" max="1207" width="9" style="7"/>
    <col min="1208" max="1209" width="0" style="7" hidden="1" customWidth="1"/>
    <col min="1210" max="1210" width="13.75" style="7" customWidth="1"/>
    <col min="1211" max="1211" width="52.875" style="7" customWidth="1"/>
    <col min="1212" max="1251" width="0" style="7" hidden="1" customWidth="1"/>
    <col min="1252" max="1253" width="14.875" style="7" customWidth="1"/>
    <col min="1254" max="1255" width="0" style="7" hidden="1" customWidth="1"/>
    <col min="1256" max="1256" width="14.875" style="7" customWidth="1"/>
    <col min="1257" max="1258" width="0" style="7" hidden="1" customWidth="1"/>
    <col min="1259" max="1259" width="14.875" style="7" customWidth="1"/>
    <col min="1260" max="1261" width="0" style="7" hidden="1" customWidth="1"/>
    <col min="1262" max="1262" width="14.875" style="7" customWidth="1"/>
    <col min="1263" max="1264" width="0" style="7" hidden="1" customWidth="1"/>
    <col min="1265" max="1265" width="14.875" style="7" customWidth="1"/>
    <col min="1266" max="1267" width="0" style="7" hidden="1" customWidth="1"/>
    <col min="1268" max="1269" width="14.875" style="7" customWidth="1"/>
    <col min="1270" max="1270" width="44.375" style="7" customWidth="1"/>
    <col min="1271" max="1275" width="14.875" style="7" customWidth="1"/>
    <col min="1276" max="1276" width="63.875" style="7" customWidth="1"/>
    <col min="1277" max="1277" width="13.25" style="7" customWidth="1"/>
    <col min="1278" max="1463" width="9" style="7"/>
    <col min="1464" max="1465" width="0" style="7" hidden="1" customWidth="1"/>
    <col min="1466" max="1466" width="13.75" style="7" customWidth="1"/>
    <col min="1467" max="1467" width="52.875" style="7" customWidth="1"/>
    <col min="1468" max="1507" width="0" style="7" hidden="1" customWidth="1"/>
    <col min="1508" max="1509" width="14.875" style="7" customWidth="1"/>
    <col min="1510" max="1511" width="0" style="7" hidden="1" customWidth="1"/>
    <col min="1512" max="1512" width="14.875" style="7" customWidth="1"/>
    <col min="1513" max="1514" width="0" style="7" hidden="1" customWidth="1"/>
    <col min="1515" max="1515" width="14.875" style="7" customWidth="1"/>
    <col min="1516" max="1517" width="0" style="7" hidden="1" customWidth="1"/>
    <col min="1518" max="1518" width="14.875" style="7" customWidth="1"/>
    <col min="1519" max="1520" width="0" style="7" hidden="1" customWidth="1"/>
    <col min="1521" max="1521" width="14.875" style="7" customWidth="1"/>
    <col min="1522" max="1523" width="0" style="7" hidden="1" customWidth="1"/>
    <col min="1524" max="1525" width="14.875" style="7" customWidth="1"/>
    <col min="1526" max="1526" width="44.375" style="7" customWidth="1"/>
    <col min="1527" max="1531" width="14.875" style="7" customWidth="1"/>
    <col min="1532" max="1532" width="63.875" style="7" customWidth="1"/>
    <col min="1533" max="1533" width="13.25" style="7" customWidth="1"/>
    <col min="1534" max="1719" width="9" style="7"/>
    <col min="1720" max="1721" width="0" style="7" hidden="1" customWidth="1"/>
    <col min="1722" max="1722" width="13.75" style="7" customWidth="1"/>
    <col min="1723" max="1723" width="52.875" style="7" customWidth="1"/>
    <col min="1724" max="1763" width="0" style="7" hidden="1" customWidth="1"/>
    <col min="1764" max="1765" width="14.875" style="7" customWidth="1"/>
    <col min="1766" max="1767" width="0" style="7" hidden="1" customWidth="1"/>
    <col min="1768" max="1768" width="14.875" style="7" customWidth="1"/>
    <col min="1769" max="1770" width="0" style="7" hidden="1" customWidth="1"/>
    <col min="1771" max="1771" width="14.875" style="7" customWidth="1"/>
    <col min="1772" max="1773" width="0" style="7" hidden="1" customWidth="1"/>
    <col min="1774" max="1774" width="14.875" style="7" customWidth="1"/>
    <col min="1775" max="1776" width="0" style="7" hidden="1" customWidth="1"/>
    <col min="1777" max="1777" width="14.875" style="7" customWidth="1"/>
    <col min="1778" max="1779" width="0" style="7" hidden="1" customWidth="1"/>
    <col min="1780" max="1781" width="14.875" style="7" customWidth="1"/>
    <col min="1782" max="1782" width="44.375" style="7" customWidth="1"/>
    <col min="1783" max="1787" width="14.875" style="7" customWidth="1"/>
    <col min="1788" max="1788" width="63.875" style="7" customWidth="1"/>
    <col min="1789" max="1789" width="13.25" style="7" customWidth="1"/>
    <col min="1790" max="1975" width="9" style="7"/>
    <col min="1976" max="1977" width="0" style="7" hidden="1" customWidth="1"/>
    <col min="1978" max="1978" width="13.75" style="7" customWidth="1"/>
    <col min="1979" max="1979" width="52.875" style="7" customWidth="1"/>
    <col min="1980" max="2019" width="0" style="7" hidden="1" customWidth="1"/>
    <col min="2020" max="2021" width="14.875" style="7" customWidth="1"/>
    <col min="2022" max="2023" width="0" style="7" hidden="1" customWidth="1"/>
    <col min="2024" max="2024" width="14.875" style="7" customWidth="1"/>
    <col min="2025" max="2026" width="0" style="7" hidden="1" customWidth="1"/>
    <col min="2027" max="2027" width="14.875" style="7" customWidth="1"/>
    <col min="2028" max="2029" width="0" style="7" hidden="1" customWidth="1"/>
    <col min="2030" max="2030" width="14.875" style="7" customWidth="1"/>
    <col min="2031" max="2032" width="0" style="7" hidden="1" customWidth="1"/>
    <col min="2033" max="2033" width="14.875" style="7" customWidth="1"/>
    <col min="2034" max="2035" width="0" style="7" hidden="1" customWidth="1"/>
    <col min="2036" max="2037" width="14.875" style="7" customWidth="1"/>
    <col min="2038" max="2038" width="44.375" style="7" customWidth="1"/>
    <col min="2039" max="2043" width="14.875" style="7" customWidth="1"/>
    <col min="2044" max="2044" width="63.875" style="7" customWidth="1"/>
    <col min="2045" max="2045" width="13.25" style="7" customWidth="1"/>
    <col min="2046" max="2231" width="9" style="7"/>
    <col min="2232" max="2233" width="0" style="7" hidden="1" customWidth="1"/>
    <col min="2234" max="2234" width="13.75" style="7" customWidth="1"/>
    <col min="2235" max="2235" width="52.875" style="7" customWidth="1"/>
    <col min="2236" max="2275" width="0" style="7" hidden="1" customWidth="1"/>
    <col min="2276" max="2277" width="14.875" style="7" customWidth="1"/>
    <col min="2278" max="2279" width="0" style="7" hidden="1" customWidth="1"/>
    <col min="2280" max="2280" width="14.875" style="7" customWidth="1"/>
    <col min="2281" max="2282" width="0" style="7" hidden="1" customWidth="1"/>
    <col min="2283" max="2283" width="14.875" style="7" customWidth="1"/>
    <col min="2284" max="2285" width="0" style="7" hidden="1" customWidth="1"/>
    <col min="2286" max="2286" width="14.875" style="7" customWidth="1"/>
    <col min="2287" max="2288" width="0" style="7" hidden="1" customWidth="1"/>
    <col min="2289" max="2289" width="14.875" style="7" customWidth="1"/>
    <col min="2290" max="2291" width="0" style="7" hidden="1" customWidth="1"/>
    <col min="2292" max="2293" width="14.875" style="7" customWidth="1"/>
    <col min="2294" max="2294" width="44.375" style="7" customWidth="1"/>
    <col min="2295" max="2299" width="14.875" style="7" customWidth="1"/>
    <col min="2300" max="2300" width="63.875" style="7" customWidth="1"/>
    <col min="2301" max="2301" width="13.25" style="7" customWidth="1"/>
    <col min="2302" max="2487" width="9" style="7"/>
    <col min="2488" max="2489" width="0" style="7" hidden="1" customWidth="1"/>
    <col min="2490" max="2490" width="13.75" style="7" customWidth="1"/>
    <col min="2491" max="2491" width="52.875" style="7" customWidth="1"/>
    <col min="2492" max="2531" width="0" style="7" hidden="1" customWidth="1"/>
    <col min="2532" max="2533" width="14.875" style="7" customWidth="1"/>
    <col min="2534" max="2535" width="0" style="7" hidden="1" customWidth="1"/>
    <col min="2536" max="2536" width="14.875" style="7" customWidth="1"/>
    <col min="2537" max="2538" width="0" style="7" hidden="1" customWidth="1"/>
    <col min="2539" max="2539" width="14.875" style="7" customWidth="1"/>
    <col min="2540" max="2541" width="0" style="7" hidden="1" customWidth="1"/>
    <col min="2542" max="2542" width="14.875" style="7" customWidth="1"/>
    <col min="2543" max="2544" width="0" style="7" hidden="1" customWidth="1"/>
    <col min="2545" max="2545" width="14.875" style="7" customWidth="1"/>
    <col min="2546" max="2547" width="0" style="7" hidden="1" customWidth="1"/>
    <col min="2548" max="2549" width="14.875" style="7" customWidth="1"/>
    <col min="2550" max="2550" width="44.375" style="7" customWidth="1"/>
    <col min="2551" max="2555" width="14.875" style="7" customWidth="1"/>
    <col min="2556" max="2556" width="63.875" style="7" customWidth="1"/>
    <col min="2557" max="2557" width="13.25" style="7" customWidth="1"/>
    <col min="2558" max="2743" width="9" style="7"/>
    <col min="2744" max="2745" width="0" style="7" hidden="1" customWidth="1"/>
    <col min="2746" max="2746" width="13.75" style="7" customWidth="1"/>
    <col min="2747" max="2747" width="52.875" style="7" customWidth="1"/>
    <col min="2748" max="2787" width="0" style="7" hidden="1" customWidth="1"/>
    <col min="2788" max="2789" width="14.875" style="7" customWidth="1"/>
    <col min="2790" max="2791" width="0" style="7" hidden="1" customWidth="1"/>
    <col min="2792" max="2792" width="14.875" style="7" customWidth="1"/>
    <col min="2793" max="2794" width="0" style="7" hidden="1" customWidth="1"/>
    <col min="2795" max="2795" width="14.875" style="7" customWidth="1"/>
    <col min="2796" max="2797" width="0" style="7" hidden="1" customWidth="1"/>
    <col min="2798" max="2798" width="14.875" style="7" customWidth="1"/>
    <col min="2799" max="2800" width="0" style="7" hidden="1" customWidth="1"/>
    <col min="2801" max="2801" width="14.875" style="7" customWidth="1"/>
    <col min="2802" max="2803" width="0" style="7" hidden="1" customWidth="1"/>
    <col min="2804" max="2805" width="14.875" style="7" customWidth="1"/>
    <col min="2806" max="2806" width="44.375" style="7" customWidth="1"/>
    <col min="2807" max="2811" width="14.875" style="7" customWidth="1"/>
    <col min="2812" max="2812" width="63.875" style="7" customWidth="1"/>
    <col min="2813" max="2813" width="13.25" style="7" customWidth="1"/>
    <col min="2814" max="2999" width="9" style="7"/>
    <col min="3000" max="3001" width="0" style="7" hidden="1" customWidth="1"/>
    <col min="3002" max="3002" width="13.75" style="7" customWidth="1"/>
    <col min="3003" max="3003" width="52.875" style="7" customWidth="1"/>
    <col min="3004" max="3043" width="0" style="7" hidden="1" customWidth="1"/>
    <col min="3044" max="3045" width="14.875" style="7" customWidth="1"/>
    <col min="3046" max="3047" width="0" style="7" hidden="1" customWidth="1"/>
    <col min="3048" max="3048" width="14.875" style="7" customWidth="1"/>
    <col min="3049" max="3050" width="0" style="7" hidden="1" customWidth="1"/>
    <col min="3051" max="3051" width="14.875" style="7" customWidth="1"/>
    <col min="3052" max="3053" width="0" style="7" hidden="1" customWidth="1"/>
    <col min="3054" max="3054" width="14.875" style="7" customWidth="1"/>
    <col min="3055" max="3056" width="0" style="7" hidden="1" customWidth="1"/>
    <col min="3057" max="3057" width="14.875" style="7" customWidth="1"/>
    <col min="3058" max="3059" width="0" style="7" hidden="1" customWidth="1"/>
    <col min="3060" max="3061" width="14.875" style="7" customWidth="1"/>
    <col min="3062" max="3062" width="44.375" style="7" customWidth="1"/>
    <col min="3063" max="3067" width="14.875" style="7" customWidth="1"/>
    <col min="3068" max="3068" width="63.875" style="7" customWidth="1"/>
    <col min="3069" max="3069" width="13.25" style="7" customWidth="1"/>
    <col min="3070" max="3255" width="9" style="7"/>
    <col min="3256" max="3257" width="0" style="7" hidden="1" customWidth="1"/>
    <col min="3258" max="3258" width="13.75" style="7" customWidth="1"/>
    <col min="3259" max="3259" width="52.875" style="7" customWidth="1"/>
    <col min="3260" max="3299" width="0" style="7" hidden="1" customWidth="1"/>
    <col min="3300" max="3301" width="14.875" style="7" customWidth="1"/>
    <col min="3302" max="3303" width="0" style="7" hidden="1" customWidth="1"/>
    <col min="3304" max="3304" width="14.875" style="7" customWidth="1"/>
    <col min="3305" max="3306" width="0" style="7" hidden="1" customWidth="1"/>
    <col min="3307" max="3307" width="14.875" style="7" customWidth="1"/>
    <col min="3308" max="3309" width="0" style="7" hidden="1" customWidth="1"/>
    <col min="3310" max="3310" width="14.875" style="7" customWidth="1"/>
    <col min="3311" max="3312" width="0" style="7" hidden="1" customWidth="1"/>
    <col min="3313" max="3313" width="14.875" style="7" customWidth="1"/>
    <col min="3314" max="3315" width="0" style="7" hidden="1" customWidth="1"/>
    <col min="3316" max="3317" width="14.875" style="7" customWidth="1"/>
    <col min="3318" max="3318" width="44.375" style="7" customWidth="1"/>
    <col min="3319" max="3323" width="14.875" style="7" customWidth="1"/>
    <col min="3324" max="3324" width="63.875" style="7" customWidth="1"/>
    <col min="3325" max="3325" width="13.25" style="7" customWidth="1"/>
    <col min="3326" max="3511" width="9" style="7"/>
    <col min="3512" max="3513" width="0" style="7" hidden="1" customWidth="1"/>
    <col min="3514" max="3514" width="13.75" style="7" customWidth="1"/>
    <col min="3515" max="3515" width="52.875" style="7" customWidth="1"/>
    <col min="3516" max="3555" width="0" style="7" hidden="1" customWidth="1"/>
    <col min="3556" max="3557" width="14.875" style="7" customWidth="1"/>
    <col min="3558" max="3559" width="0" style="7" hidden="1" customWidth="1"/>
    <col min="3560" max="3560" width="14.875" style="7" customWidth="1"/>
    <col min="3561" max="3562" width="0" style="7" hidden="1" customWidth="1"/>
    <col min="3563" max="3563" width="14.875" style="7" customWidth="1"/>
    <col min="3564" max="3565" width="0" style="7" hidden="1" customWidth="1"/>
    <col min="3566" max="3566" width="14.875" style="7" customWidth="1"/>
    <col min="3567" max="3568" width="0" style="7" hidden="1" customWidth="1"/>
    <col min="3569" max="3569" width="14.875" style="7" customWidth="1"/>
    <col min="3570" max="3571" width="0" style="7" hidden="1" customWidth="1"/>
    <col min="3572" max="3573" width="14.875" style="7" customWidth="1"/>
    <col min="3574" max="3574" width="44.375" style="7" customWidth="1"/>
    <col min="3575" max="3579" width="14.875" style="7" customWidth="1"/>
    <col min="3580" max="3580" width="63.875" style="7" customWidth="1"/>
    <col min="3581" max="3581" width="13.25" style="7" customWidth="1"/>
    <col min="3582" max="3767" width="9" style="7"/>
    <col min="3768" max="3769" width="0" style="7" hidden="1" customWidth="1"/>
    <col min="3770" max="3770" width="13.75" style="7" customWidth="1"/>
    <col min="3771" max="3771" width="52.875" style="7" customWidth="1"/>
    <col min="3772" max="3811" width="0" style="7" hidden="1" customWidth="1"/>
    <col min="3812" max="3813" width="14.875" style="7" customWidth="1"/>
    <col min="3814" max="3815" width="0" style="7" hidden="1" customWidth="1"/>
    <col min="3816" max="3816" width="14.875" style="7" customWidth="1"/>
    <col min="3817" max="3818" width="0" style="7" hidden="1" customWidth="1"/>
    <col min="3819" max="3819" width="14.875" style="7" customWidth="1"/>
    <col min="3820" max="3821" width="0" style="7" hidden="1" customWidth="1"/>
    <col min="3822" max="3822" width="14.875" style="7" customWidth="1"/>
    <col min="3823" max="3824" width="0" style="7" hidden="1" customWidth="1"/>
    <col min="3825" max="3825" width="14.875" style="7" customWidth="1"/>
    <col min="3826" max="3827" width="0" style="7" hidden="1" customWidth="1"/>
    <col min="3828" max="3829" width="14.875" style="7" customWidth="1"/>
    <col min="3830" max="3830" width="44.375" style="7" customWidth="1"/>
    <col min="3831" max="3835" width="14.875" style="7" customWidth="1"/>
    <col min="3836" max="3836" width="63.875" style="7" customWidth="1"/>
    <col min="3837" max="3837" width="13.25" style="7" customWidth="1"/>
    <col min="3838" max="4023" width="9" style="7"/>
    <col min="4024" max="4025" width="0" style="7" hidden="1" customWidth="1"/>
    <col min="4026" max="4026" width="13.75" style="7" customWidth="1"/>
    <col min="4027" max="4027" width="52.875" style="7" customWidth="1"/>
    <col min="4028" max="4067" width="0" style="7" hidden="1" customWidth="1"/>
    <col min="4068" max="4069" width="14.875" style="7" customWidth="1"/>
    <col min="4070" max="4071" width="0" style="7" hidden="1" customWidth="1"/>
    <col min="4072" max="4072" width="14.875" style="7" customWidth="1"/>
    <col min="4073" max="4074" width="0" style="7" hidden="1" customWidth="1"/>
    <col min="4075" max="4075" width="14.875" style="7" customWidth="1"/>
    <col min="4076" max="4077" width="0" style="7" hidden="1" customWidth="1"/>
    <col min="4078" max="4078" width="14.875" style="7" customWidth="1"/>
    <col min="4079" max="4080" width="0" style="7" hidden="1" customWidth="1"/>
    <col min="4081" max="4081" width="14.875" style="7" customWidth="1"/>
    <col min="4082" max="4083" width="0" style="7" hidden="1" customWidth="1"/>
    <col min="4084" max="4085" width="14.875" style="7" customWidth="1"/>
    <col min="4086" max="4086" width="44.375" style="7" customWidth="1"/>
    <col min="4087" max="4091" width="14.875" style="7" customWidth="1"/>
    <col min="4092" max="4092" width="63.875" style="7" customWidth="1"/>
    <col min="4093" max="4093" width="13.25" style="7" customWidth="1"/>
    <col min="4094" max="4279" width="9" style="7"/>
    <col min="4280" max="4281" width="0" style="7" hidden="1" customWidth="1"/>
    <col min="4282" max="4282" width="13.75" style="7" customWidth="1"/>
    <col min="4283" max="4283" width="52.875" style="7" customWidth="1"/>
    <col min="4284" max="4323" width="0" style="7" hidden="1" customWidth="1"/>
    <col min="4324" max="4325" width="14.875" style="7" customWidth="1"/>
    <col min="4326" max="4327" width="0" style="7" hidden="1" customWidth="1"/>
    <col min="4328" max="4328" width="14.875" style="7" customWidth="1"/>
    <col min="4329" max="4330" width="0" style="7" hidden="1" customWidth="1"/>
    <col min="4331" max="4331" width="14.875" style="7" customWidth="1"/>
    <col min="4332" max="4333" width="0" style="7" hidden="1" customWidth="1"/>
    <col min="4334" max="4334" width="14.875" style="7" customWidth="1"/>
    <col min="4335" max="4336" width="0" style="7" hidden="1" customWidth="1"/>
    <col min="4337" max="4337" width="14.875" style="7" customWidth="1"/>
    <col min="4338" max="4339" width="0" style="7" hidden="1" customWidth="1"/>
    <col min="4340" max="4341" width="14.875" style="7" customWidth="1"/>
    <col min="4342" max="4342" width="44.375" style="7" customWidth="1"/>
    <col min="4343" max="4347" width="14.875" style="7" customWidth="1"/>
    <col min="4348" max="4348" width="63.875" style="7" customWidth="1"/>
    <col min="4349" max="4349" width="13.25" style="7" customWidth="1"/>
    <col min="4350" max="4535" width="9" style="7"/>
    <col min="4536" max="4537" width="0" style="7" hidden="1" customWidth="1"/>
    <col min="4538" max="4538" width="13.75" style="7" customWidth="1"/>
    <col min="4539" max="4539" width="52.875" style="7" customWidth="1"/>
    <col min="4540" max="4579" width="0" style="7" hidden="1" customWidth="1"/>
    <col min="4580" max="4581" width="14.875" style="7" customWidth="1"/>
    <col min="4582" max="4583" width="0" style="7" hidden="1" customWidth="1"/>
    <col min="4584" max="4584" width="14.875" style="7" customWidth="1"/>
    <col min="4585" max="4586" width="0" style="7" hidden="1" customWidth="1"/>
    <col min="4587" max="4587" width="14.875" style="7" customWidth="1"/>
    <col min="4588" max="4589" width="0" style="7" hidden="1" customWidth="1"/>
    <col min="4590" max="4590" width="14.875" style="7" customWidth="1"/>
    <col min="4591" max="4592" width="0" style="7" hidden="1" customWidth="1"/>
    <col min="4593" max="4593" width="14.875" style="7" customWidth="1"/>
    <col min="4594" max="4595" width="0" style="7" hidden="1" customWidth="1"/>
    <col min="4596" max="4597" width="14.875" style="7" customWidth="1"/>
    <col min="4598" max="4598" width="44.375" style="7" customWidth="1"/>
    <col min="4599" max="4603" width="14.875" style="7" customWidth="1"/>
    <col min="4604" max="4604" width="63.875" style="7" customWidth="1"/>
    <col min="4605" max="4605" width="13.25" style="7" customWidth="1"/>
    <col min="4606" max="4791" width="9" style="7"/>
    <col min="4792" max="4793" width="0" style="7" hidden="1" customWidth="1"/>
    <col min="4794" max="4794" width="13.75" style="7" customWidth="1"/>
    <col min="4795" max="4795" width="52.875" style="7" customWidth="1"/>
    <col min="4796" max="4835" width="0" style="7" hidden="1" customWidth="1"/>
    <col min="4836" max="4837" width="14.875" style="7" customWidth="1"/>
    <col min="4838" max="4839" width="0" style="7" hidden="1" customWidth="1"/>
    <col min="4840" max="4840" width="14.875" style="7" customWidth="1"/>
    <col min="4841" max="4842" width="0" style="7" hidden="1" customWidth="1"/>
    <col min="4843" max="4843" width="14.875" style="7" customWidth="1"/>
    <col min="4844" max="4845" width="0" style="7" hidden="1" customWidth="1"/>
    <col min="4846" max="4846" width="14.875" style="7" customWidth="1"/>
    <col min="4847" max="4848" width="0" style="7" hidden="1" customWidth="1"/>
    <col min="4849" max="4849" width="14.875" style="7" customWidth="1"/>
    <col min="4850" max="4851" width="0" style="7" hidden="1" customWidth="1"/>
    <col min="4852" max="4853" width="14.875" style="7" customWidth="1"/>
    <col min="4854" max="4854" width="44.375" style="7" customWidth="1"/>
    <col min="4855" max="4859" width="14.875" style="7" customWidth="1"/>
    <col min="4860" max="4860" width="63.875" style="7" customWidth="1"/>
    <col min="4861" max="4861" width="13.25" style="7" customWidth="1"/>
    <col min="4862" max="5047" width="9" style="7"/>
    <col min="5048" max="5049" width="0" style="7" hidden="1" customWidth="1"/>
    <col min="5050" max="5050" width="13.75" style="7" customWidth="1"/>
    <col min="5051" max="5051" width="52.875" style="7" customWidth="1"/>
    <col min="5052" max="5091" width="0" style="7" hidden="1" customWidth="1"/>
    <col min="5092" max="5093" width="14.875" style="7" customWidth="1"/>
    <col min="5094" max="5095" width="0" style="7" hidden="1" customWidth="1"/>
    <col min="5096" max="5096" width="14.875" style="7" customWidth="1"/>
    <col min="5097" max="5098" width="0" style="7" hidden="1" customWidth="1"/>
    <col min="5099" max="5099" width="14.875" style="7" customWidth="1"/>
    <col min="5100" max="5101" width="0" style="7" hidden="1" customWidth="1"/>
    <col min="5102" max="5102" width="14.875" style="7" customWidth="1"/>
    <col min="5103" max="5104" width="0" style="7" hidden="1" customWidth="1"/>
    <col min="5105" max="5105" width="14.875" style="7" customWidth="1"/>
    <col min="5106" max="5107" width="0" style="7" hidden="1" customWidth="1"/>
    <col min="5108" max="5109" width="14.875" style="7" customWidth="1"/>
    <col min="5110" max="5110" width="44.375" style="7" customWidth="1"/>
    <col min="5111" max="5115" width="14.875" style="7" customWidth="1"/>
    <col min="5116" max="5116" width="63.875" style="7" customWidth="1"/>
    <col min="5117" max="5117" width="13.25" style="7" customWidth="1"/>
    <col min="5118" max="5303" width="9" style="7"/>
    <col min="5304" max="5305" width="0" style="7" hidden="1" customWidth="1"/>
    <col min="5306" max="5306" width="13.75" style="7" customWidth="1"/>
    <col min="5307" max="5307" width="52.875" style="7" customWidth="1"/>
    <col min="5308" max="5347" width="0" style="7" hidden="1" customWidth="1"/>
    <col min="5348" max="5349" width="14.875" style="7" customWidth="1"/>
    <col min="5350" max="5351" width="0" style="7" hidden="1" customWidth="1"/>
    <col min="5352" max="5352" width="14.875" style="7" customWidth="1"/>
    <col min="5353" max="5354" width="0" style="7" hidden="1" customWidth="1"/>
    <col min="5355" max="5355" width="14.875" style="7" customWidth="1"/>
    <col min="5356" max="5357" width="0" style="7" hidden="1" customWidth="1"/>
    <col min="5358" max="5358" width="14.875" style="7" customWidth="1"/>
    <col min="5359" max="5360" width="0" style="7" hidden="1" customWidth="1"/>
    <col min="5361" max="5361" width="14.875" style="7" customWidth="1"/>
    <col min="5362" max="5363" width="0" style="7" hidden="1" customWidth="1"/>
    <col min="5364" max="5365" width="14.875" style="7" customWidth="1"/>
    <col min="5366" max="5366" width="44.375" style="7" customWidth="1"/>
    <col min="5367" max="5371" width="14.875" style="7" customWidth="1"/>
    <col min="5372" max="5372" width="63.875" style="7" customWidth="1"/>
    <col min="5373" max="5373" width="13.25" style="7" customWidth="1"/>
    <col min="5374" max="5559" width="9" style="7"/>
    <col min="5560" max="5561" width="0" style="7" hidden="1" customWidth="1"/>
    <col min="5562" max="5562" width="13.75" style="7" customWidth="1"/>
    <col min="5563" max="5563" width="52.875" style="7" customWidth="1"/>
    <col min="5564" max="5603" width="0" style="7" hidden="1" customWidth="1"/>
    <col min="5604" max="5605" width="14.875" style="7" customWidth="1"/>
    <col min="5606" max="5607" width="0" style="7" hidden="1" customWidth="1"/>
    <col min="5608" max="5608" width="14.875" style="7" customWidth="1"/>
    <col min="5609" max="5610" width="0" style="7" hidden="1" customWidth="1"/>
    <col min="5611" max="5611" width="14.875" style="7" customWidth="1"/>
    <col min="5612" max="5613" width="0" style="7" hidden="1" customWidth="1"/>
    <col min="5614" max="5614" width="14.875" style="7" customWidth="1"/>
    <col min="5615" max="5616" width="0" style="7" hidden="1" customWidth="1"/>
    <col min="5617" max="5617" width="14.875" style="7" customWidth="1"/>
    <col min="5618" max="5619" width="0" style="7" hidden="1" customWidth="1"/>
    <col min="5620" max="5621" width="14.875" style="7" customWidth="1"/>
    <col min="5622" max="5622" width="44.375" style="7" customWidth="1"/>
    <col min="5623" max="5627" width="14.875" style="7" customWidth="1"/>
    <col min="5628" max="5628" width="63.875" style="7" customWidth="1"/>
    <col min="5629" max="5629" width="13.25" style="7" customWidth="1"/>
    <col min="5630" max="5815" width="9" style="7"/>
    <col min="5816" max="5817" width="0" style="7" hidden="1" customWidth="1"/>
    <col min="5818" max="5818" width="13.75" style="7" customWidth="1"/>
    <col min="5819" max="5819" width="52.875" style="7" customWidth="1"/>
    <col min="5820" max="5859" width="0" style="7" hidden="1" customWidth="1"/>
    <col min="5860" max="5861" width="14.875" style="7" customWidth="1"/>
    <col min="5862" max="5863" width="0" style="7" hidden="1" customWidth="1"/>
    <col min="5864" max="5864" width="14.875" style="7" customWidth="1"/>
    <col min="5865" max="5866" width="0" style="7" hidden="1" customWidth="1"/>
    <col min="5867" max="5867" width="14.875" style="7" customWidth="1"/>
    <col min="5868" max="5869" width="0" style="7" hidden="1" customWidth="1"/>
    <col min="5870" max="5870" width="14.875" style="7" customWidth="1"/>
    <col min="5871" max="5872" width="0" style="7" hidden="1" customWidth="1"/>
    <col min="5873" max="5873" width="14.875" style="7" customWidth="1"/>
    <col min="5874" max="5875" width="0" style="7" hidden="1" customWidth="1"/>
    <col min="5876" max="5877" width="14.875" style="7" customWidth="1"/>
    <col min="5878" max="5878" width="44.375" style="7" customWidth="1"/>
    <col min="5879" max="5883" width="14.875" style="7" customWidth="1"/>
    <col min="5884" max="5884" width="63.875" style="7" customWidth="1"/>
    <col min="5885" max="5885" width="13.25" style="7" customWidth="1"/>
    <col min="5886" max="6071" width="9" style="7"/>
    <col min="6072" max="6073" width="0" style="7" hidden="1" customWidth="1"/>
    <col min="6074" max="6074" width="13.75" style="7" customWidth="1"/>
    <col min="6075" max="6075" width="52.875" style="7" customWidth="1"/>
    <col min="6076" max="6115" width="0" style="7" hidden="1" customWidth="1"/>
    <col min="6116" max="6117" width="14.875" style="7" customWidth="1"/>
    <col min="6118" max="6119" width="0" style="7" hidden="1" customWidth="1"/>
    <col min="6120" max="6120" width="14.875" style="7" customWidth="1"/>
    <col min="6121" max="6122" width="0" style="7" hidden="1" customWidth="1"/>
    <col min="6123" max="6123" width="14.875" style="7" customWidth="1"/>
    <col min="6124" max="6125" width="0" style="7" hidden="1" customWidth="1"/>
    <col min="6126" max="6126" width="14.875" style="7" customWidth="1"/>
    <col min="6127" max="6128" width="0" style="7" hidden="1" customWidth="1"/>
    <col min="6129" max="6129" width="14.875" style="7" customWidth="1"/>
    <col min="6130" max="6131" width="0" style="7" hidden="1" customWidth="1"/>
    <col min="6132" max="6133" width="14.875" style="7" customWidth="1"/>
    <col min="6134" max="6134" width="44.375" style="7" customWidth="1"/>
    <col min="6135" max="6139" width="14.875" style="7" customWidth="1"/>
    <col min="6140" max="6140" width="63.875" style="7" customWidth="1"/>
    <col min="6141" max="6141" width="13.25" style="7" customWidth="1"/>
    <col min="6142" max="6327" width="9" style="7"/>
    <col min="6328" max="6329" width="0" style="7" hidden="1" customWidth="1"/>
    <col min="6330" max="6330" width="13.75" style="7" customWidth="1"/>
    <col min="6331" max="6331" width="52.875" style="7" customWidth="1"/>
    <col min="6332" max="6371" width="0" style="7" hidden="1" customWidth="1"/>
    <col min="6372" max="6373" width="14.875" style="7" customWidth="1"/>
    <col min="6374" max="6375" width="0" style="7" hidden="1" customWidth="1"/>
    <col min="6376" max="6376" width="14.875" style="7" customWidth="1"/>
    <col min="6377" max="6378" width="0" style="7" hidden="1" customWidth="1"/>
    <col min="6379" max="6379" width="14.875" style="7" customWidth="1"/>
    <col min="6380" max="6381" width="0" style="7" hidden="1" customWidth="1"/>
    <col min="6382" max="6382" width="14.875" style="7" customWidth="1"/>
    <col min="6383" max="6384" width="0" style="7" hidden="1" customWidth="1"/>
    <col min="6385" max="6385" width="14.875" style="7" customWidth="1"/>
    <col min="6386" max="6387" width="0" style="7" hidden="1" customWidth="1"/>
    <col min="6388" max="6389" width="14.875" style="7" customWidth="1"/>
    <col min="6390" max="6390" width="44.375" style="7" customWidth="1"/>
    <col min="6391" max="6395" width="14.875" style="7" customWidth="1"/>
    <col min="6396" max="6396" width="63.875" style="7" customWidth="1"/>
    <col min="6397" max="6397" width="13.25" style="7" customWidth="1"/>
    <col min="6398" max="6583" width="9" style="7"/>
    <col min="6584" max="6585" width="0" style="7" hidden="1" customWidth="1"/>
    <col min="6586" max="6586" width="13.75" style="7" customWidth="1"/>
    <col min="6587" max="6587" width="52.875" style="7" customWidth="1"/>
    <col min="6588" max="6627" width="0" style="7" hidden="1" customWidth="1"/>
    <col min="6628" max="6629" width="14.875" style="7" customWidth="1"/>
    <col min="6630" max="6631" width="0" style="7" hidden="1" customWidth="1"/>
    <col min="6632" max="6632" width="14.875" style="7" customWidth="1"/>
    <col min="6633" max="6634" width="0" style="7" hidden="1" customWidth="1"/>
    <col min="6635" max="6635" width="14.875" style="7" customWidth="1"/>
    <col min="6636" max="6637" width="0" style="7" hidden="1" customWidth="1"/>
    <col min="6638" max="6638" width="14.875" style="7" customWidth="1"/>
    <col min="6639" max="6640" width="0" style="7" hidden="1" customWidth="1"/>
    <col min="6641" max="6641" width="14.875" style="7" customWidth="1"/>
    <col min="6642" max="6643" width="0" style="7" hidden="1" customWidth="1"/>
    <col min="6644" max="6645" width="14.875" style="7" customWidth="1"/>
    <col min="6646" max="6646" width="44.375" style="7" customWidth="1"/>
    <col min="6647" max="6651" width="14.875" style="7" customWidth="1"/>
    <col min="6652" max="6652" width="63.875" style="7" customWidth="1"/>
    <col min="6653" max="6653" width="13.25" style="7" customWidth="1"/>
    <col min="6654" max="6839" width="9" style="7"/>
    <col min="6840" max="6841" width="0" style="7" hidden="1" customWidth="1"/>
    <col min="6842" max="6842" width="13.75" style="7" customWidth="1"/>
    <col min="6843" max="6843" width="52.875" style="7" customWidth="1"/>
    <col min="6844" max="6883" width="0" style="7" hidden="1" customWidth="1"/>
    <col min="6884" max="6885" width="14.875" style="7" customWidth="1"/>
    <col min="6886" max="6887" width="0" style="7" hidden="1" customWidth="1"/>
    <col min="6888" max="6888" width="14.875" style="7" customWidth="1"/>
    <col min="6889" max="6890" width="0" style="7" hidden="1" customWidth="1"/>
    <col min="6891" max="6891" width="14.875" style="7" customWidth="1"/>
    <col min="6892" max="6893" width="0" style="7" hidden="1" customWidth="1"/>
    <col min="6894" max="6894" width="14.875" style="7" customWidth="1"/>
    <col min="6895" max="6896" width="0" style="7" hidden="1" customWidth="1"/>
    <col min="6897" max="6897" width="14.875" style="7" customWidth="1"/>
    <col min="6898" max="6899" width="0" style="7" hidden="1" customWidth="1"/>
    <col min="6900" max="6901" width="14.875" style="7" customWidth="1"/>
    <col min="6902" max="6902" width="44.375" style="7" customWidth="1"/>
    <col min="6903" max="6907" width="14.875" style="7" customWidth="1"/>
    <col min="6908" max="6908" width="63.875" style="7" customWidth="1"/>
    <col min="6909" max="6909" width="13.25" style="7" customWidth="1"/>
    <col min="6910" max="7095" width="9" style="7"/>
    <col min="7096" max="7097" width="0" style="7" hidden="1" customWidth="1"/>
    <col min="7098" max="7098" width="13.75" style="7" customWidth="1"/>
    <col min="7099" max="7099" width="52.875" style="7" customWidth="1"/>
    <col min="7100" max="7139" width="0" style="7" hidden="1" customWidth="1"/>
    <col min="7140" max="7141" width="14.875" style="7" customWidth="1"/>
    <col min="7142" max="7143" width="0" style="7" hidden="1" customWidth="1"/>
    <col min="7144" max="7144" width="14.875" style="7" customWidth="1"/>
    <col min="7145" max="7146" width="0" style="7" hidden="1" customWidth="1"/>
    <col min="7147" max="7147" width="14.875" style="7" customWidth="1"/>
    <col min="7148" max="7149" width="0" style="7" hidden="1" customWidth="1"/>
    <col min="7150" max="7150" width="14.875" style="7" customWidth="1"/>
    <col min="7151" max="7152" width="0" style="7" hidden="1" customWidth="1"/>
    <col min="7153" max="7153" width="14.875" style="7" customWidth="1"/>
    <col min="7154" max="7155" width="0" style="7" hidden="1" customWidth="1"/>
    <col min="7156" max="7157" width="14.875" style="7" customWidth="1"/>
    <col min="7158" max="7158" width="44.375" style="7" customWidth="1"/>
    <col min="7159" max="7163" width="14.875" style="7" customWidth="1"/>
    <col min="7164" max="7164" width="63.875" style="7" customWidth="1"/>
    <col min="7165" max="7165" width="13.25" style="7" customWidth="1"/>
    <col min="7166" max="7351" width="9" style="7"/>
    <col min="7352" max="7353" width="0" style="7" hidden="1" customWidth="1"/>
    <col min="7354" max="7354" width="13.75" style="7" customWidth="1"/>
    <col min="7355" max="7355" width="52.875" style="7" customWidth="1"/>
    <col min="7356" max="7395" width="0" style="7" hidden="1" customWidth="1"/>
    <col min="7396" max="7397" width="14.875" style="7" customWidth="1"/>
    <col min="7398" max="7399" width="0" style="7" hidden="1" customWidth="1"/>
    <col min="7400" max="7400" width="14.875" style="7" customWidth="1"/>
    <col min="7401" max="7402" width="0" style="7" hidden="1" customWidth="1"/>
    <col min="7403" max="7403" width="14.875" style="7" customWidth="1"/>
    <col min="7404" max="7405" width="0" style="7" hidden="1" customWidth="1"/>
    <col min="7406" max="7406" width="14.875" style="7" customWidth="1"/>
    <col min="7407" max="7408" width="0" style="7" hidden="1" customWidth="1"/>
    <col min="7409" max="7409" width="14.875" style="7" customWidth="1"/>
    <col min="7410" max="7411" width="0" style="7" hidden="1" customWidth="1"/>
    <col min="7412" max="7413" width="14.875" style="7" customWidth="1"/>
    <col min="7414" max="7414" width="44.375" style="7" customWidth="1"/>
    <col min="7415" max="7419" width="14.875" style="7" customWidth="1"/>
    <col min="7420" max="7420" width="63.875" style="7" customWidth="1"/>
    <col min="7421" max="7421" width="13.25" style="7" customWidth="1"/>
    <col min="7422" max="7607" width="9" style="7"/>
    <col min="7608" max="7609" width="0" style="7" hidden="1" customWidth="1"/>
    <col min="7610" max="7610" width="13.75" style="7" customWidth="1"/>
    <col min="7611" max="7611" width="52.875" style="7" customWidth="1"/>
    <col min="7612" max="7651" width="0" style="7" hidden="1" customWidth="1"/>
    <col min="7652" max="7653" width="14.875" style="7" customWidth="1"/>
    <col min="7654" max="7655" width="0" style="7" hidden="1" customWidth="1"/>
    <col min="7656" max="7656" width="14.875" style="7" customWidth="1"/>
    <col min="7657" max="7658" width="0" style="7" hidden="1" customWidth="1"/>
    <col min="7659" max="7659" width="14.875" style="7" customWidth="1"/>
    <col min="7660" max="7661" width="0" style="7" hidden="1" customWidth="1"/>
    <col min="7662" max="7662" width="14.875" style="7" customWidth="1"/>
    <col min="7663" max="7664" width="0" style="7" hidden="1" customWidth="1"/>
    <col min="7665" max="7665" width="14.875" style="7" customWidth="1"/>
    <col min="7666" max="7667" width="0" style="7" hidden="1" customWidth="1"/>
    <col min="7668" max="7669" width="14.875" style="7" customWidth="1"/>
    <col min="7670" max="7670" width="44.375" style="7" customWidth="1"/>
    <col min="7671" max="7675" width="14.875" style="7" customWidth="1"/>
    <col min="7676" max="7676" width="63.875" style="7" customWidth="1"/>
    <col min="7677" max="7677" width="13.25" style="7" customWidth="1"/>
    <col min="7678" max="7863" width="9" style="7"/>
    <col min="7864" max="7865" width="0" style="7" hidden="1" customWidth="1"/>
    <col min="7866" max="7866" width="13.75" style="7" customWidth="1"/>
    <col min="7867" max="7867" width="52.875" style="7" customWidth="1"/>
    <col min="7868" max="7907" width="0" style="7" hidden="1" customWidth="1"/>
    <col min="7908" max="7909" width="14.875" style="7" customWidth="1"/>
    <col min="7910" max="7911" width="0" style="7" hidden="1" customWidth="1"/>
    <col min="7912" max="7912" width="14.875" style="7" customWidth="1"/>
    <col min="7913" max="7914" width="0" style="7" hidden="1" customWidth="1"/>
    <col min="7915" max="7915" width="14.875" style="7" customWidth="1"/>
    <col min="7916" max="7917" width="0" style="7" hidden="1" customWidth="1"/>
    <col min="7918" max="7918" width="14.875" style="7" customWidth="1"/>
    <col min="7919" max="7920" width="0" style="7" hidden="1" customWidth="1"/>
    <col min="7921" max="7921" width="14.875" style="7" customWidth="1"/>
    <col min="7922" max="7923" width="0" style="7" hidden="1" customWidth="1"/>
    <col min="7924" max="7925" width="14.875" style="7" customWidth="1"/>
    <col min="7926" max="7926" width="44.375" style="7" customWidth="1"/>
    <col min="7927" max="7931" width="14.875" style="7" customWidth="1"/>
    <col min="7932" max="7932" width="63.875" style="7" customWidth="1"/>
    <col min="7933" max="7933" width="13.25" style="7" customWidth="1"/>
    <col min="7934" max="8119" width="9" style="7"/>
    <col min="8120" max="8121" width="0" style="7" hidden="1" customWidth="1"/>
    <col min="8122" max="8122" width="13.75" style="7" customWidth="1"/>
    <col min="8123" max="8123" width="52.875" style="7" customWidth="1"/>
    <col min="8124" max="8163" width="0" style="7" hidden="1" customWidth="1"/>
    <col min="8164" max="8165" width="14.875" style="7" customWidth="1"/>
    <col min="8166" max="8167" width="0" style="7" hidden="1" customWidth="1"/>
    <col min="8168" max="8168" width="14.875" style="7" customWidth="1"/>
    <col min="8169" max="8170" width="0" style="7" hidden="1" customWidth="1"/>
    <col min="8171" max="8171" width="14.875" style="7" customWidth="1"/>
    <col min="8172" max="8173" width="0" style="7" hidden="1" customWidth="1"/>
    <col min="8174" max="8174" width="14.875" style="7" customWidth="1"/>
    <col min="8175" max="8176" width="0" style="7" hidden="1" customWidth="1"/>
    <col min="8177" max="8177" width="14.875" style="7" customWidth="1"/>
    <col min="8178" max="8179" width="0" style="7" hidden="1" customWidth="1"/>
    <col min="8180" max="8181" width="14.875" style="7" customWidth="1"/>
    <col min="8182" max="8182" width="44.375" style="7" customWidth="1"/>
    <col min="8183" max="8187" width="14.875" style="7" customWidth="1"/>
    <col min="8188" max="8188" width="63.875" style="7" customWidth="1"/>
    <col min="8189" max="8189" width="13.25" style="7" customWidth="1"/>
    <col min="8190" max="8375" width="9" style="7"/>
    <col min="8376" max="8377" width="0" style="7" hidden="1" customWidth="1"/>
    <col min="8378" max="8378" width="13.75" style="7" customWidth="1"/>
    <col min="8379" max="8379" width="52.875" style="7" customWidth="1"/>
    <col min="8380" max="8419" width="0" style="7" hidden="1" customWidth="1"/>
    <col min="8420" max="8421" width="14.875" style="7" customWidth="1"/>
    <col min="8422" max="8423" width="0" style="7" hidden="1" customWidth="1"/>
    <col min="8424" max="8424" width="14.875" style="7" customWidth="1"/>
    <col min="8425" max="8426" width="0" style="7" hidden="1" customWidth="1"/>
    <col min="8427" max="8427" width="14.875" style="7" customWidth="1"/>
    <col min="8428" max="8429" width="0" style="7" hidden="1" customWidth="1"/>
    <col min="8430" max="8430" width="14.875" style="7" customWidth="1"/>
    <col min="8431" max="8432" width="0" style="7" hidden="1" customWidth="1"/>
    <col min="8433" max="8433" width="14.875" style="7" customWidth="1"/>
    <col min="8434" max="8435" width="0" style="7" hidden="1" customWidth="1"/>
    <col min="8436" max="8437" width="14.875" style="7" customWidth="1"/>
    <col min="8438" max="8438" width="44.375" style="7" customWidth="1"/>
    <col min="8439" max="8443" width="14.875" style="7" customWidth="1"/>
    <col min="8444" max="8444" width="63.875" style="7" customWidth="1"/>
    <col min="8445" max="8445" width="13.25" style="7" customWidth="1"/>
    <col min="8446" max="8631" width="9" style="7"/>
    <col min="8632" max="8633" width="0" style="7" hidden="1" customWidth="1"/>
    <col min="8634" max="8634" width="13.75" style="7" customWidth="1"/>
    <col min="8635" max="8635" width="52.875" style="7" customWidth="1"/>
    <col min="8636" max="8675" width="0" style="7" hidden="1" customWidth="1"/>
    <col min="8676" max="8677" width="14.875" style="7" customWidth="1"/>
    <col min="8678" max="8679" width="0" style="7" hidden="1" customWidth="1"/>
    <col min="8680" max="8680" width="14.875" style="7" customWidth="1"/>
    <col min="8681" max="8682" width="0" style="7" hidden="1" customWidth="1"/>
    <col min="8683" max="8683" width="14.875" style="7" customWidth="1"/>
    <col min="8684" max="8685" width="0" style="7" hidden="1" customWidth="1"/>
    <col min="8686" max="8686" width="14.875" style="7" customWidth="1"/>
    <col min="8687" max="8688" width="0" style="7" hidden="1" customWidth="1"/>
    <col min="8689" max="8689" width="14.875" style="7" customWidth="1"/>
    <col min="8690" max="8691" width="0" style="7" hidden="1" customWidth="1"/>
    <col min="8692" max="8693" width="14.875" style="7" customWidth="1"/>
    <col min="8694" max="8694" width="44.375" style="7" customWidth="1"/>
    <col min="8695" max="8699" width="14.875" style="7" customWidth="1"/>
    <col min="8700" max="8700" width="63.875" style="7" customWidth="1"/>
    <col min="8701" max="8701" width="13.25" style="7" customWidth="1"/>
    <col min="8702" max="8887" width="9" style="7"/>
    <col min="8888" max="8889" width="0" style="7" hidden="1" customWidth="1"/>
    <col min="8890" max="8890" width="13.75" style="7" customWidth="1"/>
    <col min="8891" max="8891" width="52.875" style="7" customWidth="1"/>
    <col min="8892" max="8931" width="0" style="7" hidden="1" customWidth="1"/>
    <col min="8932" max="8933" width="14.875" style="7" customWidth="1"/>
    <col min="8934" max="8935" width="0" style="7" hidden="1" customWidth="1"/>
    <col min="8936" max="8936" width="14.875" style="7" customWidth="1"/>
    <col min="8937" max="8938" width="0" style="7" hidden="1" customWidth="1"/>
    <col min="8939" max="8939" width="14.875" style="7" customWidth="1"/>
    <col min="8940" max="8941" width="0" style="7" hidden="1" customWidth="1"/>
    <col min="8942" max="8942" width="14.875" style="7" customWidth="1"/>
    <col min="8943" max="8944" width="0" style="7" hidden="1" customWidth="1"/>
    <col min="8945" max="8945" width="14.875" style="7" customWidth="1"/>
    <col min="8946" max="8947" width="0" style="7" hidden="1" customWidth="1"/>
    <col min="8948" max="8949" width="14.875" style="7" customWidth="1"/>
    <col min="8950" max="8950" width="44.375" style="7" customWidth="1"/>
    <col min="8951" max="8955" width="14.875" style="7" customWidth="1"/>
    <col min="8956" max="8956" width="63.875" style="7" customWidth="1"/>
    <col min="8957" max="8957" width="13.25" style="7" customWidth="1"/>
    <col min="8958" max="9143" width="9" style="7"/>
    <col min="9144" max="9145" width="0" style="7" hidden="1" customWidth="1"/>
    <col min="9146" max="9146" width="13.75" style="7" customWidth="1"/>
    <col min="9147" max="9147" width="52.875" style="7" customWidth="1"/>
    <col min="9148" max="9187" width="0" style="7" hidden="1" customWidth="1"/>
    <col min="9188" max="9189" width="14.875" style="7" customWidth="1"/>
    <col min="9190" max="9191" width="0" style="7" hidden="1" customWidth="1"/>
    <col min="9192" max="9192" width="14.875" style="7" customWidth="1"/>
    <col min="9193" max="9194" width="0" style="7" hidden="1" customWidth="1"/>
    <col min="9195" max="9195" width="14.875" style="7" customWidth="1"/>
    <col min="9196" max="9197" width="0" style="7" hidden="1" customWidth="1"/>
    <col min="9198" max="9198" width="14.875" style="7" customWidth="1"/>
    <col min="9199" max="9200" width="0" style="7" hidden="1" customWidth="1"/>
    <col min="9201" max="9201" width="14.875" style="7" customWidth="1"/>
    <col min="9202" max="9203" width="0" style="7" hidden="1" customWidth="1"/>
    <col min="9204" max="9205" width="14.875" style="7" customWidth="1"/>
    <col min="9206" max="9206" width="44.375" style="7" customWidth="1"/>
    <col min="9207" max="9211" width="14.875" style="7" customWidth="1"/>
    <col min="9212" max="9212" width="63.875" style="7" customWidth="1"/>
    <col min="9213" max="9213" width="13.25" style="7" customWidth="1"/>
    <col min="9214" max="9399" width="9" style="7"/>
    <col min="9400" max="9401" width="0" style="7" hidden="1" customWidth="1"/>
    <col min="9402" max="9402" width="13.75" style="7" customWidth="1"/>
    <col min="9403" max="9403" width="52.875" style="7" customWidth="1"/>
    <col min="9404" max="9443" width="0" style="7" hidden="1" customWidth="1"/>
    <col min="9444" max="9445" width="14.875" style="7" customWidth="1"/>
    <col min="9446" max="9447" width="0" style="7" hidden="1" customWidth="1"/>
    <col min="9448" max="9448" width="14.875" style="7" customWidth="1"/>
    <col min="9449" max="9450" width="0" style="7" hidden="1" customWidth="1"/>
    <col min="9451" max="9451" width="14.875" style="7" customWidth="1"/>
    <col min="9452" max="9453" width="0" style="7" hidden="1" customWidth="1"/>
    <col min="9454" max="9454" width="14.875" style="7" customWidth="1"/>
    <col min="9455" max="9456" width="0" style="7" hidden="1" customWidth="1"/>
    <col min="9457" max="9457" width="14.875" style="7" customWidth="1"/>
    <col min="9458" max="9459" width="0" style="7" hidden="1" customWidth="1"/>
    <col min="9460" max="9461" width="14.875" style="7" customWidth="1"/>
    <col min="9462" max="9462" width="44.375" style="7" customWidth="1"/>
    <col min="9463" max="9467" width="14.875" style="7" customWidth="1"/>
    <col min="9468" max="9468" width="63.875" style="7" customWidth="1"/>
    <col min="9469" max="9469" width="13.25" style="7" customWidth="1"/>
    <col min="9470" max="9655" width="9" style="7"/>
    <col min="9656" max="9657" width="0" style="7" hidden="1" customWidth="1"/>
    <col min="9658" max="9658" width="13.75" style="7" customWidth="1"/>
    <col min="9659" max="9659" width="52.875" style="7" customWidth="1"/>
    <col min="9660" max="9699" width="0" style="7" hidden="1" customWidth="1"/>
    <col min="9700" max="9701" width="14.875" style="7" customWidth="1"/>
    <col min="9702" max="9703" width="0" style="7" hidden="1" customWidth="1"/>
    <col min="9704" max="9704" width="14.875" style="7" customWidth="1"/>
    <col min="9705" max="9706" width="0" style="7" hidden="1" customWidth="1"/>
    <col min="9707" max="9707" width="14.875" style="7" customWidth="1"/>
    <col min="9708" max="9709" width="0" style="7" hidden="1" customWidth="1"/>
    <col min="9710" max="9710" width="14.875" style="7" customWidth="1"/>
    <col min="9711" max="9712" width="0" style="7" hidden="1" customWidth="1"/>
    <col min="9713" max="9713" width="14.875" style="7" customWidth="1"/>
    <col min="9714" max="9715" width="0" style="7" hidden="1" customWidth="1"/>
    <col min="9716" max="9717" width="14.875" style="7" customWidth="1"/>
    <col min="9718" max="9718" width="44.375" style="7" customWidth="1"/>
    <col min="9719" max="9723" width="14.875" style="7" customWidth="1"/>
    <col min="9724" max="9724" width="63.875" style="7" customWidth="1"/>
    <col min="9725" max="9725" width="13.25" style="7" customWidth="1"/>
    <col min="9726" max="9911" width="9" style="7"/>
    <col min="9912" max="9913" width="0" style="7" hidden="1" customWidth="1"/>
    <col min="9914" max="9914" width="13.75" style="7" customWidth="1"/>
    <col min="9915" max="9915" width="52.875" style="7" customWidth="1"/>
    <col min="9916" max="9955" width="0" style="7" hidden="1" customWidth="1"/>
    <col min="9956" max="9957" width="14.875" style="7" customWidth="1"/>
    <col min="9958" max="9959" width="0" style="7" hidden="1" customWidth="1"/>
    <col min="9960" max="9960" width="14.875" style="7" customWidth="1"/>
    <col min="9961" max="9962" width="0" style="7" hidden="1" customWidth="1"/>
    <col min="9963" max="9963" width="14.875" style="7" customWidth="1"/>
    <col min="9964" max="9965" width="0" style="7" hidden="1" customWidth="1"/>
    <col min="9966" max="9966" width="14.875" style="7" customWidth="1"/>
    <col min="9967" max="9968" width="0" style="7" hidden="1" customWidth="1"/>
    <col min="9969" max="9969" width="14.875" style="7" customWidth="1"/>
    <col min="9970" max="9971" width="0" style="7" hidden="1" customWidth="1"/>
    <col min="9972" max="9973" width="14.875" style="7" customWidth="1"/>
    <col min="9974" max="9974" width="44.375" style="7" customWidth="1"/>
    <col min="9975" max="9979" width="14.875" style="7" customWidth="1"/>
    <col min="9980" max="9980" width="63.875" style="7" customWidth="1"/>
    <col min="9981" max="9981" width="13.25" style="7" customWidth="1"/>
    <col min="9982" max="10167" width="9" style="7"/>
    <col min="10168" max="10169" width="0" style="7" hidden="1" customWidth="1"/>
    <col min="10170" max="10170" width="13.75" style="7" customWidth="1"/>
    <col min="10171" max="10171" width="52.875" style="7" customWidth="1"/>
    <col min="10172" max="10211" width="0" style="7" hidden="1" customWidth="1"/>
    <col min="10212" max="10213" width="14.875" style="7" customWidth="1"/>
    <col min="10214" max="10215" width="0" style="7" hidden="1" customWidth="1"/>
    <col min="10216" max="10216" width="14.875" style="7" customWidth="1"/>
    <col min="10217" max="10218" width="0" style="7" hidden="1" customWidth="1"/>
    <col min="10219" max="10219" width="14.875" style="7" customWidth="1"/>
    <col min="10220" max="10221" width="0" style="7" hidden="1" customWidth="1"/>
    <col min="10222" max="10222" width="14.875" style="7" customWidth="1"/>
    <col min="10223" max="10224" width="0" style="7" hidden="1" customWidth="1"/>
    <col min="10225" max="10225" width="14.875" style="7" customWidth="1"/>
    <col min="10226" max="10227" width="0" style="7" hidden="1" customWidth="1"/>
    <col min="10228" max="10229" width="14.875" style="7" customWidth="1"/>
    <col min="10230" max="10230" width="44.375" style="7" customWidth="1"/>
    <col min="10231" max="10235" width="14.875" style="7" customWidth="1"/>
    <col min="10236" max="10236" width="63.875" style="7" customWidth="1"/>
    <col min="10237" max="10237" width="13.25" style="7" customWidth="1"/>
    <col min="10238" max="10423" width="9" style="7"/>
    <col min="10424" max="10425" width="0" style="7" hidden="1" customWidth="1"/>
    <col min="10426" max="10426" width="13.75" style="7" customWidth="1"/>
    <col min="10427" max="10427" width="52.875" style="7" customWidth="1"/>
    <col min="10428" max="10467" width="0" style="7" hidden="1" customWidth="1"/>
    <col min="10468" max="10469" width="14.875" style="7" customWidth="1"/>
    <col min="10470" max="10471" width="0" style="7" hidden="1" customWidth="1"/>
    <col min="10472" max="10472" width="14.875" style="7" customWidth="1"/>
    <col min="10473" max="10474" width="0" style="7" hidden="1" customWidth="1"/>
    <col min="10475" max="10475" width="14.875" style="7" customWidth="1"/>
    <col min="10476" max="10477" width="0" style="7" hidden="1" customWidth="1"/>
    <col min="10478" max="10478" width="14.875" style="7" customWidth="1"/>
    <col min="10479" max="10480" width="0" style="7" hidden="1" customWidth="1"/>
    <col min="10481" max="10481" width="14.875" style="7" customWidth="1"/>
    <col min="10482" max="10483" width="0" style="7" hidden="1" customWidth="1"/>
    <col min="10484" max="10485" width="14.875" style="7" customWidth="1"/>
    <col min="10486" max="10486" width="44.375" style="7" customWidth="1"/>
    <col min="10487" max="10491" width="14.875" style="7" customWidth="1"/>
    <col min="10492" max="10492" width="63.875" style="7" customWidth="1"/>
    <col min="10493" max="10493" width="13.25" style="7" customWidth="1"/>
    <col min="10494" max="10679" width="9" style="7"/>
    <col min="10680" max="10681" width="0" style="7" hidden="1" customWidth="1"/>
    <col min="10682" max="10682" width="13.75" style="7" customWidth="1"/>
    <col min="10683" max="10683" width="52.875" style="7" customWidth="1"/>
    <col min="10684" max="10723" width="0" style="7" hidden="1" customWidth="1"/>
    <col min="10724" max="10725" width="14.875" style="7" customWidth="1"/>
    <col min="10726" max="10727" width="0" style="7" hidden="1" customWidth="1"/>
    <col min="10728" max="10728" width="14.875" style="7" customWidth="1"/>
    <col min="10729" max="10730" width="0" style="7" hidden="1" customWidth="1"/>
    <col min="10731" max="10731" width="14.875" style="7" customWidth="1"/>
    <col min="10732" max="10733" width="0" style="7" hidden="1" customWidth="1"/>
    <col min="10734" max="10734" width="14.875" style="7" customWidth="1"/>
    <col min="10735" max="10736" width="0" style="7" hidden="1" customWidth="1"/>
    <col min="10737" max="10737" width="14.875" style="7" customWidth="1"/>
    <col min="10738" max="10739" width="0" style="7" hidden="1" customWidth="1"/>
    <col min="10740" max="10741" width="14.875" style="7" customWidth="1"/>
    <col min="10742" max="10742" width="44.375" style="7" customWidth="1"/>
    <col min="10743" max="10747" width="14.875" style="7" customWidth="1"/>
    <col min="10748" max="10748" width="63.875" style="7" customWidth="1"/>
    <col min="10749" max="10749" width="13.25" style="7" customWidth="1"/>
    <col min="10750" max="10935" width="9" style="7"/>
    <col min="10936" max="10937" width="0" style="7" hidden="1" customWidth="1"/>
    <col min="10938" max="10938" width="13.75" style="7" customWidth="1"/>
    <col min="10939" max="10939" width="52.875" style="7" customWidth="1"/>
    <col min="10940" max="10979" width="0" style="7" hidden="1" customWidth="1"/>
    <col min="10980" max="10981" width="14.875" style="7" customWidth="1"/>
    <col min="10982" max="10983" width="0" style="7" hidden="1" customWidth="1"/>
    <col min="10984" max="10984" width="14.875" style="7" customWidth="1"/>
    <col min="10985" max="10986" width="0" style="7" hidden="1" customWidth="1"/>
    <col min="10987" max="10987" width="14.875" style="7" customWidth="1"/>
    <col min="10988" max="10989" width="0" style="7" hidden="1" customWidth="1"/>
    <col min="10990" max="10990" width="14.875" style="7" customWidth="1"/>
    <col min="10991" max="10992" width="0" style="7" hidden="1" customWidth="1"/>
    <col min="10993" max="10993" width="14.875" style="7" customWidth="1"/>
    <col min="10994" max="10995" width="0" style="7" hidden="1" customWidth="1"/>
    <col min="10996" max="10997" width="14.875" style="7" customWidth="1"/>
    <col min="10998" max="10998" width="44.375" style="7" customWidth="1"/>
    <col min="10999" max="11003" width="14.875" style="7" customWidth="1"/>
    <col min="11004" max="11004" width="63.875" style="7" customWidth="1"/>
    <col min="11005" max="11005" width="13.25" style="7" customWidth="1"/>
    <col min="11006" max="11191" width="9" style="7"/>
    <col min="11192" max="11193" width="0" style="7" hidden="1" customWidth="1"/>
    <col min="11194" max="11194" width="13.75" style="7" customWidth="1"/>
    <col min="11195" max="11195" width="52.875" style="7" customWidth="1"/>
    <col min="11196" max="11235" width="0" style="7" hidden="1" customWidth="1"/>
    <col min="11236" max="11237" width="14.875" style="7" customWidth="1"/>
    <col min="11238" max="11239" width="0" style="7" hidden="1" customWidth="1"/>
    <col min="11240" max="11240" width="14.875" style="7" customWidth="1"/>
    <col min="11241" max="11242" width="0" style="7" hidden="1" customWidth="1"/>
    <col min="11243" max="11243" width="14.875" style="7" customWidth="1"/>
    <col min="11244" max="11245" width="0" style="7" hidden="1" customWidth="1"/>
    <col min="11246" max="11246" width="14.875" style="7" customWidth="1"/>
    <col min="11247" max="11248" width="0" style="7" hidden="1" customWidth="1"/>
    <col min="11249" max="11249" width="14.875" style="7" customWidth="1"/>
    <col min="11250" max="11251" width="0" style="7" hidden="1" customWidth="1"/>
    <col min="11252" max="11253" width="14.875" style="7" customWidth="1"/>
    <col min="11254" max="11254" width="44.375" style="7" customWidth="1"/>
    <col min="11255" max="11259" width="14.875" style="7" customWidth="1"/>
    <col min="11260" max="11260" width="63.875" style="7" customWidth="1"/>
    <col min="11261" max="11261" width="13.25" style="7" customWidth="1"/>
    <col min="11262" max="11447" width="9" style="7"/>
    <col min="11448" max="11449" width="0" style="7" hidden="1" customWidth="1"/>
    <col min="11450" max="11450" width="13.75" style="7" customWidth="1"/>
    <col min="11451" max="11451" width="52.875" style="7" customWidth="1"/>
    <col min="11452" max="11491" width="0" style="7" hidden="1" customWidth="1"/>
    <col min="11492" max="11493" width="14.875" style="7" customWidth="1"/>
    <col min="11494" max="11495" width="0" style="7" hidden="1" customWidth="1"/>
    <col min="11496" max="11496" width="14.875" style="7" customWidth="1"/>
    <col min="11497" max="11498" width="0" style="7" hidden="1" customWidth="1"/>
    <col min="11499" max="11499" width="14.875" style="7" customWidth="1"/>
    <col min="11500" max="11501" width="0" style="7" hidden="1" customWidth="1"/>
    <col min="11502" max="11502" width="14.875" style="7" customWidth="1"/>
    <col min="11503" max="11504" width="0" style="7" hidden="1" customWidth="1"/>
    <col min="11505" max="11505" width="14.875" style="7" customWidth="1"/>
    <col min="11506" max="11507" width="0" style="7" hidden="1" customWidth="1"/>
    <col min="11508" max="11509" width="14.875" style="7" customWidth="1"/>
    <col min="11510" max="11510" width="44.375" style="7" customWidth="1"/>
    <col min="11511" max="11515" width="14.875" style="7" customWidth="1"/>
    <col min="11516" max="11516" width="63.875" style="7" customWidth="1"/>
    <col min="11517" max="11517" width="13.25" style="7" customWidth="1"/>
    <col min="11518" max="11703" width="9" style="7"/>
    <col min="11704" max="11705" width="0" style="7" hidden="1" customWidth="1"/>
    <col min="11706" max="11706" width="13.75" style="7" customWidth="1"/>
    <col min="11707" max="11707" width="52.875" style="7" customWidth="1"/>
    <col min="11708" max="11747" width="0" style="7" hidden="1" customWidth="1"/>
    <col min="11748" max="11749" width="14.875" style="7" customWidth="1"/>
    <col min="11750" max="11751" width="0" style="7" hidden="1" customWidth="1"/>
    <col min="11752" max="11752" width="14.875" style="7" customWidth="1"/>
    <col min="11753" max="11754" width="0" style="7" hidden="1" customWidth="1"/>
    <col min="11755" max="11755" width="14.875" style="7" customWidth="1"/>
    <col min="11756" max="11757" width="0" style="7" hidden="1" customWidth="1"/>
    <col min="11758" max="11758" width="14.875" style="7" customWidth="1"/>
    <col min="11759" max="11760" width="0" style="7" hidden="1" customWidth="1"/>
    <col min="11761" max="11761" width="14.875" style="7" customWidth="1"/>
    <col min="11762" max="11763" width="0" style="7" hidden="1" customWidth="1"/>
    <col min="11764" max="11765" width="14.875" style="7" customWidth="1"/>
    <col min="11766" max="11766" width="44.375" style="7" customWidth="1"/>
    <col min="11767" max="11771" width="14.875" style="7" customWidth="1"/>
    <col min="11772" max="11772" width="63.875" style="7" customWidth="1"/>
    <col min="11773" max="11773" width="13.25" style="7" customWidth="1"/>
    <col min="11774" max="11959" width="9" style="7"/>
    <col min="11960" max="11961" width="0" style="7" hidden="1" customWidth="1"/>
    <col min="11962" max="11962" width="13.75" style="7" customWidth="1"/>
    <col min="11963" max="11963" width="52.875" style="7" customWidth="1"/>
    <col min="11964" max="12003" width="0" style="7" hidden="1" customWidth="1"/>
    <col min="12004" max="12005" width="14.875" style="7" customWidth="1"/>
    <col min="12006" max="12007" width="0" style="7" hidden="1" customWidth="1"/>
    <col min="12008" max="12008" width="14.875" style="7" customWidth="1"/>
    <col min="12009" max="12010" width="0" style="7" hidden="1" customWidth="1"/>
    <col min="12011" max="12011" width="14.875" style="7" customWidth="1"/>
    <col min="12012" max="12013" width="0" style="7" hidden="1" customWidth="1"/>
    <col min="12014" max="12014" width="14.875" style="7" customWidth="1"/>
    <col min="12015" max="12016" width="0" style="7" hidden="1" customWidth="1"/>
    <col min="12017" max="12017" width="14.875" style="7" customWidth="1"/>
    <col min="12018" max="12019" width="0" style="7" hidden="1" customWidth="1"/>
    <col min="12020" max="12021" width="14.875" style="7" customWidth="1"/>
    <col min="12022" max="12022" width="44.375" style="7" customWidth="1"/>
    <col min="12023" max="12027" width="14.875" style="7" customWidth="1"/>
    <col min="12028" max="12028" width="63.875" style="7" customWidth="1"/>
    <col min="12029" max="12029" width="13.25" style="7" customWidth="1"/>
    <col min="12030" max="12215" width="9" style="7"/>
    <col min="12216" max="12217" width="0" style="7" hidden="1" customWidth="1"/>
    <col min="12218" max="12218" width="13.75" style="7" customWidth="1"/>
    <col min="12219" max="12219" width="52.875" style="7" customWidth="1"/>
    <col min="12220" max="12259" width="0" style="7" hidden="1" customWidth="1"/>
    <col min="12260" max="12261" width="14.875" style="7" customWidth="1"/>
    <col min="12262" max="12263" width="0" style="7" hidden="1" customWidth="1"/>
    <col min="12264" max="12264" width="14.875" style="7" customWidth="1"/>
    <col min="12265" max="12266" width="0" style="7" hidden="1" customWidth="1"/>
    <col min="12267" max="12267" width="14.875" style="7" customWidth="1"/>
    <col min="12268" max="12269" width="0" style="7" hidden="1" customWidth="1"/>
    <col min="12270" max="12270" width="14.875" style="7" customWidth="1"/>
    <col min="12271" max="12272" width="0" style="7" hidden="1" customWidth="1"/>
    <col min="12273" max="12273" width="14.875" style="7" customWidth="1"/>
    <col min="12274" max="12275" width="0" style="7" hidden="1" customWidth="1"/>
    <col min="12276" max="12277" width="14.875" style="7" customWidth="1"/>
    <col min="12278" max="12278" width="44.375" style="7" customWidth="1"/>
    <col min="12279" max="12283" width="14.875" style="7" customWidth="1"/>
    <col min="12284" max="12284" width="63.875" style="7" customWidth="1"/>
    <col min="12285" max="12285" width="13.25" style="7" customWidth="1"/>
    <col min="12286" max="12471" width="9" style="7"/>
    <col min="12472" max="12473" width="0" style="7" hidden="1" customWidth="1"/>
    <col min="12474" max="12474" width="13.75" style="7" customWidth="1"/>
    <col min="12475" max="12475" width="52.875" style="7" customWidth="1"/>
    <col min="12476" max="12515" width="0" style="7" hidden="1" customWidth="1"/>
    <col min="12516" max="12517" width="14.875" style="7" customWidth="1"/>
    <col min="12518" max="12519" width="0" style="7" hidden="1" customWidth="1"/>
    <col min="12520" max="12520" width="14.875" style="7" customWidth="1"/>
    <col min="12521" max="12522" width="0" style="7" hidden="1" customWidth="1"/>
    <col min="12523" max="12523" width="14.875" style="7" customWidth="1"/>
    <col min="12524" max="12525" width="0" style="7" hidden="1" customWidth="1"/>
    <col min="12526" max="12526" width="14.875" style="7" customWidth="1"/>
    <col min="12527" max="12528" width="0" style="7" hidden="1" customWidth="1"/>
    <col min="12529" max="12529" width="14.875" style="7" customWidth="1"/>
    <col min="12530" max="12531" width="0" style="7" hidden="1" customWidth="1"/>
    <col min="12532" max="12533" width="14.875" style="7" customWidth="1"/>
    <col min="12534" max="12534" width="44.375" style="7" customWidth="1"/>
    <col min="12535" max="12539" width="14.875" style="7" customWidth="1"/>
    <col min="12540" max="12540" width="63.875" style="7" customWidth="1"/>
    <col min="12541" max="12541" width="13.25" style="7" customWidth="1"/>
    <col min="12542" max="12727" width="9" style="7"/>
    <col min="12728" max="12729" width="0" style="7" hidden="1" customWidth="1"/>
    <col min="12730" max="12730" width="13.75" style="7" customWidth="1"/>
    <col min="12731" max="12731" width="52.875" style="7" customWidth="1"/>
    <col min="12732" max="12771" width="0" style="7" hidden="1" customWidth="1"/>
    <col min="12772" max="12773" width="14.875" style="7" customWidth="1"/>
    <col min="12774" max="12775" width="0" style="7" hidden="1" customWidth="1"/>
    <col min="12776" max="12776" width="14.875" style="7" customWidth="1"/>
    <col min="12777" max="12778" width="0" style="7" hidden="1" customWidth="1"/>
    <col min="12779" max="12779" width="14.875" style="7" customWidth="1"/>
    <col min="12780" max="12781" width="0" style="7" hidden="1" customWidth="1"/>
    <col min="12782" max="12782" width="14.875" style="7" customWidth="1"/>
    <col min="12783" max="12784" width="0" style="7" hidden="1" customWidth="1"/>
    <col min="12785" max="12785" width="14.875" style="7" customWidth="1"/>
    <col min="12786" max="12787" width="0" style="7" hidden="1" customWidth="1"/>
    <col min="12788" max="12789" width="14.875" style="7" customWidth="1"/>
    <col min="12790" max="12790" width="44.375" style="7" customWidth="1"/>
    <col min="12791" max="12795" width="14.875" style="7" customWidth="1"/>
    <col min="12796" max="12796" width="63.875" style="7" customWidth="1"/>
    <col min="12797" max="12797" width="13.25" style="7" customWidth="1"/>
    <col min="12798" max="12983" width="9" style="7"/>
    <col min="12984" max="12985" width="0" style="7" hidden="1" customWidth="1"/>
    <col min="12986" max="12986" width="13.75" style="7" customWidth="1"/>
    <col min="12987" max="12987" width="52.875" style="7" customWidth="1"/>
    <col min="12988" max="13027" width="0" style="7" hidden="1" customWidth="1"/>
    <col min="13028" max="13029" width="14.875" style="7" customWidth="1"/>
    <col min="13030" max="13031" width="0" style="7" hidden="1" customWidth="1"/>
    <col min="13032" max="13032" width="14.875" style="7" customWidth="1"/>
    <col min="13033" max="13034" width="0" style="7" hidden="1" customWidth="1"/>
    <col min="13035" max="13035" width="14.875" style="7" customWidth="1"/>
    <col min="13036" max="13037" width="0" style="7" hidden="1" customWidth="1"/>
    <col min="13038" max="13038" width="14.875" style="7" customWidth="1"/>
    <col min="13039" max="13040" width="0" style="7" hidden="1" customWidth="1"/>
    <col min="13041" max="13041" width="14.875" style="7" customWidth="1"/>
    <col min="13042" max="13043" width="0" style="7" hidden="1" customWidth="1"/>
    <col min="13044" max="13045" width="14.875" style="7" customWidth="1"/>
    <col min="13046" max="13046" width="44.375" style="7" customWidth="1"/>
    <col min="13047" max="13051" width="14.875" style="7" customWidth="1"/>
    <col min="13052" max="13052" width="63.875" style="7" customWidth="1"/>
    <col min="13053" max="13053" width="13.25" style="7" customWidth="1"/>
    <col min="13054" max="13239" width="9" style="7"/>
    <col min="13240" max="13241" width="0" style="7" hidden="1" customWidth="1"/>
    <col min="13242" max="13242" width="13.75" style="7" customWidth="1"/>
    <col min="13243" max="13243" width="52.875" style="7" customWidth="1"/>
    <col min="13244" max="13283" width="0" style="7" hidden="1" customWidth="1"/>
    <col min="13284" max="13285" width="14.875" style="7" customWidth="1"/>
    <col min="13286" max="13287" width="0" style="7" hidden="1" customWidth="1"/>
    <col min="13288" max="13288" width="14.875" style="7" customWidth="1"/>
    <col min="13289" max="13290" width="0" style="7" hidden="1" customWidth="1"/>
    <col min="13291" max="13291" width="14.875" style="7" customWidth="1"/>
    <col min="13292" max="13293" width="0" style="7" hidden="1" customWidth="1"/>
    <col min="13294" max="13294" width="14.875" style="7" customWidth="1"/>
    <col min="13295" max="13296" width="0" style="7" hidden="1" customWidth="1"/>
    <col min="13297" max="13297" width="14.875" style="7" customWidth="1"/>
    <col min="13298" max="13299" width="0" style="7" hidden="1" customWidth="1"/>
    <col min="13300" max="13301" width="14.875" style="7" customWidth="1"/>
    <col min="13302" max="13302" width="44.375" style="7" customWidth="1"/>
    <col min="13303" max="13307" width="14.875" style="7" customWidth="1"/>
    <col min="13308" max="13308" width="63.875" style="7" customWidth="1"/>
    <col min="13309" max="13309" width="13.25" style="7" customWidth="1"/>
    <col min="13310" max="13495" width="9" style="7"/>
    <col min="13496" max="13497" width="0" style="7" hidden="1" customWidth="1"/>
    <col min="13498" max="13498" width="13.75" style="7" customWidth="1"/>
    <col min="13499" max="13499" width="52.875" style="7" customWidth="1"/>
    <col min="13500" max="13539" width="0" style="7" hidden="1" customWidth="1"/>
    <col min="13540" max="13541" width="14.875" style="7" customWidth="1"/>
    <col min="13542" max="13543" width="0" style="7" hidden="1" customWidth="1"/>
    <col min="13544" max="13544" width="14.875" style="7" customWidth="1"/>
    <col min="13545" max="13546" width="0" style="7" hidden="1" customWidth="1"/>
    <col min="13547" max="13547" width="14.875" style="7" customWidth="1"/>
    <col min="13548" max="13549" width="0" style="7" hidden="1" customWidth="1"/>
    <col min="13550" max="13550" width="14.875" style="7" customWidth="1"/>
    <col min="13551" max="13552" width="0" style="7" hidden="1" customWidth="1"/>
    <col min="13553" max="13553" width="14.875" style="7" customWidth="1"/>
    <col min="13554" max="13555" width="0" style="7" hidden="1" customWidth="1"/>
    <col min="13556" max="13557" width="14.875" style="7" customWidth="1"/>
    <col min="13558" max="13558" width="44.375" style="7" customWidth="1"/>
    <col min="13559" max="13563" width="14.875" style="7" customWidth="1"/>
    <col min="13564" max="13564" width="63.875" style="7" customWidth="1"/>
    <col min="13565" max="13565" width="13.25" style="7" customWidth="1"/>
    <col min="13566" max="13751" width="9" style="7"/>
    <col min="13752" max="13753" width="0" style="7" hidden="1" customWidth="1"/>
    <col min="13754" max="13754" width="13.75" style="7" customWidth="1"/>
    <col min="13755" max="13755" width="52.875" style="7" customWidth="1"/>
    <col min="13756" max="13795" width="0" style="7" hidden="1" customWidth="1"/>
    <col min="13796" max="13797" width="14.875" style="7" customWidth="1"/>
    <col min="13798" max="13799" width="0" style="7" hidden="1" customWidth="1"/>
    <col min="13800" max="13800" width="14.875" style="7" customWidth="1"/>
    <col min="13801" max="13802" width="0" style="7" hidden="1" customWidth="1"/>
    <col min="13803" max="13803" width="14.875" style="7" customWidth="1"/>
    <col min="13804" max="13805" width="0" style="7" hidden="1" customWidth="1"/>
    <col min="13806" max="13806" width="14.875" style="7" customWidth="1"/>
    <col min="13807" max="13808" width="0" style="7" hidden="1" customWidth="1"/>
    <col min="13809" max="13809" width="14.875" style="7" customWidth="1"/>
    <col min="13810" max="13811" width="0" style="7" hidden="1" customWidth="1"/>
    <col min="13812" max="13813" width="14.875" style="7" customWidth="1"/>
    <col min="13814" max="13814" width="44.375" style="7" customWidth="1"/>
    <col min="13815" max="13819" width="14.875" style="7" customWidth="1"/>
    <col min="13820" max="13820" width="63.875" style="7" customWidth="1"/>
    <col min="13821" max="13821" width="13.25" style="7" customWidth="1"/>
    <col min="13822" max="14007" width="9" style="7"/>
    <col min="14008" max="14009" width="0" style="7" hidden="1" customWidth="1"/>
    <col min="14010" max="14010" width="13.75" style="7" customWidth="1"/>
    <col min="14011" max="14011" width="52.875" style="7" customWidth="1"/>
    <col min="14012" max="14051" width="0" style="7" hidden="1" customWidth="1"/>
    <col min="14052" max="14053" width="14.875" style="7" customWidth="1"/>
    <col min="14054" max="14055" width="0" style="7" hidden="1" customWidth="1"/>
    <col min="14056" max="14056" width="14.875" style="7" customWidth="1"/>
    <col min="14057" max="14058" width="0" style="7" hidden="1" customWidth="1"/>
    <col min="14059" max="14059" width="14.875" style="7" customWidth="1"/>
    <col min="14060" max="14061" width="0" style="7" hidden="1" customWidth="1"/>
    <col min="14062" max="14062" width="14.875" style="7" customWidth="1"/>
    <col min="14063" max="14064" width="0" style="7" hidden="1" customWidth="1"/>
    <col min="14065" max="14065" width="14.875" style="7" customWidth="1"/>
    <col min="14066" max="14067" width="0" style="7" hidden="1" customWidth="1"/>
    <col min="14068" max="14069" width="14.875" style="7" customWidth="1"/>
    <col min="14070" max="14070" width="44.375" style="7" customWidth="1"/>
    <col min="14071" max="14075" width="14.875" style="7" customWidth="1"/>
    <col min="14076" max="14076" width="63.875" style="7" customWidth="1"/>
    <col min="14077" max="14077" width="13.25" style="7" customWidth="1"/>
    <col min="14078" max="14263" width="9" style="7"/>
    <col min="14264" max="14265" width="0" style="7" hidden="1" customWidth="1"/>
    <col min="14266" max="14266" width="13.75" style="7" customWidth="1"/>
    <col min="14267" max="14267" width="52.875" style="7" customWidth="1"/>
    <col min="14268" max="14307" width="0" style="7" hidden="1" customWidth="1"/>
    <col min="14308" max="14309" width="14.875" style="7" customWidth="1"/>
    <col min="14310" max="14311" width="0" style="7" hidden="1" customWidth="1"/>
    <col min="14312" max="14312" width="14.875" style="7" customWidth="1"/>
    <col min="14313" max="14314" width="0" style="7" hidden="1" customWidth="1"/>
    <col min="14315" max="14315" width="14.875" style="7" customWidth="1"/>
    <col min="14316" max="14317" width="0" style="7" hidden="1" customWidth="1"/>
    <col min="14318" max="14318" width="14.875" style="7" customWidth="1"/>
    <col min="14319" max="14320" width="0" style="7" hidden="1" customWidth="1"/>
    <col min="14321" max="14321" width="14.875" style="7" customWidth="1"/>
    <col min="14322" max="14323" width="0" style="7" hidden="1" customWidth="1"/>
    <col min="14324" max="14325" width="14.875" style="7" customWidth="1"/>
    <col min="14326" max="14326" width="44.375" style="7" customWidth="1"/>
    <col min="14327" max="14331" width="14.875" style="7" customWidth="1"/>
    <col min="14332" max="14332" width="63.875" style="7" customWidth="1"/>
    <col min="14333" max="14333" width="13.25" style="7" customWidth="1"/>
    <col min="14334" max="14519" width="9" style="7"/>
    <col min="14520" max="14521" width="0" style="7" hidden="1" customWidth="1"/>
    <col min="14522" max="14522" width="13.75" style="7" customWidth="1"/>
    <col min="14523" max="14523" width="52.875" style="7" customWidth="1"/>
    <col min="14524" max="14563" width="0" style="7" hidden="1" customWidth="1"/>
    <col min="14564" max="14565" width="14.875" style="7" customWidth="1"/>
    <col min="14566" max="14567" width="0" style="7" hidden="1" customWidth="1"/>
    <col min="14568" max="14568" width="14.875" style="7" customWidth="1"/>
    <col min="14569" max="14570" width="0" style="7" hidden="1" customWidth="1"/>
    <col min="14571" max="14571" width="14.875" style="7" customWidth="1"/>
    <col min="14572" max="14573" width="0" style="7" hidden="1" customWidth="1"/>
    <col min="14574" max="14574" width="14.875" style="7" customWidth="1"/>
    <col min="14575" max="14576" width="0" style="7" hidden="1" customWidth="1"/>
    <col min="14577" max="14577" width="14.875" style="7" customWidth="1"/>
    <col min="14578" max="14579" width="0" style="7" hidden="1" customWidth="1"/>
    <col min="14580" max="14581" width="14.875" style="7" customWidth="1"/>
    <col min="14582" max="14582" width="44.375" style="7" customWidth="1"/>
    <col min="14583" max="14587" width="14.875" style="7" customWidth="1"/>
    <col min="14588" max="14588" width="63.875" style="7" customWidth="1"/>
    <col min="14589" max="14589" width="13.25" style="7" customWidth="1"/>
    <col min="14590" max="14775" width="9" style="7"/>
    <col min="14776" max="14777" width="0" style="7" hidden="1" customWidth="1"/>
    <col min="14778" max="14778" width="13.75" style="7" customWidth="1"/>
    <col min="14779" max="14779" width="52.875" style="7" customWidth="1"/>
    <col min="14780" max="14819" width="0" style="7" hidden="1" customWidth="1"/>
    <col min="14820" max="14821" width="14.875" style="7" customWidth="1"/>
    <col min="14822" max="14823" width="0" style="7" hidden="1" customWidth="1"/>
    <col min="14824" max="14824" width="14.875" style="7" customWidth="1"/>
    <col min="14825" max="14826" width="0" style="7" hidden="1" customWidth="1"/>
    <col min="14827" max="14827" width="14.875" style="7" customWidth="1"/>
    <col min="14828" max="14829" width="0" style="7" hidden="1" customWidth="1"/>
    <col min="14830" max="14830" width="14.875" style="7" customWidth="1"/>
    <col min="14831" max="14832" width="0" style="7" hidden="1" customWidth="1"/>
    <col min="14833" max="14833" width="14.875" style="7" customWidth="1"/>
    <col min="14834" max="14835" width="0" style="7" hidden="1" customWidth="1"/>
    <col min="14836" max="14837" width="14.875" style="7" customWidth="1"/>
    <col min="14838" max="14838" width="44.375" style="7" customWidth="1"/>
    <col min="14839" max="14843" width="14.875" style="7" customWidth="1"/>
    <col min="14844" max="14844" width="63.875" style="7" customWidth="1"/>
    <col min="14845" max="14845" width="13.25" style="7" customWidth="1"/>
    <col min="14846" max="15031" width="9" style="7"/>
    <col min="15032" max="15033" width="0" style="7" hidden="1" customWidth="1"/>
    <col min="15034" max="15034" width="13.75" style="7" customWidth="1"/>
    <col min="15035" max="15035" width="52.875" style="7" customWidth="1"/>
    <col min="15036" max="15075" width="0" style="7" hidden="1" customWidth="1"/>
    <col min="15076" max="15077" width="14.875" style="7" customWidth="1"/>
    <col min="15078" max="15079" width="0" style="7" hidden="1" customWidth="1"/>
    <col min="15080" max="15080" width="14.875" style="7" customWidth="1"/>
    <col min="15081" max="15082" width="0" style="7" hidden="1" customWidth="1"/>
    <col min="15083" max="15083" width="14.875" style="7" customWidth="1"/>
    <col min="15084" max="15085" width="0" style="7" hidden="1" customWidth="1"/>
    <col min="15086" max="15086" width="14.875" style="7" customWidth="1"/>
    <col min="15087" max="15088" width="0" style="7" hidden="1" customWidth="1"/>
    <col min="15089" max="15089" width="14.875" style="7" customWidth="1"/>
    <col min="15090" max="15091" width="0" style="7" hidden="1" customWidth="1"/>
    <col min="15092" max="15093" width="14.875" style="7" customWidth="1"/>
    <col min="15094" max="15094" width="44.375" style="7" customWidth="1"/>
    <col min="15095" max="15099" width="14.875" style="7" customWidth="1"/>
    <col min="15100" max="15100" width="63.875" style="7" customWidth="1"/>
    <col min="15101" max="15101" width="13.25" style="7" customWidth="1"/>
    <col min="15102" max="15287" width="9" style="7"/>
    <col min="15288" max="15289" width="0" style="7" hidden="1" customWidth="1"/>
    <col min="15290" max="15290" width="13.75" style="7" customWidth="1"/>
    <col min="15291" max="15291" width="52.875" style="7" customWidth="1"/>
    <col min="15292" max="15331" width="0" style="7" hidden="1" customWidth="1"/>
    <col min="15332" max="15333" width="14.875" style="7" customWidth="1"/>
    <col min="15334" max="15335" width="0" style="7" hidden="1" customWidth="1"/>
    <col min="15336" max="15336" width="14.875" style="7" customWidth="1"/>
    <col min="15337" max="15338" width="0" style="7" hidden="1" customWidth="1"/>
    <col min="15339" max="15339" width="14.875" style="7" customWidth="1"/>
    <col min="15340" max="15341" width="0" style="7" hidden="1" customWidth="1"/>
    <col min="15342" max="15342" width="14.875" style="7" customWidth="1"/>
    <col min="15343" max="15344" width="0" style="7" hidden="1" customWidth="1"/>
    <col min="15345" max="15345" width="14.875" style="7" customWidth="1"/>
    <col min="15346" max="15347" width="0" style="7" hidden="1" customWidth="1"/>
    <col min="15348" max="15349" width="14.875" style="7" customWidth="1"/>
    <col min="15350" max="15350" width="44.375" style="7" customWidth="1"/>
    <col min="15351" max="15355" width="14.875" style="7" customWidth="1"/>
    <col min="15356" max="15356" width="63.875" style="7" customWidth="1"/>
    <col min="15357" max="15357" width="13.25" style="7" customWidth="1"/>
    <col min="15358" max="15543" width="9" style="7"/>
    <col min="15544" max="15545" width="0" style="7" hidden="1" customWidth="1"/>
    <col min="15546" max="15546" width="13.75" style="7" customWidth="1"/>
    <col min="15547" max="15547" width="52.875" style="7" customWidth="1"/>
    <col min="15548" max="15587" width="0" style="7" hidden="1" customWidth="1"/>
    <col min="15588" max="15589" width="14.875" style="7" customWidth="1"/>
    <col min="15590" max="15591" width="0" style="7" hidden="1" customWidth="1"/>
    <col min="15592" max="15592" width="14.875" style="7" customWidth="1"/>
    <col min="15593" max="15594" width="0" style="7" hidden="1" customWidth="1"/>
    <col min="15595" max="15595" width="14.875" style="7" customWidth="1"/>
    <col min="15596" max="15597" width="0" style="7" hidden="1" customWidth="1"/>
    <col min="15598" max="15598" width="14.875" style="7" customWidth="1"/>
    <col min="15599" max="15600" width="0" style="7" hidden="1" customWidth="1"/>
    <col min="15601" max="15601" width="14.875" style="7" customWidth="1"/>
    <col min="15602" max="15603" width="0" style="7" hidden="1" customWidth="1"/>
    <col min="15604" max="15605" width="14.875" style="7" customWidth="1"/>
    <col min="15606" max="15606" width="44.375" style="7" customWidth="1"/>
    <col min="15607" max="15611" width="14.875" style="7" customWidth="1"/>
    <col min="15612" max="15612" width="63.875" style="7" customWidth="1"/>
    <col min="15613" max="15613" width="13.25" style="7" customWidth="1"/>
    <col min="15614" max="15799" width="9" style="7"/>
    <col min="15800" max="15801" width="0" style="7" hidden="1" customWidth="1"/>
    <col min="15802" max="15802" width="13.75" style="7" customWidth="1"/>
    <col min="15803" max="15803" width="52.875" style="7" customWidth="1"/>
    <col min="15804" max="15843" width="0" style="7" hidden="1" customWidth="1"/>
    <col min="15844" max="15845" width="14.875" style="7" customWidth="1"/>
    <col min="15846" max="15847" width="0" style="7" hidden="1" customWidth="1"/>
    <col min="15848" max="15848" width="14.875" style="7" customWidth="1"/>
    <col min="15849" max="15850" width="0" style="7" hidden="1" customWidth="1"/>
    <col min="15851" max="15851" width="14.875" style="7" customWidth="1"/>
    <col min="15852" max="15853" width="0" style="7" hidden="1" customWidth="1"/>
    <col min="15854" max="15854" width="14.875" style="7" customWidth="1"/>
    <col min="15855" max="15856" width="0" style="7" hidden="1" customWidth="1"/>
    <col min="15857" max="15857" width="14.875" style="7" customWidth="1"/>
    <col min="15858" max="15859" width="0" style="7" hidden="1" customWidth="1"/>
    <col min="15860" max="15861" width="14.875" style="7" customWidth="1"/>
    <col min="15862" max="15862" width="44.375" style="7" customWidth="1"/>
    <col min="15863" max="15867" width="14.875" style="7" customWidth="1"/>
    <col min="15868" max="15868" width="63.875" style="7" customWidth="1"/>
    <col min="15869" max="15869" width="13.25" style="7" customWidth="1"/>
    <col min="15870" max="16055" width="9" style="7"/>
    <col min="16056" max="16057" width="0" style="7" hidden="1" customWidth="1"/>
    <col min="16058" max="16058" width="13.75" style="7" customWidth="1"/>
    <col min="16059" max="16059" width="52.875" style="7" customWidth="1"/>
    <col min="16060" max="16099" width="0" style="7" hidden="1" customWidth="1"/>
    <col min="16100" max="16101" width="14.875" style="7" customWidth="1"/>
    <col min="16102" max="16103" width="0" style="7" hidden="1" customWidth="1"/>
    <col min="16104" max="16104" width="14.875" style="7" customWidth="1"/>
    <col min="16105" max="16106" width="0" style="7" hidden="1" customWidth="1"/>
    <col min="16107" max="16107" width="14.875" style="7" customWidth="1"/>
    <col min="16108" max="16109" width="0" style="7" hidden="1" customWidth="1"/>
    <col min="16110" max="16110" width="14.875" style="7" customWidth="1"/>
    <col min="16111" max="16112" width="0" style="7" hidden="1" customWidth="1"/>
    <col min="16113" max="16113" width="14.875" style="7" customWidth="1"/>
    <col min="16114" max="16115" width="0" style="7" hidden="1" customWidth="1"/>
    <col min="16116" max="16117" width="14.875" style="7" customWidth="1"/>
    <col min="16118" max="16118" width="44.375" style="7" customWidth="1"/>
    <col min="16119" max="16123" width="14.875" style="7" customWidth="1"/>
    <col min="16124" max="16124" width="63.875" style="7" customWidth="1"/>
    <col min="16125" max="16125" width="13.25" style="7" customWidth="1"/>
    <col min="16126" max="16324" width="9" style="7"/>
    <col min="16325" max="16357" width="9.125" style="7" customWidth="1"/>
    <col min="16358" max="16365" width="9.125" style="7"/>
    <col min="16366" max="16366" width="9.125" style="7" customWidth="1"/>
    <col min="16367" max="16384" width="9.125" style="7"/>
  </cols>
  <sheetData>
    <row r="1" spans="1:17" ht="24.6" outlineLevel="1" x14ac:dyDescent="0.4">
      <c r="C1" s="61" t="s">
        <v>361</v>
      </c>
      <c r="D1" s="260"/>
      <c r="E1" s="126"/>
      <c r="F1" s="126"/>
      <c r="G1" s="8"/>
      <c r="H1" s="324"/>
      <c r="I1" s="126"/>
      <c r="J1" s="8"/>
      <c r="K1" s="324"/>
      <c r="L1" s="126"/>
      <c r="M1" s="8"/>
      <c r="N1" s="324"/>
      <c r="O1" s="306"/>
      <c r="P1" s="460"/>
      <c r="Q1" s="8"/>
    </row>
    <row r="2" spans="1:17" ht="24.6" outlineLevel="1" x14ac:dyDescent="0.4">
      <c r="C2" s="539" t="s">
        <v>1308</v>
      </c>
      <c r="D2" s="539"/>
      <c r="G2" s="45"/>
      <c r="H2" s="325"/>
      <c r="J2" s="45"/>
      <c r="K2" s="325"/>
      <c r="M2" s="45"/>
      <c r="N2" s="325"/>
      <c r="O2" s="99"/>
      <c r="P2" s="461"/>
      <c r="Q2" s="45"/>
    </row>
    <row r="3" spans="1:17" ht="20.399999999999999" outlineLevel="1" x14ac:dyDescent="0.35">
      <c r="C3" s="537" t="s">
        <v>0</v>
      </c>
      <c r="D3" s="537"/>
      <c r="E3" s="119">
        <v>37257977</v>
      </c>
      <c r="F3" s="119">
        <v>37259477</v>
      </c>
      <c r="G3" s="49"/>
      <c r="I3" s="119">
        <f>I104-I133-I42+I85</f>
        <v>37259477</v>
      </c>
      <c r="J3" s="49"/>
      <c r="L3" s="119">
        <f>L104-L133-L42+L85</f>
        <v>37269477</v>
      </c>
      <c r="M3" s="49"/>
      <c r="O3" s="49"/>
      <c r="P3" s="462"/>
      <c r="Q3" s="49"/>
    </row>
    <row r="4" spans="1:17" ht="14.4" outlineLevel="1" thickBot="1" x14ac:dyDescent="0.3">
      <c r="C4" s="100"/>
      <c r="E4" s="119" t="s">
        <v>1411</v>
      </c>
      <c r="F4" s="119"/>
      <c r="G4" s="1"/>
      <c r="I4" s="119"/>
      <c r="J4" s="1"/>
      <c r="L4" s="119"/>
      <c r="M4" s="1"/>
      <c r="O4" s="119"/>
      <c r="P4" s="101"/>
      <c r="Q4" s="508"/>
    </row>
    <row r="5" spans="1:17" ht="55.2" customHeight="1" thickBot="1" x14ac:dyDescent="0.3">
      <c r="C5" s="11" t="s">
        <v>1</v>
      </c>
      <c r="D5" s="12" t="s">
        <v>2</v>
      </c>
      <c r="E5" s="275" t="s">
        <v>1303</v>
      </c>
      <c r="F5" s="275" t="s">
        <v>1421</v>
      </c>
      <c r="G5" s="50" t="s">
        <v>1422</v>
      </c>
      <c r="H5" s="326" t="s">
        <v>305</v>
      </c>
      <c r="I5" s="275" t="s">
        <v>1451</v>
      </c>
      <c r="J5" s="50" t="s">
        <v>1452</v>
      </c>
      <c r="K5" s="326" t="s">
        <v>305</v>
      </c>
      <c r="L5" s="275" t="s">
        <v>1471</v>
      </c>
      <c r="M5" s="50" t="s">
        <v>1472</v>
      </c>
      <c r="N5" s="326" t="s">
        <v>305</v>
      </c>
      <c r="O5" s="50" t="s">
        <v>1488</v>
      </c>
      <c r="P5" s="400" t="s">
        <v>1489</v>
      </c>
      <c r="Q5" s="326" t="s">
        <v>4</v>
      </c>
    </row>
    <row r="6" spans="1:17" x14ac:dyDescent="0.25">
      <c r="C6" s="67" t="s">
        <v>5</v>
      </c>
      <c r="D6" s="68" t="s">
        <v>6</v>
      </c>
      <c r="E6" s="58">
        <v>42715458</v>
      </c>
      <c r="F6" s="58">
        <v>42715458</v>
      </c>
      <c r="G6" s="13">
        <f>F6-E6</f>
        <v>0</v>
      </c>
      <c r="H6" s="327"/>
      <c r="I6" s="58">
        <f>ROUND((I7+I10+I13+I16+I19),0)</f>
        <v>41763189</v>
      </c>
      <c r="J6" s="13">
        <f>I6-F6</f>
        <v>-952269</v>
      </c>
      <c r="K6" s="327"/>
      <c r="L6" s="58">
        <f>ROUND((L7+L10+L13+L16+L19),0)</f>
        <v>41763189</v>
      </c>
      <c r="M6" s="13">
        <f>L6-I6</f>
        <v>0</v>
      </c>
      <c r="N6" s="327"/>
      <c r="O6" s="401">
        <f>ROUND((O7+O10+O13+O16+O19),0)</f>
        <v>19982339</v>
      </c>
      <c r="P6" s="429">
        <f t="shared" ref="P6:P38" si="0">O6/L6</f>
        <v>0.4784677482363715</v>
      </c>
      <c r="Q6" s="430"/>
    </row>
    <row r="7" spans="1:17" x14ac:dyDescent="0.25">
      <c r="B7" s="7" t="s">
        <v>7</v>
      </c>
      <c r="C7" s="69" t="s">
        <v>8</v>
      </c>
      <c r="D7" s="70" t="s">
        <v>9</v>
      </c>
      <c r="E7" s="276">
        <v>39439118</v>
      </c>
      <c r="F7" s="276">
        <v>39439118</v>
      </c>
      <c r="G7" s="14">
        <f t="shared" ref="G7:G70" si="1">F7-E7</f>
        <v>0</v>
      </c>
      <c r="H7" s="328"/>
      <c r="I7" s="276">
        <f>SUM(I8:I8)</f>
        <v>38486849</v>
      </c>
      <c r="J7" s="14">
        <f t="shared" ref="J7:J70" si="2">I7-F7</f>
        <v>-952269</v>
      </c>
      <c r="K7" s="328"/>
      <c r="L7" s="276">
        <f>SUM(L8:L8)</f>
        <v>38486849</v>
      </c>
      <c r="M7" s="14">
        <f t="shared" ref="M7:M70" si="3">L7-I7</f>
        <v>0</v>
      </c>
      <c r="N7" s="328"/>
      <c r="O7" s="408">
        <f>SUM(O8:O8)</f>
        <v>17319085.059999999</v>
      </c>
      <c r="P7" s="431">
        <f t="shared" si="0"/>
        <v>0.45000007820853294</v>
      </c>
      <c r="Q7" s="408"/>
    </row>
    <row r="8" spans="1:17" ht="33" customHeight="1" x14ac:dyDescent="0.25">
      <c r="A8" s="7" t="s">
        <v>10</v>
      </c>
      <c r="B8" s="15" t="s">
        <v>12</v>
      </c>
      <c r="C8" s="71" t="s">
        <v>11</v>
      </c>
      <c r="D8" s="72" t="s">
        <v>14</v>
      </c>
      <c r="E8" s="243">
        <v>39439118</v>
      </c>
      <c r="F8" s="243">
        <v>39439118</v>
      </c>
      <c r="G8" s="16">
        <f t="shared" si="1"/>
        <v>0</v>
      </c>
      <c r="H8" s="318"/>
      <c r="I8" s="243">
        <f>ROUND(F8,0)-952269</f>
        <v>38486849</v>
      </c>
      <c r="J8" s="16">
        <f t="shared" si="2"/>
        <v>-952269</v>
      </c>
      <c r="K8" s="316" t="s">
        <v>1455</v>
      </c>
      <c r="L8" s="243">
        <f>ROUND(I8,0)</f>
        <v>38486849</v>
      </c>
      <c r="M8" s="16">
        <f t="shared" si="3"/>
        <v>0</v>
      </c>
      <c r="N8" s="316"/>
      <c r="O8" s="252">
        <v>17319085.059999999</v>
      </c>
      <c r="P8" s="405">
        <f t="shared" si="0"/>
        <v>0.45000007820853294</v>
      </c>
      <c r="Q8" s="252" t="s">
        <v>1441</v>
      </c>
    </row>
    <row r="9" spans="1:17" ht="32.4" customHeight="1" x14ac:dyDescent="0.25">
      <c r="C9" s="67" t="s">
        <v>462</v>
      </c>
      <c r="D9" s="68" t="s">
        <v>463</v>
      </c>
      <c r="E9" s="58">
        <v>3211340</v>
      </c>
      <c r="F9" s="58">
        <v>3211340</v>
      </c>
      <c r="G9" s="13">
        <f t="shared" si="1"/>
        <v>0</v>
      </c>
      <c r="H9" s="327"/>
      <c r="I9" s="58">
        <f>I10+I13+I16</f>
        <v>3211340</v>
      </c>
      <c r="J9" s="13">
        <f t="shared" si="2"/>
        <v>0</v>
      </c>
      <c r="K9" s="327"/>
      <c r="L9" s="58">
        <f>L10+L13+L16</f>
        <v>3211340</v>
      </c>
      <c r="M9" s="13">
        <f t="shared" si="3"/>
        <v>0</v>
      </c>
      <c r="N9" s="327"/>
      <c r="O9" s="401">
        <f>O10+O13+O16</f>
        <v>2609119.04</v>
      </c>
      <c r="P9" s="429">
        <f t="shared" si="0"/>
        <v>0.81247050763855588</v>
      </c>
      <c r="Q9" s="430" t="s">
        <v>765</v>
      </c>
    </row>
    <row r="10" spans="1:17" x14ac:dyDescent="0.25">
      <c r="B10" s="7" t="s">
        <v>15</v>
      </c>
      <c r="C10" s="73" t="s">
        <v>16</v>
      </c>
      <c r="D10" s="74" t="s">
        <v>17</v>
      </c>
      <c r="E10" s="277">
        <v>2082625</v>
      </c>
      <c r="F10" s="277">
        <v>2082625</v>
      </c>
      <c r="G10" s="17">
        <f t="shared" si="1"/>
        <v>0</v>
      </c>
      <c r="H10" s="329"/>
      <c r="I10" s="277">
        <f>SUM(I11:I12)</f>
        <v>2082625</v>
      </c>
      <c r="J10" s="17">
        <f t="shared" si="2"/>
        <v>0</v>
      </c>
      <c r="K10" s="329"/>
      <c r="L10" s="277">
        <f>SUM(L11:L12)</f>
        <v>2082625</v>
      </c>
      <c r="M10" s="17">
        <f t="shared" si="3"/>
        <v>0</v>
      </c>
      <c r="N10" s="329"/>
      <c r="O10" s="258">
        <f>SUM(O11:O12)</f>
        <v>1617740.29</v>
      </c>
      <c r="P10" s="432">
        <f t="shared" si="0"/>
        <v>0.77677944421103173</v>
      </c>
      <c r="Q10" s="258"/>
    </row>
    <row r="11" spans="1:17" x14ac:dyDescent="0.25">
      <c r="A11" s="7" t="s">
        <v>10</v>
      </c>
      <c r="B11" s="15" t="s">
        <v>18</v>
      </c>
      <c r="C11" s="71" t="s">
        <v>19</v>
      </c>
      <c r="D11" s="72" t="s">
        <v>14</v>
      </c>
      <c r="E11" s="243">
        <v>1945625</v>
      </c>
      <c r="F11" s="243">
        <v>1945625</v>
      </c>
      <c r="G11" s="16">
        <f t="shared" si="1"/>
        <v>0</v>
      </c>
      <c r="H11" s="330"/>
      <c r="I11" s="243">
        <f>ROUND(F11,0)</f>
        <v>1945625</v>
      </c>
      <c r="J11" s="16">
        <f t="shared" si="2"/>
        <v>0</v>
      </c>
      <c r="K11" s="330"/>
      <c r="L11" s="243">
        <f>ROUND(I11,0)</f>
        <v>1945625</v>
      </c>
      <c r="M11" s="16">
        <f t="shared" si="3"/>
        <v>0</v>
      </c>
      <c r="N11" s="330"/>
      <c r="O11" s="252">
        <v>1563284.09</v>
      </c>
      <c r="P11" s="405">
        <f t="shared" si="0"/>
        <v>0.80348684355926758</v>
      </c>
      <c r="Q11" s="252"/>
    </row>
    <row r="12" spans="1:17" x14ac:dyDescent="0.25">
      <c r="A12" s="7" t="s">
        <v>10</v>
      </c>
      <c r="B12" s="15" t="s">
        <v>20</v>
      </c>
      <c r="C12" s="71" t="s">
        <v>21</v>
      </c>
      <c r="D12" s="72" t="s">
        <v>22</v>
      </c>
      <c r="E12" s="243">
        <v>137000</v>
      </c>
      <c r="F12" s="243">
        <v>137000</v>
      </c>
      <c r="G12" s="16">
        <f t="shared" si="1"/>
        <v>0</v>
      </c>
      <c r="H12" s="318"/>
      <c r="I12" s="243">
        <f>ROUND(F12,0)</f>
        <v>137000</v>
      </c>
      <c r="J12" s="16">
        <f t="shared" si="2"/>
        <v>0</v>
      </c>
      <c r="K12" s="318"/>
      <c r="L12" s="243">
        <f>ROUND(I12,0)</f>
        <v>137000</v>
      </c>
      <c r="M12" s="16">
        <f t="shared" si="3"/>
        <v>0</v>
      </c>
      <c r="N12" s="318"/>
      <c r="O12" s="252">
        <v>54456.2</v>
      </c>
      <c r="P12" s="405">
        <f t="shared" si="0"/>
        <v>0.39749051094890508</v>
      </c>
      <c r="Q12" s="252"/>
    </row>
    <row r="13" spans="1:17" x14ac:dyDescent="0.25">
      <c r="B13" s="7" t="s">
        <v>23</v>
      </c>
      <c r="C13" s="73" t="s">
        <v>24</v>
      </c>
      <c r="D13" s="74" t="s">
        <v>25</v>
      </c>
      <c r="E13" s="277">
        <v>392228</v>
      </c>
      <c r="F13" s="277">
        <v>392228</v>
      </c>
      <c r="G13" s="17">
        <f t="shared" si="1"/>
        <v>0</v>
      </c>
      <c r="H13" s="329"/>
      <c r="I13" s="277">
        <f>SUM(I14:I15)</f>
        <v>392228</v>
      </c>
      <c r="J13" s="17">
        <f t="shared" si="2"/>
        <v>0</v>
      </c>
      <c r="K13" s="329"/>
      <c r="L13" s="277">
        <f>SUM(L14:L15)</f>
        <v>392228</v>
      </c>
      <c r="M13" s="17">
        <f t="shared" si="3"/>
        <v>0</v>
      </c>
      <c r="N13" s="329"/>
      <c r="O13" s="258">
        <f>SUM(O14:O15)</f>
        <v>389873.94</v>
      </c>
      <c r="P13" s="432">
        <f t="shared" si="0"/>
        <v>0.99399823572004042</v>
      </c>
      <c r="Q13" s="258"/>
    </row>
    <row r="14" spans="1:17" x14ac:dyDescent="0.25">
      <c r="A14" s="7" t="s">
        <v>10</v>
      </c>
      <c r="B14" s="15" t="s">
        <v>26</v>
      </c>
      <c r="C14" s="71" t="s">
        <v>27</v>
      </c>
      <c r="D14" s="72" t="s">
        <v>28</v>
      </c>
      <c r="E14" s="243">
        <v>362228</v>
      </c>
      <c r="F14" s="243">
        <v>362228</v>
      </c>
      <c r="G14" s="16">
        <f t="shared" si="1"/>
        <v>0</v>
      </c>
      <c r="H14" s="331"/>
      <c r="I14" s="243">
        <f>ROUND(F14,0)</f>
        <v>362228</v>
      </c>
      <c r="J14" s="16">
        <f t="shared" si="2"/>
        <v>0</v>
      </c>
      <c r="K14" s="331"/>
      <c r="L14" s="243">
        <f>ROUND(I14,0)</f>
        <v>362228</v>
      </c>
      <c r="M14" s="16">
        <f t="shared" si="3"/>
        <v>0</v>
      </c>
      <c r="N14" s="331"/>
      <c r="O14" s="252">
        <v>371739.24</v>
      </c>
      <c r="P14" s="405">
        <f t="shared" si="0"/>
        <v>1.0262576057069028</v>
      </c>
      <c r="Q14" s="252"/>
    </row>
    <row r="15" spans="1:17" x14ac:dyDescent="0.25">
      <c r="A15" s="7" t="s">
        <v>10</v>
      </c>
      <c r="B15" s="15" t="s">
        <v>29</v>
      </c>
      <c r="C15" s="71" t="s">
        <v>30</v>
      </c>
      <c r="D15" s="72" t="s">
        <v>22</v>
      </c>
      <c r="E15" s="243">
        <v>30000</v>
      </c>
      <c r="F15" s="243">
        <v>30000</v>
      </c>
      <c r="G15" s="16">
        <f t="shared" si="1"/>
        <v>0</v>
      </c>
      <c r="H15" s="318"/>
      <c r="I15" s="243">
        <f>ROUND(F15,0)</f>
        <v>30000</v>
      </c>
      <c r="J15" s="16">
        <f t="shared" si="2"/>
        <v>0</v>
      </c>
      <c r="K15" s="318"/>
      <c r="L15" s="243">
        <f>ROUND(I15,0)</f>
        <v>30000</v>
      </c>
      <c r="M15" s="16">
        <f t="shared" si="3"/>
        <v>0</v>
      </c>
      <c r="N15" s="318"/>
      <c r="O15" s="252">
        <v>18134.7</v>
      </c>
      <c r="P15" s="405">
        <f t="shared" si="0"/>
        <v>0.60448999999999997</v>
      </c>
      <c r="Q15" s="252"/>
    </row>
    <row r="16" spans="1:17" ht="27.6" x14ac:dyDescent="0.25">
      <c r="B16" s="7" t="s">
        <v>31</v>
      </c>
      <c r="C16" s="73" t="s">
        <v>32</v>
      </c>
      <c r="D16" s="74" t="s">
        <v>33</v>
      </c>
      <c r="E16" s="277">
        <v>736487</v>
      </c>
      <c r="F16" s="277">
        <v>736487</v>
      </c>
      <c r="G16" s="17">
        <f t="shared" si="1"/>
        <v>0</v>
      </c>
      <c r="H16" s="329"/>
      <c r="I16" s="277">
        <f>SUM(I17:I18)</f>
        <v>736487</v>
      </c>
      <c r="J16" s="17">
        <f t="shared" si="2"/>
        <v>0</v>
      </c>
      <c r="K16" s="329"/>
      <c r="L16" s="277">
        <f>SUM(L17:L18)</f>
        <v>736487</v>
      </c>
      <c r="M16" s="17">
        <f t="shared" si="3"/>
        <v>0</v>
      </c>
      <c r="N16" s="329"/>
      <c r="O16" s="258">
        <f>SUM(O17:O18)</f>
        <v>601504.81000000006</v>
      </c>
      <c r="P16" s="432">
        <f t="shared" si="0"/>
        <v>0.81672155788221656</v>
      </c>
      <c r="Q16" s="258"/>
    </row>
    <row r="17" spans="1:17" ht="18.75" customHeight="1" x14ac:dyDescent="0.25">
      <c r="A17" s="7" t="s">
        <v>10</v>
      </c>
      <c r="B17" s="15" t="s">
        <v>34</v>
      </c>
      <c r="C17" s="71" t="s">
        <v>35</v>
      </c>
      <c r="D17" s="72" t="s">
        <v>28</v>
      </c>
      <c r="E17" s="243">
        <v>665899</v>
      </c>
      <c r="F17" s="243">
        <v>665899</v>
      </c>
      <c r="G17" s="16">
        <f t="shared" si="1"/>
        <v>0</v>
      </c>
      <c r="H17" s="331"/>
      <c r="I17" s="243">
        <f>ROUND(F17,0)</f>
        <v>665899</v>
      </c>
      <c r="J17" s="16">
        <f t="shared" si="2"/>
        <v>0</v>
      </c>
      <c r="K17" s="331"/>
      <c r="L17" s="243">
        <f>ROUND(I17,0)</f>
        <v>665899</v>
      </c>
      <c r="M17" s="16">
        <f t="shared" si="3"/>
        <v>0</v>
      </c>
      <c r="N17" s="331"/>
      <c r="O17" s="252">
        <v>575373.65</v>
      </c>
      <c r="P17" s="405">
        <f t="shared" si="0"/>
        <v>0.86405543483321046</v>
      </c>
      <c r="Q17" s="252"/>
    </row>
    <row r="18" spans="1:17" x14ac:dyDescent="0.25">
      <c r="A18" s="7" t="s">
        <v>10</v>
      </c>
      <c r="B18" s="15" t="s">
        <v>36</v>
      </c>
      <c r="C18" s="71" t="s">
        <v>37</v>
      </c>
      <c r="D18" s="72" t="s">
        <v>22</v>
      </c>
      <c r="E18" s="243">
        <v>70588</v>
      </c>
      <c r="F18" s="243">
        <v>70588</v>
      </c>
      <c r="G18" s="16">
        <f t="shared" si="1"/>
        <v>0</v>
      </c>
      <c r="H18" s="330"/>
      <c r="I18" s="243">
        <f>ROUND(F18,0)</f>
        <v>70588</v>
      </c>
      <c r="J18" s="16">
        <f t="shared" si="2"/>
        <v>0</v>
      </c>
      <c r="K18" s="330"/>
      <c r="L18" s="243">
        <f>ROUND(I18,0)</f>
        <v>70588</v>
      </c>
      <c r="M18" s="16">
        <f t="shared" si="3"/>
        <v>0</v>
      </c>
      <c r="N18" s="330"/>
      <c r="O18" s="252">
        <v>26131.16</v>
      </c>
      <c r="P18" s="405">
        <f t="shared" si="0"/>
        <v>0.37019266730889105</v>
      </c>
      <c r="Q18" s="252"/>
    </row>
    <row r="19" spans="1:17" ht="28.2" x14ac:dyDescent="0.3">
      <c r="B19" s="59"/>
      <c r="C19" s="73" t="s">
        <v>38</v>
      </c>
      <c r="D19" s="74" t="s">
        <v>412</v>
      </c>
      <c r="E19" s="277">
        <v>65000</v>
      </c>
      <c r="F19" s="277">
        <v>65000</v>
      </c>
      <c r="G19" s="17">
        <f t="shared" si="1"/>
        <v>0</v>
      </c>
      <c r="H19" s="329"/>
      <c r="I19" s="277">
        <f>SUM(I20:I21)</f>
        <v>65000</v>
      </c>
      <c r="J19" s="17">
        <f t="shared" si="2"/>
        <v>0</v>
      </c>
      <c r="K19" s="329"/>
      <c r="L19" s="277">
        <f>SUM(L20:L21)</f>
        <v>65000</v>
      </c>
      <c r="M19" s="17">
        <f t="shared" si="3"/>
        <v>0</v>
      </c>
      <c r="N19" s="329"/>
      <c r="O19" s="258">
        <f>SUM(O20:O21)</f>
        <v>54135.27</v>
      </c>
      <c r="P19" s="432">
        <f t="shared" si="0"/>
        <v>0.83285030769230761</v>
      </c>
      <c r="Q19" s="258"/>
    </row>
    <row r="20" spans="1:17" ht="14.4" customHeight="1" outlineLevel="1" x14ac:dyDescent="0.25">
      <c r="B20" s="15" t="s">
        <v>466</v>
      </c>
      <c r="C20" s="71" t="s">
        <v>161</v>
      </c>
      <c r="D20" s="72" t="s">
        <v>39</v>
      </c>
      <c r="E20" s="243">
        <v>5000</v>
      </c>
      <c r="F20" s="243">
        <v>5000</v>
      </c>
      <c r="G20" s="16">
        <f t="shared" si="1"/>
        <v>0</v>
      </c>
      <c r="H20" s="331"/>
      <c r="I20" s="243">
        <f>ROUND(F20,0)</f>
        <v>5000</v>
      </c>
      <c r="J20" s="16">
        <f t="shared" si="2"/>
        <v>0</v>
      </c>
      <c r="K20" s="331"/>
      <c r="L20" s="243">
        <f>ROUND(I20,0)</f>
        <v>5000</v>
      </c>
      <c r="M20" s="16">
        <f t="shared" si="3"/>
        <v>0</v>
      </c>
      <c r="N20" s="331"/>
      <c r="O20" s="252">
        <v>3670.7</v>
      </c>
      <c r="P20" s="405">
        <f t="shared" si="0"/>
        <v>0.73414000000000001</v>
      </c>
      <c r="Q20" s="252"/>
    </row>
    <row r="21" spans="1:17" ht="15.6" customHeight="1" x14ac:dyDescent="0.25">
      <c r="B21" s="15" t="s">
        <v>465</v>
      </c>
      <c r="C21" s="71" t="s">
        <v>161</v>
      </c>
      <c r="D21" s="72" t="s">
        <v>464</v>
      </c>
      <c r="E21" s="243">
        <v>60000</v>
      </c>
      <c r="F21" s="243">
        <v>60000</v>
      </c>
      <c r="G21" s="16">
        <f t="shared" si="1"/>
        <v>0</v>
      </c>
      <c r="H21" s="332"/>
      <c r="I21" s="243">
        <f>ROUND(F21,0)</f>
        <v>60000</v>
      </c>
      <c r="J21" s="16">
        <f t="shared" si="2"/>
        <v>0</v>
      </c>
      <c r="K21" s="332"/>
      <c r="L21" s="243">
        <f>ROUND(I21,0)</f>
        <v>60000</v>
      </c>
      <c r="M21" s="16">
        <f t="shared" si="3"/>
        <v>0</v>
      </c>
      <c r="N21" s="332"/>
      <c r="O21" s="252">
        <v>50464.57</v>
      </c>
      <c r="P21" s="405">
        <f t="shared" si="0"/>
        <v>0.84107616666666662</v>
      </c>
      <c r="Q21" s="252"/>
    </row>
    <row r="22" spans="1:17" ht="15.75" customHeight="1" x14ac:dyDescent="0.25">
      <c r="B22" s="7" t="s">
        <v>40</v>
      </c>
      <c r="C22" s="73" t="s">
        <v>41</v>
      </c>
      <c r="D22" s="74" t="s">
        <v>42</v>
      </c>
      <c r="E22" s="277">
        <v>144060</v>
      </c>
      <c r="F22" s="277">
        <v>144060</v>
      </c>
      <c r="G22" s="17">
        <f t="shared" si="1"/>
        <v>0</v>
      </c>
      <c r="H22" s="329"/>
      <c r="I22" s="277">
        <f>I23+I27</f>
        <v>144060</v>
      </c>
      <c r="J22" s="17">
        <f t="shared" si="2"/>
        <v>0</v>
      </c>
      <c r="K22" s="329"/>
      <c r="L22" s="277">
        <f>L23+L27</f>
        <v>144060</v>
      </c>
      <c r="M22" s="17">
        <f t="shared" si="3"/>
        <v>0</v>
      </c>
      <c r="N22" s="329"/>
      <c r="O22" s="258">
        <f>O23+O27</f>
        <v>79197.97</v>
      </c>
      <c r="P22" s="432">
        <f t="shared" si="0"/>
        <v>0.54975683742884907</v>
      </c>
      <c r="Q22" s="433"/>
    </row>
    <row r="23" spans="1:17" x14ac:dyDescent="0.25">
      <c r="A23" s="7" t="s">
        <v>10</v>
      </c>
      <c r="B23" s="7" t="s">
        <v>43</v>
      </c>
      <c r="C23" s="71" t="s">
        <v>44</v>
      </c>
      <c r="D23" s="72" t="s">
        <v>45</v>
      </c>
      <c r="E23" s="243">
        <v>6100</v>
      </c>
      <c r="F23" s="243">
        <v>6100</v>
      </c>
      <c r="G23" s="16">
        <f t="shared" si="1"/>
        <v>0</v>
      </c>
      <c r="H23" s="330"/>
      <c r="I23" s="243">
        <f>I24+I25+I26</f>
        <v>6100</v>
      </c>
      <c r="J23" s="16">
        <f t="shared" si="2"/>
        <v>0</v>
      </c>
      <c r="K23" s="330"/>
      <c r="L23" s="243">
        <f>L24+L25+L26</f>
        <v>6100</v>
      </c>
      <c r="M23" s="16">
        <f t="shared" si="3"/>
        <v>0</v>
      </c>
      <c r="N23" s="330"/>
      <c r="O23" s="252">
        <f>O24+O25+O26</f>
        <v>2532.1999999999998</v>
      </c>
      <c r="P23" s="434">
        <f t="shared" si="0"/>
        <v>0.41511475409836063</v>
      </c>
      <c r="Q23" s="252"/>
    </row>
    <row r="24" spans="1:17" ht="26.4" x14ac:dyDescent="0.25">
      <c r="B24" s="15" t="s">
        <v>46</v>
      </c>
      <c r="C24" s="75" t="s">
        <v>47</v>
      </c>
      <c r="D24" s="76" t="s">
        <v>48</v>
      </c>
      <c r="E24" s="243">
        <v>1100</v>
      </c>
      <c r="F24" s="243">
        <v>1100</v>
      </c>
      <c r="G24" s="16">
        <f t="shared" si="1"/>
        <v>0</v>
      </c>
      <c r="H24" s="330"/>
      <c r="I24" s="243">
        <f>ROUND(F24,0)</f>
        <v>1100</v>
      </c>
      <c r="J24" s="16">
        <f t="shared" si="2"/>
        <v>0</v>
      </c>
      <c r="K24" s="330"/>
      <c r="L24" s="243">
        <f>ROUND(I24,0)</f>
        <v>1100</v>
      </c>
      <c r="M24" s="16">
        <f t="shared" si="3"/>
        <v>0</v>
      </c>
      <c r="N24" s="330"/>
      <c r="O24" s="252">
        <v>506.52</v>
      </c>
      <c r="P24" s="405">
        <f t="shared" si="0"/>
        <v>0.46047272727272726</v>
      </c>
      <c r="Q24" s="252"/>
    </row>
    <row r="25" spans="1:17" ht="26.4" x14ac:dyDescent="0.25">
      <c r="B25" s="15" t="s">
        <v>49</v>
      </c>
      <c r="C25" s="75" t="s">
        <v>50</v>
      </c>
      <c r="D25" s="76" t="s">
        <v>325</v>
      </c>
      <c r="E25" s="243">
        <v>4500</v>
      </c>
      <c r="F25" s="243">
        <v>4500</v>
      </c>
      <c r="G25" s="16">
        <f t="shared" si="1"/>
        <v>0</v>
      </c>
      <c r="H25" s="330"/>
      <c r="I25" s="243">
        <f>ROUND(F25,0)</f>
        <v>4500</v>
      </c>
      <c r="J25" s="16">
        <f t="shared" si="2"/>
        <v>0</v>
      </c>
      <c r="K25" s="330"/>
      <c r="L25" s="243">
        <f>ROUND(I25,0)</f>
        <v>4500</v>
      </c>
      <c r="M25" s="16">
        <f t="shared" si="3"/>
        <v>0</v>
      </c>
      <c r="N25" s="330"/>
      <c r="O25" s="252">
        <v>1908.3</v>
      </c>
      <c r="P25" s="405">
        <f t="shared" si="0"/>
        <v>0.42406666666666665</v>
      </c>
      <c r="Q25" s="252"/>
    </row>
    <row r="26" spans="1:17" ht="26.4" x14ac:dyDescent="0.25">
      <c r="B26" s="15" t="s">
        <v>51</v>
      </c>
      <c r="C26" s="75" t="s">
        <v>52</v>
      </c>
      <c r="D26" s="76" t="s">
        <v>326</v>
      </c>
      <c r="E26" s="243">
        <v>500</v>
      </c>
      <c r="F26" s="243">
        <v>500</v>
      </c>
      <c r="G26" s="16">
        <f t="shared" si="1"/>
        <v>0</v>
      </c>
      <c r="H26" s="330"/>
      <c r="I26" s="243">
        <f>ROUND(F26,0)</f>
        <v>500</v>
      </c>
      <c r="J26" s="16">
        <f t="shared" si="2"/>
        <v>0</v>
      </c>
      <c r="K26" s="330"/>
      <c r="L26" s="243">
        <f>ROUND(I26,0)</f>
        <v>500</v>
      </c>
      <c r="M26" s="16">
        <f t="shared" si="3"/>
        <v>0</v>
      </c>
      <c r="N26" s="330"/>
      <c r="O26" s="252">
        <f>91.76+25.62</f>
        <v>117.38000000000001</v>
      </c>
      <c r="P26" s="405">
        <f t="shared" si="0"/>
        <v>0.23476000000000002</v>
      </c>
      <c r="Q26" s="252"/>
    </row>
    <row r="27" spans="1:17" x14ac:dyDescent="0.25">
      <c r="A27" s="7" t="s">
        <v>10</v>
      </c>
      <c r="B27" s="7" t="s">
        <v>53</v>
      </c>
      <c r="C27" s="71" t="s">
        <v>54</v>
      </c>
      <c r="D27" s="72" t="s">
        <v>55</v>
      </c>
      <c r="E27" s="243">
        <v>137960</v>
      </c>
      <c r="F27" s="243">
        <v>137960</v>
      </c>
      <c r="G27" s="16">
        <f t="shared" si="1"/>
        <v>0</v>
      </c>
      <c r="H27" s="330"/>
      <c r="I27" s="243">
        <f>SUM(I28:I33)</f>
        <v>137960</v>
      </c>
      <c r="J27" s="16">
        <f t="shared" si="2"/>
        <v>0</v>
      </c>
      <c r="K27" s="330"/>
      <c r="L27" s="243">
        <f>SUM(L28:L33)</f>
        <v>137960</v>
      </c>
      <c r="M27" s="16">
        <f t="shared" si="3"/>
        <v>0</v>
      </c>
      <c r="N27" s="330"/>
      <c r="O27" s="252">
        <f>SUM(O28:O33)</f>
        <v>76665.77</v>
      </c>
      <c r="P27" s="434">
        <f t="shared" si="0"/>
        <v>0.55571013337199193</v>
      </c>
      <c r="Q27" s="252"/>
    </row>
    <row r="28" spans="1:17" ht="26.4" x14ac:dyDescent="0.25">
      <c r="B28" s="15" t="s">
        <v>56</v>
      </c>
      <c r="C28" s="75" t="s">
        <v>57</v>
      </c>
      <c r="D28" s="76" t="s">
        <v>327</v>
      </c>
      <c r="E28" s="243">
        <v>100</v>
      </c>
      <c r="F28" s="243">
        <v>100</v>
      </c>
      <c r="G28" s="16">
        <f t="shared" si="1"/>
        <v>0</v>
      </c>
      <c r="H28" s="330"/>
      <c r="I28" s="243">
        <f t="shared" ref="I28:I33" si="4">ROUND(F28,0)</f>
        <v>100</v>
      </c>
      <c r="J28" s="16">
        <f t="shared" si="2"/>
        <v>0</v>
      </c>
      <c r="K28" s="330"/>
      <c r="L28" s="243">
        <f t="shared" ref="L28:L33" si="5">ROUND(I28,0)</f>
        <v>100</v>
      </c>
      <c r="M28" s="16">
        <f t="shared" si="3"/>
        <v>0</v>
      </c>
      <c r="N28" s="330"/>
      <c r="O28" s="252">
        <v>28.5</v>
      </c>
      <c r="P28" s="405">
        <f t="shared" si="0"/>
        <v>0.28499999999999998</v>
      </c>
      <c r="Q28" s="252"/>
    </row>
    <row r="29" spans="1:17" ht="26.4" x14ac:dyDescent="0.25">
      <c r="B29" s="64" t="s">
        <v>708</v>
      </c>
      <c r="C29" s="75" t="s">
        <v>59</v>
      </c>
      <c r="D29" s="76" t="s">
        <v>335</v>
      </c>
      <c r="E29" s="243">
        <v>1860</v>
      </c>
      <c r="F29" s="243">
        <v>1860</v>
      </c>
      <c r="G29" s="57">
        <f t="shared" si="1"/>
        <v>0</v>
      </c>
      <c r="H29" s="333"/>
      <c r="I29" s="243">
        <f t="shared" si="4"/>
        <v>1860</v>
      </c>
      <c r="J29" s="57">
        <f t="shared" si="2"/>
        <v>0</v>
      </c>
      <c r="K29" s="333"/>
      <c r="L29" s="243">
        <f t="shared" si="5"/>
        <v>1860</v>
      </c>
      <c r="M29" s="57">
        <f t="shared" si="3"/>
        <v>0</v>
      </c>
      <c r="N29" s="333"/>
      <c r="O29" s="252">
        <v>1287.98</v>
      </c>
      <c r="P29" s="407">
        <f t="shared" si="0"/>
        <v>0.69246236559139784</v>
      </c>
      <c r="Q29" s="252"/>
    </row>
    <row r="30" spans="1:17" ht="25.95" customHeight="1" x14ac:dyDescent="0.25">
      <c r="B30" s="15" t="s">
        <v>58</v>
      </c>
      <c r="C30" s="75" t="s">
        <v>60</v>
      </c>
      <c r="D30" s="76" t="s">
        <v>328</v>
      </c>
      <c r="E30" s="243">
        <v>33000</v>
      </c>
      <c r="F30" s="243">
        <v>33000</v>
      </c>
      <c r="G30" s="16">
        <f t="shared" si="1"/>
        <v>0</v>
      </c>
      <c r="H30" s="330"/>
      <c r="I30" s="243">
        <f t="shared" si="4"/>
        <v>33000</v>
      </c>
      <c r="J30" s="16">
        <f t="shared" si="2"/>
        <v>0</v>
      </c>
      <c r="K30" s="330"/>
      <c r="L30" s="243">
        <f t="shared" si="5"/>
        <v>33000</v>
      </c>
      <c r="M30" s="16">
        <f t="shared" si="3"/>
        <v>0</v>
      </c>
      <c r="N30" s="330"/>
      <c r="O30" s="252">
        <v>15476.1</v>
      </c>
      <c r="P30" s="405">
        <f t="shared" si="0"/>
        <v>0.46897272727272726</v>
      </c>
      <c r="Q30" s="252"/>
    </row>
    <row r="31" spans="1:17" ht="26.4" x14ac:dyDescent="0.25">
      <c r="B31" s="15" t="s">
        <v>61</v>
      </c>
      <c r="C31" s="75" t="s">
        <v>62</v>
      </c>
      <c r="D31" s="76" t="s">
        <v>329</v>
      </c>
      <c r="E31" s="243">
        <v>13000</v>
      </c>
      <c r="F31" s="243">
        <v>13000</v>
      </c>
      <c r="G31" s="16">
        <f t="shared" si="1"/>
        <v>0</v>
      </c>
      <c r="H31" s="330"/>
      <c r="I31" s="243">
        <f t="shared" si="4"/>
        <v>13000</v>
      </c>
      <c r="J31" s="16">
        <f t="shared" si="2"/>
        <v>0</v>
      </c>
      <c r="K31" s="330"/>
      <c r="L31" s="243">
        <f t="shared" si="5"/>
        <v>13000</v>
      </c>
      <c r="M31" s="16">
        <f t="shared" si="3"/>
        <v>0</v>
      </c>
      <c r="N31" s="330"/>
      <c r="O31" s="252">
        <f>15812.4-78.79</f>
        <v>15733.609999999999</v>
      </c>
      <c r="P31" s="405">
        <f t="shared" si="0"/>
        <v>1.2102776923076921</v>
      </c>
      <c r="Q31" s="252"/>
    </row>
    <row r="32" spans="1:17" x14ac:dyDescent="0.25">
      <c r="B32" s="15" t="s">
        <v>63</v>
      </c>
      <c r="C32" s="75" t="s">
        <v>64</v>
      </c>
      <c r="D32" s="76" t="s">
        <v>330</v>
      </c>
      <c r="E32" s="243">
        <v>85000</v>
      </c>
      <c r="F32" s="243">
        <v>85000</v>
      </c>
      <c r="G32" s="16">
        <f t="shared" si="1"/>
        <v>0</v>
      </c>
      <c r="H32" s="330"/>
      <c r="I32" s="243">
        <f t="shared" si="4"/>
        <v>85000</v>
      </c>
      <c r="J32" s="16">
        <f t="shared" si="2"/>
        <v>0</v>
      </c>
      <c r="K32" s="330"/>
      <c r="L32" s="243">
        <f t="shared" si="5"/>
        <v>85000</v>
      </c>
      <c r="M32" s="16">
        <f t="shared" si="3"/>
        <v>0</v>
      </c>
      <c r="N32" s="330"/>
      <c r="O32" s="252">
        <v>42352</v>
      </c>
      <c r="P32" s="405">
        <f t="shared" si="0"/>
        <v>0.49825882352941175</v>
      </c>
      <c r="Q32" s="252"/>
    </row>
    <row r="33" spans="1:18" x14ac:dyDescent="0.25">
      <c r="B33" s="15" t="s">
        <v>65</v>
      </c>
      <c r="C33" s="75" t="s">
        <v>66</v>
      </c>
      <c r="D33" s="76" t="s">
        <v>331</v>
      </c>
      <c r="E33" s="243">
        <v>5000</v>
      </c>
      <c r="F33" s="243">
        <v>5000</v>
      </c>
      <c r="G33" s="16">
        <f t="shared" si="1"/>
        <v>0</v>
      </c>
      <c r="H33" s="330"/>
      <c r="I33" s="243">
        <f t="shared" si="4"/>
        <v>5000</v>
      </c>
      <c r="J33" s="16">
        <f t="shared" si="2"/>
        <v>0</v>
      </c>
      <c r="K33" s="330"/>
      <c r="L33" s="243">
        <f t="shared" si="5"/>
        <v>5000</v>
      </c>
      <c r="M33" s="16">
        <f t="shared" si="3"/>
        <v>0</v>
      </c>
      <c r="N33" s="330"/>
      <c r="O33" s="252">
        <v>1787.58</v>
      </c>
      <c r="P33" s="405">
        <f t="shared" si="0"/>
        <v>0.357516</v>
      </c>
      <c r="Q33" s="252"/>
    </row>
    <row r="34" spans="1:18" ht="18" customHeight="1" x14ac:dyDescent="0.25">
      <c r="B34" s="7" t="s">
        <v>67</v>
      </c>
      <c r="C34" s="73" t="s">
        <v>68</v>
      </c>
      <c r="D34" s="74" t="s">
        <v>69</v>
      </c>
      <c r="E34" s="277">
        <v>130000</v>
      </c>
      <c r="F34" s="277">
        <v>130000</v>
      </c>
      <c r="G34" s="17">
        <f t="shared" si="1"/>
        <v>0</v>
      </c>
      <c r="H34" s="334"/>
      <c r="I34" s="277">
        <f>I35+I36</f>
        <v>130000</v>
      </c>
      <c r="J34" s="17">
        <f t="shared" si="2"/>
        <v>0</v>
      </c>
      <c r="K34" s="334"/>
      <c r="L34" s="277">
        <f>L35+L36</f>
        <v>130000</v>
      </c>
      <c r="M34" s="17">
        <f t="shared" si="3"/>
        <v>0</v>
      </c>
      <c r="N34" s="334"/>
      <c r="O34" s="258">
        <f>O35+O36</f>
        <v>80655.09</v>
      </c>
      <c r="P34" s="432">
        <f t="shared" si="0"/>
        <v>0.62042376923076925</v>
      </c>
      <c r="Q34" s="433"/>
    </row>
    <row r="35" spans="1:18" ht="16.5" customHeight="1" x14ac:dyDescent="0.3">
      <c r="B35" s="59" t="s">
        <v>70</v>
      </c>
      <c r="C35" s="71" t="s">
        <v>71</v>
      </c>
      <c r="D35" s="72" t="s">
        <v>69</v>
      </c>
      <c r="E35" s="243">
        <v>90000</v>
      </c>
      <c r="F35" s="243">
        <v>90000</v>
      </c>
      <c r="G35" s="16">
        <f t="shared" si="1"/>
        <v>0</v>
      </c>
      <c r="H35" s="318"/>
      <c r="I35" s="243">
        <f>ROUND(F35,0)</f>
        <v>90000</v>
      </c>
      <c r="J35" s="16">
        <f t="shared" si="2"/>
        <v>0</v>
      </c>
      <c r="K35" s="318"/>
      <c r="L35" s="243">
        <f>ROUND(I35,0)</f>
        <v>90000</v>
      </c>
      <c r="M35" s="16">
        <f t="shared" si="3"/>
        <v>0</v>
      </c>
      <c r="N35" s="318"/>
      <c r="O35" s="252">
        <f>69333.09+985</f>
        <v>70318.09</v>
      </c>
      <c r="P35" s="405">
        <f t="shared" si="0"/>
        <v>0.7813121111111111</v>
      </c>
      <c r="Q35" s="252"/>
    </row>
    <row r="36" spans="1:18" ht="28.2" x14ac:dyDescent="0.3">
      <c r="B36" s="59" t="s">
        <v>72</v>
      </c>
      <c r="C36" s="71" t="s">
        <v>73</v>
      </c>
      <c r="D36" s="72" t="s">
        <v>74</v>
      </c>
      <c r="E36" s="243">
        <v>40000</v>
      </c>
      <c r="F36" s="243">
        <v>40000</v>
      </c>
      <c r="G36" s="16">
        <f t="shared" si="1"/>
        <v>0</v>
      </c>
      <c r="H36" s="318"/>
      <c r="I36" s="243">
        <f>ROUND(F36,0)</f>
        <v>40000</v>
      </c>
      <c r="J36" s="16">
        <f t="shared" si="2"/>
        <v>0</v>
      </c>
      <c r="K36" s="318"/>
      <c r="L36" s="243">
        <f>ROUND(I36,0)</f>
        <v>40000</v>
      </c>
      <c r="M36" s="16">
        <f t="shared" si="3"/>
        <v>0</v>
      </c>
      <c r="N36" s="318"/>
      <c r="O36" s="252">
        <v>10337</v>
      </c>
      <c r="P36" s="405">
        <f t="shared" si="0"/>
        <v>0.25842500000000002</v>
      </c>
      <c r="Q36" s="252"/>
    </row>
    <row r="37" spans="1:18" ht="15" customHeight="1" x14ac:dyDescent="0.25">
      <c r="B37" s="7" t="s">
        <v>75</v>
      </c>
      <c r="C37" s="73" t="s">
        <v>76</v>
      </c>
      <c r="D37" s="74" t="s">
        <v>77</v>
      </c>
      <c r="E37" s="277">
        <v>35728</v>
      </c>
      <c r="F37" s="277">
        <v>35728</v>
      </c>
      <c r="G37" s="17">
        <f t="shared" si="1"/>
        <v>0</v>
      </c>
      <c r="H37" s="329"/>
      <c r="I37" s="277">
        <f>I38+I39+I40</f>
        <v>35728</v>
      </c>
      <c r="J37" s="17">
        <f t="shared" si="2"/>
        <v>0</v>
      </c>
      <c r="K37" s="329"/>
      <c r="L37" s="277">
        <f>L38+L39+L40</f>
        <v>35728</v>
      </c>
      <c r="M37" s="17">
        <f t="shared" si="3"/>
        <v>0</v>
      </c>
      <c r="N37" s="329"/>
      <c r="O37" s="258">
        <f>O38+O39+O40</f>
        <v>51366.770000000004</v>
      </c>
      <c r="P37" s="432">
        <f t="shared" si="0"/>
        <v>1.4377174764890284</v>
      </c>
      <c r="Q37" s="258"/>
      <c r="R37" s="45"/>
    </row>
    <row r="38" spans="1:18" ht="45.6" customHeight="1" x14ac:dyDescent="0.25">
      <c r="A38" s="7" t="s">
        <v>10</v>
      </c>
      <c r="B38" s="8" t="s">
        <v>1305</v>
      </c>
      <c r="C38" s="71" t="s">
        <v>78</v>
      </c>
      <c r="D38" s="173" t="s">
        <v>79</v>
      </c>
      <c r="E38" s="243">
        <v>25728</v>
      </c>
      <c r="F38" s="243">
        <v>25728</v>
      </c>
      <c r="G38" s="16">
        <f t="shared" si="1"/>
        <v>0</v>
      </c>
      <c r="H38" s="316"/>
      <c r="I38" s="243">
        <f>ROUND(F38,0)</f>
        <v>25728</v>
      </c>
      <c r="J38" s="16">
        <f t="shared" si="2"/>
        <v>0</v>
      </c>
      <c r="K38" s="316"/>
      <c r="L38" s="243">
        <f>ROUND(I38,0)</f>
        <v>25728</v>
      </c>
      <c r="M38" s="16">
        <f t="shared" si="3"/>
        <v>0</v>
      </c>
      <c r="N38" s="316"/>
      <c r="O38" s="252">
        <f>20189+18420+398+223</f>
        <v>39230</v>
      </c>
      <c r="P38" s="405">
        <f t="shared" si="0"/>
        <v>1.5247978855721394</v>
      </c>
      <c r="Q38" s="403" t="s">
        <v>1493</v>
      </c>
    </row>
    <row r="39" spans="1:18" ht="27.75" customHeight="1" x14ac:dyDescent="0.25">
      <c r="B39" s="7" t="s">
        <v>289</v>
      </c>
      <c r="C39" s="71" t="s">
        <v>80</v>
      </c>
      <c r="D39" s="72" t="s">
        <v>288</v>
      </c>
      <c r="E39" s="243">
        <v>0</v>
      </c>
      <c r="F39" s="243">
        <v>0</v>
      </c>
      <c r="G39" s="16">
        <f t="shared" si="1"/>
        <v>0</v>
      </c>
      <c r="H39" s="316"/>
      <c r="I39" s="243">
        <f>ROUND(F39,0)</f>
        <v>0</v>
      </c>
      <c r="J39" s="16">
        <f t="shared" si="2"/>
        <v>0</v>
      </c>
      <c r="K39" s="316"/>
      <c r="L39" s="243">
        <f>ROUND(I39,0)</f>
        <v>0</v>
      </c>
      <c r="M39" s="16">
        <f t="shared" si="3"/>
        <v>0</v>
      </c>
      <c r="N39" s="316"/>
      <c r="O39" s="498"/>
      <c r="P39" s="405"/>
      <c r="Q39" s="506"/>
    </row>
    <row r="40" spans="1:18" x14ac:dyDescent="0.25">
      <c r="B40" s="7" t="s">
        <v>869</v>
      </c>
      <c r="C40" s="71" t="s">
        <v>81</v>
      </c>
      <c r="D40" s="72" t="s">
        <v>356</v>
      </c>
      <c r="E40" s="243">
        <v>10000</v>
      </c>
      <c r="F40" s="243">
        <v>10000</v>
      </c>
      <c r="G40" s="57">
        <f t="shared" si="1"/>
        <v>0</v>
      </c>
      <c r="H40" s="335"/>
      <c r="I40" s="243">
        <f>ROUND(F40,0)</f>
        <v>10000</v>
      </c>
      <c r="J40" s="57">
        <f t="shared" si="2"/>
        <v>0</v>
      </c>
      <c r="K40" s="335"/>
      <c r="L40" s="243">
        <f>ROUND(I40,0)</f>
        <v>10000</v>
      </c>
      <c r="M40" s="57">
        <f t="shared" si="3"/>
        <v>0</v>
      </c>
      <c r="N40" s="335"/>
      <c r="O40" s="252">
        <v>12136.77</v>
      </c>
      <c r="P40" s="407">
        <f>O40/L40</f>
        <v>1.2136770000000001</v>
      </c>
      <c r="Q40" s="252"/>
      <c r="R40" s="45"/>
    </row>
    <row r="41" spans="1:18" ht="26.4" customHeight="1" x14ac:dyDescent="0.25">
      <c r="B41" s="7" t="s">
        <v>274</v>
      </c>
      <c r="C41" s="77" t="s">
        <v>82</v>
      </c>
      <c r="D41" s="74" t="s">
        <v>83</v>
      </c>
      <c r="E41" s="277">
        <v>0</v>
      </c>
      <c r="F41" s="277">
        <v>0</v>
      </c>
      <c r="G41" s="17">
        <f t="shared" si="1"/>
        <v>0</v>
      </c>
      <c r="H41" s="334"/>
      <c r="I41" s="277">
        <f>ROUND(F41,0)</f>
        <v>0</v>
      </c>
      <c r="J41" s="17">
        <f t="shared" si="2"/>
        <v>0</v>
      </c>
      <c r="K41" s="334"/>
      <c r="L41" s="277">
        <f>ROUND(I41,0)</f>
        <v>0</v>
      </c>
      <c r="M41" s="17">
        <f t="shared" si="3"/>
        <v>0</v>
      </c>
      <c r="N41" s="334"/>
      <c r="O41" s="258">
        <v>159278.32999999999</v>
      </c>
      <c r="P41" s="432"/>
      <c r="Q41" s="433"/>
    </row>
    <row r="42" spans="1:18" ht="31.5" customHeight="1" x14ac:dyDescent="0.25">
      <c r="C42" s="77" t="s">
        <v>86</v>
      </c>
      <c r="D42" s="74" t="s">
        <v>293</v>
      </c>
      <c r="E42" s="277">
        <v>17618701</v>
      </c>
      <c r="F42" s="277">
        <v>17672389</v>
      </c>
      <c r="G42" s="17">
        <f t="shared" si="1"/>
        <v>53688</v>
      </c>
      <c r="H42" s="17"/>
      <c r="I42" s="277">
        <f>I43+I66+I85</f>
        <v>18762241</v>
      </c>
      <c r="J42" s="17">
        <f t="shared" si="2"/>
        <v>1089852</v>
      </c>
      <c r="K42" s="17"/>
      <c r="L42" s="277">
        <f>L43+L66+L85</f>
        <v>18904660</v>
      </c>
      <c r="M42" s="17">
        <f t="shared" si="3"/>
        <v>142419</v>
      </c>
      <c r="N42" s="17"/>
      <c r="O42" s="507">
        <f>O43+O66+O85</f>
        <v>7400899.9699999997</v>
      </c>
      <c r="P42" s="432">
        <f>O42/L42</f>
        <v>0.39148548400235705</v>
      </c>
      <c r="Q42" s="258"/>
    </row>
    <row r="43" spans="1:18" ht="17.399999999999999" customHeight="1" x14ac:dyDescent="0.25">
      <c r="B43" s="15"/>
      <c r="C43" s="78" t="s">
        <v>90</v>
      </c>
      <c r="D43" s="175" t="s">
        <v>87</v>
      </c>
      <c r="E43" s="290">
        <v>9758404</v>
      </c>
      <c r="F43" s="290">
        <v>9781664</v>
      </c>
      <c r="G43" s="55">
        <f t="shared" si="1"/>
        <v>23260</v>
      </c>
      <c r="H43" s="55"/>
      <c r="I43" s="290">
        <f>SUM(I44:I47)+I50+SUM(I54:I65)</f>
        <v>9919247</v>
      </c>
      <c r="J43" s="55">
        <f t="shared" si="2"/>
        <v>137583</v>
      </c>
      <c r="K43" s="55"/>
      <c r="L43" s="290">
        <f>SUM(L44:L47)+L50+SUM(L54:L65)</f>
        <v>10023614</v>
      </c>
      <c r="M43" s="55">
        <f t="shared" si="3"/>
        <v>104367</v>
      </c>
      <c r="N43" s="55"/>
      <c r="O43" s="262">
        <f>SUM(O44:O47)+O50+SUM(O54:O65)</f>
        <v>6502618.4199999999</v>
      </c>
      <c r="P43" s="439">
        <f>O43/L43</f>
        <v>0.64872993114060462</v>
      </c>
      <c r="Q43" s="262"/>
    </row>
    <row r="44" spans="1:18" ht="16.95" customHeight="1" x14ac:dyDescent="0.25">
      <c r="A44" s="7" t="s">
        <v>88</v>
      </c>
      <c r="B44" s="7" t="s">
        <v>89</v>
      </c>
      <c r="C44" s="75" t="s">
        <v>471</v>
      </c>
      <c r="D44" s="72" t="s">
        <v>91</v>
      </c>
      <c r="E44" s="243">
        <v>718764</v>
      </c>
      <c r="F44" s="243">
        <v>718764</v>
      </c>
      <c r="G44" s="16">
        <f t="shared" si="1"/>
        <v>0</v>
      </c>
      <c r="H44" s="316"/>
      <c r="I44" s="243">
        <f>ROUND(F44,0)</f>
        <v>718764</v>
      </c>
      <c r="J44" s="16">
        <f t="shared" si="2"/>
        <v>0</v>
      </c>
      <c r="K44" s="316"/>
      <c r="L44" s="243">
        <f>ROUND(I44,0)</f>
        <v>718764</v>
      </c>
      <c r="M44" s="16">
        <f t="shared" si="3"/>
        <v>0</v>
      </c>
      <c r="N44" s="316"/>
      <c r="O44" s="252">
        <v>550412</v>
      </c>
      <c r="P44" s="405">
        <f>O44/L44</f>
        <v>0.7657756927169419</v>
      </c>
      <c r="Q44" s="252"/>
    </row>
    <row r="45" spans="1:18" ht="13.95" customHeight="1" x14ac:dyDescent="0.3">
      <c r="A45" s="7" t="s">
        <v>88</v>
      </c>
      <c r="B45" s="59" t="s">
        <v>92</v>
      </c>
      <c r="C45" s="75" t="s">
        <v>472</v>
      </c>
      <c r="D45" s="72" t="s">
        <v>94</v>
      </c>
      <c r="E45" s="243">
        <v>313180</v>
      </c>
      <c r="F45" s="243">
        <v>313180</v>
      </c>
      <c r="G45" s="16">
        <f t="shared" si="1"/>
        <v>0</v>
      </c>
      <c r="H45" s="318"/>
      <c r="I45" s="243">
        <f>ROUND(F45,0)</f>
        <v>313180</v>
      </c>
      <c r="J45" s="16">
        <f t="shared" si="2"/>
        <v>0</v>
      </c>
      <c r="K45" s="318"/>
      <c r="L45" s="243">
        <f>ROUND(I45,0)</f>
        <v>313180</v>
      </c>
      <c r="M45" s="16">
        <f t="shared" si="3"/>
        <v>0</v>
      </c>
      <c r="N45" s="318"/>
      <c r="O45" s="252">
        <v>169600</v>
      </c>
      <c r="P45" s="405">
        <f>O45/L45</f>
        <v>0.54154160546650487</v>
      </c>
      <c r="Q45" s="252"/>
    </row>
    <row r="46" spans="1:18" ht="14.4" x14ac:dyDescent="0.3">
      <c r="B46" s="54" t="s">
        <v>316</v>
      </c>
      <c r="C46" s="75" t="s">
        <v>473</v>
      </c>
      <c r="D46" s="72" t="s">
        <v>95</v>
      </c>
      <c r="E46" s="243">
        <v>341692</v>
      </c>
      <c r="F46" s="243">
        <v>341692</v>
      </c>
      <c r="G46" s="16">
        <f t="shared" si="1"/>
        <v>0</v>
      </c>
      <c r="H46" s="316"/>
      <c r="I46" s="243">
        <f>ROUND(F46,0)</f>
        <v>341692</v>
      </c>
      <c r="J46" s="16">
        <f t="shared" si="2"/>
        <v>0</v>
      </c>
      <c r="K46" s="316"/>
      <c r="L46" s="243">
        <f>ROUND(I46,0)</f>
        <v>341692</v>
      </c>
      <c r="M46" s="16">
        <f t="shared" si="3"/>
        <v>0</v>
      </c>
      <c r="N46" s="316"/>
      <c r="O46" s="252">
        <v>211729.88999999998</v>
      </c>
      <c r="P46" s="405">
        <f>O46/L46</f>
        <v>0.61965129414794606</v>
      </c>
      <c r="Q46" s="252"/>
    </row>
    <row r="47" spans="1:18" ht="14.25" customHeight="1" x14ac:dyDescent="0.3">
      <c r="A47" s="7" t="s">
        <v>88</v>
      </c>
      <c r="B47" s="59" t="s">
        <v>96</v>
      </c>
      <c r="C47" s="75" t="s">
        <v>474</v>
      </c>
      <c r="D47" s="72" t="s">
        <v>530</v>
      </c>
      <c r="E47" s="16">
        <v>0</v>
      </c>
      <c r="F47" s="243">
        <v>0</v>
      </c>
      <c r="G47" s="16">
        <f t="shared" si="1"/>
        <v>0</v>
      </c>
      <c r="H47" s="16"/>
      <c r="I47" s="243">
        <f>I48+I49</f>
        <v>117542</v>
      </c>
      <c r="J47" s="16">
        <f t="shared" si="2"/>
        <v>117542</v>
      </c>
      <c r="K47" s="16"/>
      <c r="L47" s="243">
        <f>L48+L49</f>
        <v>117542</v>
      </c>
      <c r="M47" s="16">
        <f t="shared" si="3"/>
        <v>0</v>
      </c>
      <c r="N47" s="16"/>
      <c r="O47" s="252">
        <v>121179.72</v>
      </c>
      <c r="P47" s="405"/>
      <c r="Q47" s="252"/>
    </row>
    <row r="48" spans="1:18" ht="14.25" customHeight="1" x14ac:dyDescent="0.3">
      <c r="B48" s="59"/>
      <c r="C48" s="75" t="s">
        <v>527</v>
      </c>
      <c r="D48" s="76" t="s">
        <v>529</v>
      </c>
      <c r="E48" s="243">
        <v>0</v>
      </c>
      <c r="F48" s="278">
        <v>0</v>
      </c>
      <c r="G48" s="96">
        <f t="shared" si="1"/>
        <v>0</v>
      </c>
      <c r="H48" s="321"/>
      <c r="I48" s="278">
        <f>ROUND(F48,0)+117542</f>
        <v>117542</v>
      </c>
      <c r="J48" s="96">
        <f t="shared" si="2"/>
        <v>117542</v>
      </c>
      <c r="K48" s="321" t="s">
        <v>1464</v>
      </c>
      <c r="L48" s="278">
        <f>ROUND(I48,0)</f>
        <v>117542</v>
      </c>
      <c r="M48" s="96">
        <f t="shared" si="3"/>
        <v>0</v>
      </c>
      <c r="N48" s="321"/>
      <c r="O48" s="252">
        <v>121179.72</v>
      </c>
      <c r="P48" s="405"/>
      <c r="Q48" s="252"/>
    </row>
    <row r="49" spans="1:17" ht="29.4" customHeight="1" x14ac:dyDescent="0.3">
      <c r="B49" s="59"/>
      <c r="C49" s="75" t="s">
        <v>528</v>
      </c>
      <c r="D49" s="76" t="s">
        <v>531</v>
      </c>
      <c r="E49" s="243">
        <v>0</v>
      </c>
      <c r="F49" s="278">
        <v>0</v>
      </c>
      <c r="G49" s="96">
        <f t="shared" si="1"/>
        <v>0</v>
      </c>
      <c r="H49" s="321"/>
      <c r="I49" s="278">
        <f>ROUND(F49,0)</f>
        <v>0</v>
      </c>
      <c r="J49" s="96">
        <f t="shared" si="2"/>
        <v>0</v>
      </c>
      <c r="K49" s="321"/>
      <c r="L49" s="278">
        <f>ROUND(I49,0)</f>
        <v>0</v>
      </c>
      <c r="M49" s="96">
        <f t="shared" si="3"/>
        <v>0</v>
      </c>
      <c r="N49" s="321"/>
      <c r="O49" s="252">
        <v>0</v>
      </c>
      <c r="P49" s="405"/>
      <c r="Q49" s="252"/>
    </row>
    <row r="50" spans="1:17" ht="13.95" customHeight="1" x14ac:dyDescent="0.25">
      <c r="B50" s="7" t="s">
        <v>97</v>
      </c>
      <c r="C50" s="75" t="s">
        <v>475</v>
      </c>
      <c r="D50" s="72" t="s">
        <v>98</v>
      </c>
      <c r="E50" s="279">
        <v>7121916</v>
      </c>
      <c r="F50" s="279">
        <v>7137676</v>
      </c>
      <c r="G50" s="51">
        <f t="shared" si="1"/>
        <v>15760</v>
      </c>
      <c r="H50" s="336"/>
      <c r="I50" s="279">
        <f>I51+I52+I53</f>
        <v>7137676</v>
      </c>
      <c r="J50" s="51">
        <f t="shared" si="2"/>
        <v>0</v>
      </c>
      <c r="K50" s="336"/>
      <c r="L50" s="279">
        <f>L51+L52+L53</f>
        <v>7137676</v>
      </c>
      <c r="M50" s="51">
        <f t="shared" si="3"/>
        <v>0</v>
      </c>
      <c r="N50" s="336"/>
      <c r="O50" s="404">
        <f>O51+O52+O53</f>
        <v>4758451</v>
      </c>
      <c r="P50" s="440">
        <f>O50/L50</f>
        <v>0.66666671336720806</v>
      </c>
      <c r="Q50" s="404"/>
    </row>
    <row r="51" spans="1:17" s="20" customFormat="1" ht="14.4" x14ac:dyDescent="0.3">
      <c r="A51" s="7" t="s">
        <v>88</v>
      </c>
      <c r="B51" s="59" t="s">
        <v>99</v>
      </c>
      <c r="C51" s="75" t="s">
        <v>476</v>
      </c>
      <c r="D51" s="76" t="s">
        <v>100</v>
      </c>
      <c r="E51" s="280">
        <v>1065868</v>
      </c>
      <c r="F51" s="280">
        <v>1065868</v>
      </c>
      <c r="G51" s="19">
        <f t="shared" si="1"/>
        <v>0</v>
      </c>
      <c r="H51" s="337"/>
      <c r="I51" s="280">
        <f t="shared" ref="I51:I64" si="6">ROUND(F51,0)</f>
        <v>1065868</v>
      </c>
      <c r="J51" s="19">
        <f t="shared" si="2"/>
        <v>0</v>
      </c>
      <c r="K51" s="337"/>
      <c r="L51" s="280">
        <f t="shared" ref="L51:L64" si="7">ROUND(I51,0)</f>
        <v>1065868</v>
      </c>
      <c r="M51" s="19">
        <f t="shared" si="3"/>
        <v>0</v>
      </c>
      <c r="N51" s="337"/>
      <c r="O51" s="402">
        <v>710579</v>
      </c>
      <c r="P51" s="441">
        <f>O51/L51</f>
        <v>0.66666697940082642</v>
      </c>
      <c r="Q51" s="402"/>
    </row>
    <row r="52" spans="1:17" s="20" customFormat="1" ht="14.4" x14ac:dyDescent="0.3">
      <c r="A52" s="7" t="s">
        <v>88</v>
      </c>
      <c r="B52" s="59" t="s">
        <v>101</v>
      </c>
      <c r="C52" s="75" t="s">
        <v>477</v>
      </c>
      <c r="D52" s="76" t="s">
        <v>332</v>
      </c>
      <c r="E52" s="280">
        <v>5542646</v>
      </c>
      <c r="F52" s="280">
        <v>5542646</v>
      </c>
      <c r="G52" s="19">
        <f t="shared" si="1"/>
        <v>0</v>
      </c>
      <c r="H52" s="337"/>
      <c r="I52" s="280">
        <f t="shared" si="6"/>
        <v>5542646</v>
      </c>
      <c r="J52" s="19">
        <f t="shared" si="2"/>
        <v>0</v>
      </c>
      <c r="K52" s="337"/>
      <c r="L52" s="280">
        <f t="shared" si="7"/>
        <v>5542646</v>
      </c>
      <c r="M52" s="19">
        <f t="shared" si="3"/>
        <v>0</v>
      </c>
      <c r="N52" s="337"/>
      <c r="O52" s="544">
        <v>4047872</v>
      </c>
      <c r="P52" s="546">
        <f>O52/L52</f>
        <v>0.73031400526030343</v>
      </c>
      <c r="Q52" s="402"/>
    </row>
    <row r="53" spans="1:17" s="20" customFormat="1" ht="18" customHeight="1" x14ac:dyDescent="0.25">
      <c r="A53" s="7" t="s">
        <v>88</v>
      </c>
      <c r="B53" s="7"/>
      <c r="C53" s="75" t="s">
        <v>478</v>
      </c>
      <c r="D53" s="76" t="s">
        <v>333</v>
      </c>
      <c r="E53" s="280">
        <v>513402</v>
      </c>
      <c r="F53" s="280">
        <v>529162</v>
      </c>
      <c r="G53" s="19">
        <f t="shared" si="1"/>
        <v>15760</v>
      </c>
      <c r="H53" s="337" t="s">
        <v>1414</v>
      </c>
      <c r="I53" s="280">
        <f t="shared" si="6"/>
        <v>529162</v>
      </c>
      <c r="J53" s="19">
        <f t="shared" si="2"/>
        <v>0</v>
      </c>
      <c r="K53" s="337"/>
      <c r="L53" s="280">
        <f t="shared" si="7"/>
        <v>529162</v>
      </c>
      <c r="M53" s="19">
        <f t="shared" si="3"/>
        <v>0</v>
      </c>
      <c r="N53" s="337"/>
      <c r="O53" s="545"/>
      <c r="P53" s="547">
        <f t="shared" ref="P53:P56" si="8">O53/F53</f>
        <v>0</v>
      </c>
      <c r="Q53" s="402"/>
    </row>
    <row r="54" spans="1:17" ht="31.5" customHeight="1" x14ac:dyDescent="0.25">
      <c r="A54" s="7" t="s">
        <v>88</v>
      </c>
      <c r="B54" s="7" t="s">
        <v>102</v>
      </c>
      <c r="C54" s="75" t="s">
        <v>479</v>
      </c>
      <c r="D54" s="72" t="s">
        <v>307</v>
      </c>
      <c r="E54" s="243">
        <v>26360</v>
      </c>
      <c r="F54" s="243">
        <v>26360</v>
      </c>
      <c r="G54" s="16">
        <f t="shared" si="1"/>
        <v>0</v>
      </c>
      <c r="H54" s="330"/>
      <c r="I54" s="243">
        <f t="shared" si="6"/>
        <v>26360</v>
      </c>
      <c r="J54" s="16">
        <f t="shared" si="2"/>
        <v>0</v>
      </c>
      <c r="K54" s="330"/>
      <c r="L54" s="243">
        <f t="shared" si="7"/>
        <v>26360</v>
      </c>
      <c r="M54" s="16">
        <f t="shared" si="3"/>
        <v>0</v>
      </c>
      <c r="N54" s="330"/>
      <c r="O54" s="252">
        <f>3926.24+2661.76</f>
        <v>6588</v>
      </c>
      <c r="P54" s="405">
        <f>O54/L54</f>
        <v>0.24992412746585735</v>
      </c>
      <c r="Q54" s="252"/>
    </row>
    <row r="55" spans="1:17" ht="19.2" customHeight="1" x14ac:dyDescent="0.3">
      <c r="A55" s="7" t="s">
        <v>88</v>
      </c>
      <c r="B55" s="273" t="s">
        <v>870</v>
      </c>
      <c r="C55" s="75" t="s">
        <v>480</v>
      </c>
      <c r="D55" s="72" t="s">
        <v>348</v>
      </c>
      <c r="E55" s="243">
        <v>37535</v>
      </c>
      <c r="F55" s="243">
        <v>37535</v>
      </c>
      <c r="G55" s="16">
        <f t="shared" si="1"/>
        <v>0</v>
      </c>
      <c r="H55" s="318"/>
      <c r="I55" s="243">
        <f t="shared" si="6"/>
        <v>37535</v>
      </c>
      <c r="J55" s="16">
        <f t="shared" si="2"/>
        <v>0</v>
      </c>
      <c r="K55" s="318"/>
      <c r="L55" s="243">
        <f t="shared" si="7"/>
        <v>37535</v>
      </c>
      <c r="M55" s="16">
        <f t="shared" si="3"/>
        <v>0</v>
      </c>
      <c r="N55" s="318"/>
      <c r="O55" s="548">
        <v>24057.5</v>
      </c>
      <c r="P55" s="540">
        <f>O55/L55</f>
        <v>0.64093512721459966</v>
      </c>
      <c r="Q55" s="259"/>
    </row>
    <row r="56" spans="1:17" ht="19.2" customHeight="1" x14ac:dyDescent="0.3">
      <c r="B56" s="273" t="s">
        <v>870</v>
      </c>
      <c r="C56" s="75" t="s">
        <v>481</v>
      </c>
      <c r="D56" s="72" t="s">
        <v>399</v>
      </c>
      <c r="E56" s="243">
        <v>11142</v>
      </c>
      <c r="F56" s="243">
        <v>11142</v>
      </c>
      <c r="G56" s="96">
        <f t="shared" si="1"/>
        <v>0</v>
      </c>
      <c r="H56" s="318"/>
      <c r="I56" s="243">
        <f t="shared" si="6"/>
        <v>11142</v>
      </c>
      <c r="J56" s="96">
        <f t="shared" si="2"/>
        <v>0</v>
      </c>
      <c r="K56" s="318"/>
      <c r="L56" s="243">
        <f t="shared" si="7"/>
        <v>11142</v>
      </c>
      <c r="M56" s="96">
        <f t="shared" si="3"/>
        <v>0</v>
      </c>
      <c r="N56" s="318"/>
      <c r="O56" s="549"/>
      <c r="P56" s="541">
        <f t="shared" si="8"/>
        <v>0</v>
      </c>
      <c r="Q56" s="259"/>
    </row>
    <row r="57" spans="1:17" ht="30.6" customHeight="1" x14ac:dyDescent="0.25">
      <c r="B57" s="7" t="s">
        <v>103</v>
      </c>
      <c r="C57" s="75" t="s">
        <v>482</v>
      </c>
      <c r="D57" s="72" t="s">
        <v>104</v>
      </c>
      <c r="E57" s="243">
        <v>580000</v>
      </c>
      <c r="F57" s="243">
        <v>580000</v>
      </c>
      <c r="G57" s="16">
        <f t="shared" si="1"/>
        <v>0</v>
      </c>
      <c r="H57" s="316"/>
      <c r="I57" s="243">
        <f t="shared" si="6"/>
        <v>580000</v>
      </c>
      <c r="J57" s="16">
        <f t="shared" si="2"/>
        <v>0</v>
      </c>
      <c r="K57" s="316"/>
      <c r="L57" s="243">
        <f t="shared" si="7"/>
        <v>580000</v>
      </c>
      <c r="M57" s="16">
        <f t="shared" si="3"/>
        <v>0</v>
      </c>
      <c r="N57" s="316"/>
      <c r="O57" s="252">
        <v>312282.53999999998</v>
      </c>
      <c r="P57" s="405">
        <f>O57/L57</f>
        <v>0.53841817241379308</v>
      </c>
      <c r="Q57" s="252"/>
    </row>
    <row r="58" spans="1:17" ht="31.5" customHeight="1" x14ac:dyDescent="0.25">
      <c r="C58" s="75" t="s">
        <v>483</v>
      </c>
      <c r="D58" s="72" t="s">
        <v>300</v>
      </c>
      <c r="E58" s="243">
        <v>0</v>
      </c>
      <c r="F58" s="243">
        <v>0</v>
      </c>
      <c r="G58" s="16">
        <f t="shared" si="1"/>
        <v>0</v>
      </c>
      <c r="H58" s="338"/>
      <c r="I58" s="243">
        <f t="shared" si="6"/>
        <v>0</v>
      </c>
      <c r="J58" s="16">
        <f t="shared" si="2"/>
        <v>0</v>
      </c>
      <c r="K58" s="338"/>
      <c r="L58" s="243">
        <f t="shared" si="7"/>
        <v>0</v>
      </c>
      <c r="M58" s="16">
        <f t="shared" si="3"/>
        <v>0</v>
      </c>
      <c r="N58" s="338"/>
      <c r="O58" s="498"/>
      <c r="P58" s="405"/>
      <c r="Q58" s="252"/>
    </row>
    <row r="59" spans="1:17" ht="31.5" customHeight="1" x14ac:dyDescent="0.25">
      <c r="C59" s="122"/>
      <c r="D59" s="106" t="s">
        <v>821</v>
      </c>
      <c r="E59" s="243">
        <v>0</v>
      </c>
      <c r="F59" s="289">
        <v>0</v>
      </c>
      <c r="G59" s="16">
        <f t="shared" si="1"/>
        <v>0</v>
      </c>
      <c r="H59" s="339"/>
      <c r="I59" s="289">
        <f t="shared" si="6"/>
        <v>0</v>
      </c>
      <c r="J59" s="16">
        <f t="shared" si="2"/>
        <v>0</v>
      </c>
      <c r="K59" s="339"/>
      <c r="L59" s="289">
        <f t="shared" si="7"/>
        <v>0</v>
      </c>
      <c r="M59" s="16">
        <f t="shared" si="3"/>
        <v>0</v>
      </c>
      <c r="N59" s="339"/>
      <c r="O59" s="498"/>
      <c r="P59" s="442"/>
      <c r="Q59" s="252"/>
    </row>
    <row r="60" spans="1:17" ht="28.2" customHeight="1" x14ac:dyDescent="0.25">
      <c r="B60" s="62" t="s">
        <v>501</v>
      </c>
      <c r="C60" s="75" t="s">
        <v>484</v>
      </c>
      <c r="D60" s="179" t="s">
        <v>319</v>
      </c>
      <c r="E60" s="243">
        <v>406576</v>
      </c>
      <c r="F60" s="281">
        <v>406576</v>
      </c>
      <c r="G60" s="16">
        <f t="shared" si="1"/>
        <v>0</v>
      </c>
      <c r="H60" s="340"/>
      <c r="I60" s="281">
        <f t="shared" si="6"/>
        <v>406576</v>
      </c>
      <c r="J60" s="16">
        <f t="shared" si="2"/>
        <v>0</v>
      </c>
      <c r="K60" s="340"/>
      <c r="L60" s="281">
        <f t="shared" si="7"/>
        <v>406576</v>
      </c>
      <c r="M60" s="16">
        <f t="shared" si="3"/>
        <v>0</v>
      </c>
      <c r="N60" s="340"/>
      <c r="O60" s="252">
        <v>206074.88</v>
      </c>
      <c r="P60" s="435">
        <f>O60/L60</f>
        <v>0.50685451182558738</v>
      </c>
      <c r="Q60" s="252" t="s">
        <v>727</v>
      </c>
    </row>
    <row r="61" spans="1:17" ht="58.95" customHeight="1" x14ac:dyDescent="0.25">
      <c r="C61" s="75"/>
      <c r="D61" s="197" t="s">
        <v>817</v>
      </c>
      <c r="E61" s="243">
        <v>0</v>
      </c>
      <c r="F61" s="278">
        <v>0</v>
      </c>
      <c r="G61" s="96">
        <f t="shared" si="1"/>
        <v>0</v>
      </c>
      <c r="H61" s="321"/>
      <c r="I61" s="278">
        <f t="shared" si="6"/>
        <v>0</v>
      </c>
      <c r="J61" s="96">
        <f t="shared" si="2"/>
        <v>0</v>
      </c>
      <c r="K61" s="321"/>
      <c r="L61" s="278">
        <f t="shared" si="7"/>
        <v>0</v>
      </c>
      <c r="M61" s="96">
        <f t="shared" si="3"/>
        <v>0</v>
      </c>
      <c r="N61" s="321"/>
      <c r="O61" s="252"/>
      <c r="P61" s="436"/>
      <c r="Q61" s="259"/>
    </row>
    <row r="62" spans="1:17" ht="33.75" customHeight="1" x14ac:dyDescent="0.25">
      <c r="B62" s="7" t="s">
        <v>871</v>
      </c>
      <c r="C62" s="75" t="s">
        <v>723</v>
      </c>
      <c r="D62" s="181" t="s">
        <v>526</v>
      </c>
      <c r="E62" s="243">
        <v>70000</v>
      </c>
      <c r="F62" s="278">
        <v>70000</v>
      </c>
      <c r="G62" s="96">
        <f t="shared" si="1"/>
        <v>0</v>
      </c>
      <c r="H62" s="321"/>
      <c r="I62" s="278">
        <f t="shared" si="6"/>
        <v>70000</v>
      </c>
      <c r="J62" s="96">
        <f t="shared" si="2"/>
        <v>0</v>
      </c>
      <c r="K62" s="321"/>
      <c r="L62" s="278">
        <f t="shared" si="7"/>
        <v>70000</v>
      </c>
      <c r="M62" s="96">
        <f t="shared" si="3"/>
        <v>0</v>
      </c>
      <c r="N62" s="321"/>
      <c r="O62" s="252">
        <v>22576.62</v>
      </c>
      <c r="P62" s="436">
        <f>O62/L62</f>
        <v>0.32252314285714284</v>
      </c>
      <c r="Q62" s="259" t="s">
        <v>766</v>
      </c>
    </row>
    <row r="63" spans="1:17" ht="17.399999999999999" customHeight="1" x14ac:dyDescent="0.25">
      <c r="B63" s="7" t="s">
        <v>97</v>
      </c>
      <c r="C63" s="102" t="s">
        <v>724</v>
      </c>
      <c r="D63" s="106" t="s">
        <v>680</v>
      </c>
      <c r="E63" s="243">
        <v>0</v>
      </c>
      <c r="F63" s="278">
        <v>0</v>
      </c>
      <c r="G63" s="96">
        <f t="shared" si="1"/>
        <v>0</v>
      </c>
      <c r="H63" s="321"/>
      <c r="I63" s="278">
        <f t="shared" si="6"/>
        <v>0</v>
      </c>
      <c r="J63" s="96">
        <f t="shared" si="2"/>
        <v>0</v>
      </c>
      <c r="K63" s="321"/>
      <c r="L63" s="278">
        <f t="shared" si="7"/>
        <v>0</v>
      </c>
      <c r="M63" s="96">
        <f t="shared" si="3"/>
        <v>0</v>
      </c>
      <c r="N63" s="321"/>
      <c r="O63" s="252"/>
      <c r="P63" s="436"/>
      <c r="Q63" s="259"/>
    </row>
    <row r="64" spans="1:17" ht="14.4" x14ac:dyDescent="0.3">
      <c r="A64" s="7" t="s">
        <v>88</v>
      </c>
      <c r="B64" s="53" t="s">
        <v>309</v>
      </c>
      <c r="C64" s="75" t="s">
        <v>725</v>
      </c>
      <c r="D64" s="189" t="s">
        <v>691</v>
      </c>
      <c r="E64" s="243">
        <v>12607</v>
      </c>
      <c r="F64" s="243">
        <v>12607</v>
      </c>
      <c r="G64" s="16">
        <f t="shared" si="1"/>
        <v>0</v>
      </c>
      <c r="H64" s="341"/>
      <c r="I64" s="243">
        <f t="shared" si="6"/>
        <v>12607</v>
      </c>
      <c r="J64" s="16">
        <f t="shared" si="2"/>
        <v>0</v>
      </c>
      <c r="K64" s="341"/>
      <c r="L64" s="243">
        <f t="shared" si="7"/>
        <v>12607</v>
      </c>
      <c r="M64" s="16">
        <f t="shared" si="3"/>
        <v>0</v>
      </c>
      <c r="N64" s="341"/>
      <c r="O64" s="252"/>
      <c r="P64" s="405">
        <f>O64/L64</f>
        <v>0</v>
      </c>
      <c r="Q64" s="252"/>
    </row>
    <row r="65" spans="1:18" ht="188.25" customHeight="1" x14ac:dyDescent="0.25">
      <c r="A65" s="62" t="s">
        <v>252</v>
      </c>
      <c r="B65" s="7" t="s">
        <v>1407</v>
      </c>
      <c r="C65" s="75" t="s">
        <v>824</v>
      </c>
      <c r="D65" s="72" t="s">
        <v>105</v>
      </c>
      <c r="E65" s="243">
        <v>118632</v>
      </c>
      <c r="F65" s="243">
        <v>126132</v>
      </c>
      <c r="G65" s="16">
        <f t="shared" si="1"/>
        <v>7500</v>
      </c>
      <c r="H65" s="341" t="s">
        <v>1432</v>
      </c>
      <c r="I65" s="243">
        <f>ROUND(F65,0)+15586+4455</f>
        <v>146173</v>
      </c>
      <c r="J65" s="16">
        <f t="shared" si="2"/>
        <v>20041</v>
      </c>
      <c r="K65" s="341" t="s">
        <v>1467</v>
      </c>
      <c r="L65" s="243">
        <f>ROUND(I65,0)+35581+8781+38003+5643+16359</f>
        <v>250540</v>
      </c>
      <c r="M65" s="16">
        <f t="shared" si="3"/>
        <v>104367</v>
      </c>
      <c r="N65" s="341" t="s">
        <v>1487</v>
      </c>
      <c r="O65" s="252">
        <f>115499.27+4167</f>
        <v>119666.27</v>
      </c>
      <c r="P65" s="405">
        <f>O65/L65</f>
        <v>0.47763339187355314</v>
      </c>
      <c r="Q65" s="403" t="s">
        <v>1490</v>
      </c>
    </row>
    <row r="66" spans="1:18" ht="33" customHeight="1" x14ac:dyDescent="0.25">
      <c r="C66" s="78" t="s">
        <v>93</v>
      </c>
      <c r="D66" s="175" t="s">
        <v>292</v>
      </c>
      <c r="E66" s="42">
        <v>7860297</v>
      </c>
      <c r="F66" s="42">
        <v>7890725</v>
      </c>
      <c r="G66" s="22">
        <f t="shared" si="1"/>
        <v>30428</v>
      </c>
      <c r="H66" s="342"/>
      <c r="I66" s="42">
        <f>SUM(I67:I84)</f>
        <v>7890725</v>
      </c>
      <c r="J66" s="22">
        <f t="shared" si="2"/>
        <v>0</v>
      </c>
      <c r="K66" s="342"/>
      <c r="L66" s="42">
        <f>SUM(L67:L84)</f>
        <v>7928777</v>
      </c>
      <c r="M66" s="22">
        <f t="shared" si="3"/>
        <v>38052</v>
      </c>
      <c r="N66" s="342"/>
      <c r="O66" s="257">
        <f>SUM(O67:O84)</f>
        <v>422145.55</v>
      </c>
      <c r="P66" s="418">
        <f>O66/L66</f>
        <v>5.3242202422895735E-2</v>
      </c>
      <c r="Q66" s="257" t="s">
        <v>1442</v>
      </c>
      <c r="R66" s="425"/>
    </row>
    <row r="67" spans="1:18" x14ac:dyDescent="0.25">
      <c r="A67" s="7" t="s">
        <v>498</v>
      </c>
      <c r="B67" s="7" t="s">
        <v>106</v>
      </c>
      <c r="C67" s="75" t="s">
        <v>485</v>
      </c>
      <c r="D67" s="189" t="s">
        <v>690</v>
      </c>
      <c r="E67" s="243">
        <v>0</v>
      </c>
      <c r="F67" s="243">
        <v>0</v>
      </c>
      <c r="G67" s="16">
        <f t="shared" si="1"/>
        <v>0</v>
      </c>
      <c r="H67" s="331"/>
      <c r="I67" s="243">
        <f t="shared" ref="I67:I83" si="9">ROUND(F67,0)</f>
        <v>0</v>
      </c>
      <c r="J67" s="16">
        <f t="shared" si="2"/>
        <v>0</v>
      </c>
      <c r="K67" s="331"/>
      <c r="L67" s="243">
        <f t="shared" ref="L67:L83" si="10">ROUND(I67,0)</f>
        <v>0</v>
      </c>
      <c r="M67" s="16">
        <f t="shared" si="3"/>
        <v>0</v>
      </c>
      <c r="N67" s="331"/>
      <c r="O67" s="252">
        <v>0</v>
      </c>
      <c r="P67" s="405"/>
      <c r="Q67" s="252"/>
    </row>
    <row r="68" spans="1:18" ht="28.5" customHeight="1" x14ac:dyDescent="0.25">
      <c r="B68" s="62" t="s">
        <v>684</v>
      </c>
      <c r="C68" s="75" t="s">
        <v>486</v>
      </c>
      <c r="D68" s="485" t="s">
        <v>682</v>
      </c>
      <c r="E68" s="243">
        <v>0</v>
      </c>
      <c r="F68" s="243">
        <v>0</v>
      </c>
      <c r="G68" s="16">
        <f t="shared" si="1"/>
        <v>0</v>
      </c>
      <c r="H68" s="316"/>
      <c r="I68" s="243">
        <f t="shared" si="9"/>
        <v>0</v>
      </c>
      <c r="J68" s="16">
        <f t="shared" si="2"/>
        <v>0</v>
      </c>
      <c r="K68" s="316"/>
      <c r="L68" s="243">
        <f t="shared" si="10"/>
        <v>0</v>
      </c>
      <c r="M68" s="16">
        <f t="shared" si="3"/>
        <v>0</v>
      </c>
      <c r="N68" s="316"/>
      <c r="O68" s="252">
        <v>0</v>
      </c>
      <c r="P68" s="405"/>
      <c r="Q68" s="252"/>
    </row>
    <row r="69" spans="1:18" ht="30" customHeight="1" x14ac:dyDescent="0.25">
      <c r="B69" s="7" t="s">
        <v>1390</v>
      </c>
      <c r="C69" s="75" t="s">
        <v>487</v>
      </c>
      <c r="D69" s="487" t="s">
        <v>1391</v>
      </c>
      <c r="E69" s="243">
        <v>638646</v>
      </c>
      <c r="F69" s="243">
        <v>638646</v>
      </c>
      <c r="G69" s="16">
        <f t="shared" si="1"/>
        <v>0</v>
      </c>
      <c r="H69" s="343"/>
      <c r="I69" s="243">
        <f t="shared" si="9"/>
        <v>638646</v>
      </c>
      <c r="J69" s="16">
        <f t="shared" si="2"/>
        <v>0</v>
      </c>
      <c r="K69" s="343"/>
      <c r="L69" s="243">
        <f t="shared" si="10"/>
        <v>638646</v>
      </c>
      <c r="M69" s="16">
        <f t="shared" si="3"/>
        <v>0</v>
      </c>
      <c r="N69" s="343"/>
      <c r="O69" s="252">
        <v>0</v>
      </c>
      <c r="P69" s="405">
        <f>O69/L69</f>
        <v>0</v>
      </c>
      <c r="Q69" s="252"/>
    </row>
    <row r="70" spans="1:18" ht="27.6" x14ac:dyDescent="0.25">
      <c r="B70" s="7" t="s">
        <v>1301</v>
      </c>
      <c r="C70" s="75" t="s">
        <v>485</v>
      </c>
      <c r="D70" s="491" t="s">
        <v>815</v>
      </c>
      <c r="E70" s="243">
        <v>103070</v>
      </c>
      <c r="F70" s="243">
        <v>103070</v>
      </c>
      <c r="G70" s="16">
        <f t="shared" si="1"/>
        <v>0</v>
      </c>
      <c r="H70" s="344"/>
      <c r="I70" s="243">
        <f t="shared" si="9"/>
        <v>103070</v>
      </c>
      <c r="J70" s="16">
        <f t="shared" si="2"/>
        <v>0</v>
      </c>
      <c r="K70" s="344"/>
      <c r="L70" s="243">
        <f t="shared" si="10"/>
        <v>103070</v>
      </c>
      <c r="M70" s="16">
        <f t="shared" si="3"/>
        <v>0</v>
      </c>
      <c r="N70" s="344"/>
      <c r="O70" s="252">
        <v>44889.26</v>
      </c>
      <c r="P70" s="442">
        <f>O70/L70</f>
        <v>0.43552207237799556</v>
      </c>
      <c r="Q70" s="252"/>
    </row>
    <row r="71" spans="1:18" hidden="1" outlineLevel="1" x14ac:dyDescent="0.25">
      <c r="B71" s="21"/>
      <c r="C71" s="75" t="s">
        <v>488</v>
      </c>
      <c r="D71" s="191" t="s">
        <v>679</v>
      </c>
      <c r="E71" s="243">
        <v>0</v>
      </c>
      <c r="F71" s="243">
        <v>0</v>
      </c>
      <c r="G71" s="16">
        <f t="shared" ref="G71:G119" si="11">F71-E71</f>
        <v>0</v>
      </c>
      <c r="H71" s="344"/>
      <c r="I71" s="243">
        <f t="shared" si="9"/>
        <v>0</v>
      </c>
      <c r="J71" s="16">
        <f t="shared" ref="J71:J119" si="12">I71-F71</f>
        <v>0</v>
      </c>
      <c r="K71" s="344"/>
      <c r="L71" s="243">
        <f t="shared" si="10"/>
        <v>0</v>
      </c>
      <c r="M71" s="16">
        <f t="shared" ref="M71:M119" si="13">L71-I71</f>
        <v>0</v>
      </c>
      <c r="N71" s="344"/>
      <c r="O71" s="498"/>
      <c r="P71" s="442"/>
      <c r="Q71" s="252"/>
    </row>
    <row r="72" spans="1:18" ht="55.2" hidden="1" outlineLevel="1" x14ac:dyDescent="0.25">
      <c r="B72" s="7" t="s">
        <v>252</v>
      </c>
      <c r="C72" s="75" t="s">
        <v>489</v>
      </c>
      <c r="D72" s="191" t="s">
        <v>819</v>
      </c>
      <c r="E72" s="243">
        <v>0</v>
      </c>
      <c r="F72" s="243">
        <v>0</v>
      </c>
      <c r="G72" s="16">
        <f t="shared" si="11"/>
        <v>0</v>
      </c>
      <c r="H72" s="344"/>
      <c r="I72" s="243">
        <f t="shared" si="9"/>
        <v>0</v>
      </c>
      <c r="J72" s="16">
        <f t="shared" si="12"/>
        <v>0</v>
      </c>
      <c r="K72" s="344"/>
      <c r="L72" s="243">
        <f t="shared" si="10"/>
        <v>0</v>
      </c>
      <c r="M72" s="16">
        <f t="shared" si="13"/>
        <v>0</v>
      </c>
      <c r="N72" s="344"/>
      <c r="O72" s="498"/>
      <c r="P72" s="442"/>
      <c r="Q72" s="252"/>
    </row>
    <row r="73" spans="1:18" ht="41.4" hidden="1" outlineLevel="1" x14ac:dyDescent="0.25">
      <c r="B73" s="21"/>
      <c r="C73" s="75" t="s">
        <v>860</v>
      </c>
      <c r="D73" s="191" t="s">
        <v>818</v>
      </c>
      <c r="E73" s="243">
        <v>0</v>
      </c>
      <c r="F73" s="243">
        <v>0</v>
      </c>
      <c r="G73" s="16">
        <f t="shared" si="11"/>
        <v>0</v>
      </c>
      <c r="H73" s="344"/>
      <c r="I73" s="243">
        <f t="shared" si="9"/>
        <v>0</v>
      </c>
      <c r="J73" s="16">
        <f t="shared" si="12"/>
        <v>0</v>
      </c>
      <c r="K73" s="344"/>
      <c r="L73" s="243">
        <f t="shared" si="10"/>
        <v>0</v>
      </c>
      <c r="M73" s="16">
        <f t="shared" si="13"/>
        <v>0</v>
      </c>
      <c r="N73" s="344"/>
      <c r="O73" s="498"/>
      <c r="P73" s="442"/>
      <c r="Q73" s="252"/>
    </row>
    <row r="74" spans="1:18" collapsed="1" x14ac:dyDescent="0.25">
      <c r="A74" s="62" t="s">
        <v>808</v>
      </c>
      <c r="B74" s="21"/>
      <c r="C74" s="75" t="s">
        <v>490</v>
      </c>
      <c r="D74" s="491" t="s">
        <v>809</v>
      </c>
      <c r="E74" s="243">
        <v>267455</v>
      </c>
      <c r="F74" s="243">
        <v>267455</v>
      </c>
      <c r="G74" s="16">
        <f t="shared" si="11"/>
        <v>0</v>
      </c>
      <c r="H74" s="344"/>
      <c r="I74" s="243">
        <f t="shared" si="9"/>
        <v>267455</v>
      </c>
      <c r="J74" s="16">
        <f t="shared" si="12"/>
        <v>0</v>
      </c>
      <c r="K74" s="344"/>
      <c r="L74" s="243">
        <f t="shared" si="10"/>
        <v>267455</v>
      </c>
      <c r="M74" s="16">
        <f t="shared" si="13"/>
        <v>0</v>
      </c>
      <c r="N74" s="344"/>
      <c r="O74" s="252">
        <v>0</v>
      </c>
      <c r="P74" s="442">
        <f>O74/L74</f>
        <v>0</v>
      </c>
      <c r="Q74" s="252"/>
    </row>
    <row r="75" spans="1:18" ht="58.2" hidden="1" customHeight="1" outlineLevel="1" x14ac:dyDescent="0.25">
      <c r="A75" s="62" t="s">
        <v>252</v>
      </c>
      <c r="B75" s="21"/>
      <c r="C75" s="75" t="s">
        <v>692</v>
      </c>
      <c r="D75" s="191" t="s">
        <v>864</v>
      </c>
      <c r="E75" s="243">
        <v>0</v>
      </c>
      <c r="F75" s="243">
        <v>0</v>
      </c>
      <c r="G75" s="16">
        <f t="shared" si="11"/>
        <v>0</v>
      </c>
      <c r="H75" s="344"/>
      <c r="I75" s="243">
        <f t="shared" si="9"/>
        <v>0</v>
      </c>
      <c r="J75" s="16">
        <f t="shared" si="12"/>
        <v>0</v>
      </c>
      <c r="K75" s="344"/>
      <c r="L75" s="243">
        <f t="shared" si="10"/>
        <v>0</v>
      </c>
      <c r="M75" s="16">
        <f t="shared" si="13"/>
        <v>0</v>
      </c>
      <c r="N75" s="344"/>
      <c r="O75" s="498">
        <v>0</v>
      </c>
      <c r="P75" s="442"/>
      <c r="Q75" s="252"/>
    </row>
    <row r="76" spans="1:18" ht="41.4" hidden="1" outlineLevel="1" x14ac:dyDescent="0.25">
      <c r="B76" s="7" t="s">
        <v>303</v>
      </c>
      <c r="C76" s="75" t="s">
        <v>491</v>
      </c>
      <c r="D76" s="189" t="s">
        <v>277</v>
      </c>
      <c r="E76" s="243">
        <v>0</v>
      </c>
      <c r="F76" s="243">
        <v>0</v>
      </c>
      <c r="G76" s="16">
        <f t="shared" si="11"/>
        <v>0</v>
      </c>
      <c r="H76" s="345"/>
      <c r="I76" s="243">
        <f t="shared" si="9"/>
        <v>0</v>
      </c>
      <c r="J76" s="16">
        <f t="shared" si="12"/>
        <v>0</v>
      </c>
      <c r="K76" s="345"/>
      <c r="L76" s="243">
        <f t="shared" si="10"/>
        <v>0</v>
      </c>
      <c r="M76" s="16">
        <f t="shared" si="13"/>
        <v>0</v>
      </c>
      <c r="N76" s="345"/>
      <c r="O76" s="498">
        <v>0</v>
      </c>
      <c r="P76" s="405"/>
      <c r="Q76" s="252"/>
    </row>
    <row r="77" spans="1:18" ht="42" collapsed="1" x14ac:dyDescent="0.3">
      <c r="B77" s="59" t="s">
        <v>1286</v>
      </c>
      <c r="C77" s="75" t="s">
        <v>492</v>
      </c>
      <c r="D77" s="189" t="s">
        <v>1287</v>
      </c>
      <c r="E77" s="243">
        <v>217332</v>
      </c>
      <c r="F77" s="243">
        <v>217332</v>
      </c>
      <c r="G77" s="16">
        <f t="shared" si="11"/>
        <v>0</v>
      </c>
      <c r="H77" s="346"/>
      <c r="I77" s="243">
        <f t="shared" si="9"/>
        <v>217332</v>
      </c>
      <c r="J77" s="16">
        <f t="shared" si="12"/>
        <v>0</v>
      </c>
      <c r="K77" s="346"/>
      <c r="L77" s="243">
        <f t="shared" si="10"/>
        <v>217332</v>
      </c>
      <c r="M77" s="16">
        <f t="shared" si="13"/>
        <v>0</v>
      </c>
      <c r="N77" s="346"/>
      <c r="O77" s="252">
        <v>0</v>
      </c>
      <c r="P77" s="405">
        <f>O77/L77</f>
        <v>0</v>
      </c>
      <c r="Q77" s="252"/>
    </row>
    <row r="78" spans="1:18" ht="14.4" x14ac:dyDescent="0.3">
      <c r="B78" s="59" t="s">
        <v>1285</v>
      </c>
      <c r="C78" s="75" t="s">
        <v>693</v>
      </c>
      <c r="D78" s="189" t="s">
        <v>810</v>
      </c>
      <c r="E78" s="243">
        <v>308659</v>
      </c>
      <c r="F78" s="243">
        <v>308659</v>
      </c>
      <c r="G78" s="16">
        <f t="shared" si="11"/>
        <v>0</v>
      </c>
      <c r="H78" s="347"/>
      <c r="I78" s="243">
        <f t="shared" si="9"/>
        <v>308659</v>
      </c>
      <c r="J78" s="16">
        <f t="shared" si="12"/>
        <v>0</v>
      </c>
      <c r="K78" s="347"/>
      <c r="L78" s="243">
        <f t="shared" si="10"/>
        <v>308659</v>
      </c>
      <c r="M78" s="16">
        <f t="shared" si="13"/>
        <v>0</v>
      </c>
      <c r="N78" s="347"/>
      <c r="O78" s="252">
        <v>0</v>
      </c>
      <c r="P78" s="405">
        <f>O78/L78</f>
        <v>0</v>
      </c>
      <c r="Q78" s="252"/>
    </row>
    <row r="79" spans="1:18" ht="14.4" outlineLevel="1" x14ac:dyDescent="0.3">
      <c r="B79" s="59"/>
      <c r="C79" s="75" t="s">
        <v>511</v>
      </c>
      <c r="D79" s="189" t="s">
        <v>1409</v>
      </c>
      <c r="E79" s="243">
        <v>0</v>
      </c>
      <c r="F79" s="243">
        <v>0</v>
      </c>
      <c r="G79" s="48">
        <f t="shared" si="11"/>
        <v>0</v>
      </c>
      <c r="H79" s="348"/>
      <c r="I79" s="243">
        <f t="shared" si="9"/>
        <v>0</v>
      </c>
      <c r="J79" s="48">
        <f t="shared" si="12"/>
        <v>0</v>
      </c>
      <c r="K79" s="348"/>
      <c r="L79" s="243">
        <f>ROUND(I79,0)+38052</f>
        <v>38052</v>
      </c>
      <c r="M79" s="48">
        <f t="shared" si="13"/>
        <v>38052</v>
      </c>
      <c r="N79" s="348" t="s">
        <v>1485</v>
      </c>
      <c r="O79" s="252">
        <v>38051.64</v>
      </c>
      <c r="P79" s="405"/>
      <c r="Q79" s="252"/>
    </row>
    <row r="80" spans="1:18" ht="28.2" x14ac:dyDescent="0.3">
      <c r="B80" s="59" t="s">
        <v>868</v>
      </c>
      <c r="C80" s="75" t="s">
        <v>512</v>
      </c>
      <c r="D80" s="485" t="s">
        <v>866</v>
      </c>
      <c r="E80" s="243">
        <v>2500000</v>
      </c>
      <c r="F80" s="282">
        <v>2500000</v>
      </c>
      <c r="G80" s="57">
        <f t="shared" si="11"/>
        <v>0</v>
      </c>
      <c r="H80" s="348"/>
      <c r="I80" s="282">
        <f t="shared" si="9"/>
        <v>2500000</v>
      </c>
      <c r="J80" s="57">
        <f t="shared" si="12"/>
        <v>0</v>
      </c>
      <c r="K80" s="348"/>
      <c r="L80" s="282">
        <f t="shared" si="10"/>
        <v>2500000</v>
      </c>
      <c r="M80" s="57">
        <f t="shared" si="13"/>
        <v>0</v>
      </c>
      <c r="N80" s="348"/>
      <c r="O80" s="498"/>
      <c r="P80" s="407">
        <f t="shared" ref="P80:P87" si="14">O80/L80</f>
        <v>0</v>
      </c>
      <c r="Q80" s="252"/>
    </row>
    <row r="81" spans="1:17" ht="30.75" customHeight="1" x14ac:dyDescent="0.3">
      <c r="B81" s="397" t="s">
        <v>386</v>
      </c>
      <c r="C81" s="75" t="s">
        <v>533</v>
      </c>
      <c r="D81" s="189" t="s">
        <v>1424</v>
      </c>
      <c r="E81" s="243">
        <v>0</v>
      </c>
      <c r="F81" s="282">
        <v>30428</v>
      </c>
      <c r="G81" s="57">
        <f t="shared" si="11"/>
        <v>30428</v>
      </c>
      <c r="H81" s="396" t="s">
        <v>1425</v>
      </c>
      <c r="I81" s="282">
        <f t="shared" si="9"/>
        <v>30428</v>
      </c>
      <c r="J81" s="57">
        <f t="shared" si="12"/>
        <v>0</v>
      </c>
      <c r="K81" s="396"/>
      <c r="L81" s="282">
        <f t="shared" si="10"/>
        <v>30428</v>
      </c>
      <c r="M81" s="57">
        <f t="shared" si="13"/>
        <v>0</v>
      </c>
      <c r="N81" s="396"/>
      <c r="O81" s="252">
        <v>10142.27</v>
      </c>
      <c r="P81" s="407">
        <f t="shared" si="14"/>
        <v>0.33332029709478112</v>
      </c>
      <c r="Q81" s="403"/>
    </row>
    <row r="82" spans="1:17" ht="48.6" customHeight="1" x14ac:dyDescent="0.3">
      <c r="B82" s="59" t="s">
        <v>677</v>
      </c>
      <c r="C82" s="75" t="s">
        <v>694</v>
      </c>
      <c r="D82" s="485" t="s">
        <v>678</v>
      </c>
      <c r="E82" s="243">
        <v>830550</v>
      </c>
      <c r="F82" s="282">
        <v>830550</v>
      </c>
      <c r="G82" s="57">
        <f t="shared" si="11"/>
        <v>0</v>
      </c>
      <c r="H82" s="349"/>
      <c r="I82" s="282">
        <f t="shared" si="9"/>
        <v>830550</v>
      </c>
      <c r="J82" s="57">
        <f t="shared" si="12"/>
        <v>0</v>
      </c>
      <c r="K82" s="490"/>
      <c r="L82" s="282">
        <f t="shared" si="10"/>
        <v>830550</v>
      </c>
      <c r="M82" s="57">
        <f t="shared" si="13"/>
        <v>0</v>
      </c>
      <c r="N82" s="490"/>
      <c r="O82" s="252">
        <v>329062.38</v>
      </c>
      <c r="P82" s="420">
        <f t="shared" si="14"/>
        <v>0.39619815784720969</v>
      </c>
      <c r="Q82" s="403"/>
    </row>
    <row r="83" spans="1:17" ht="28.2" x14ac:dyDescent="0.3">
      <c r="B83" s="264" t="s">
        <v>458</v>
      </c>
      <c r="C83" s="75" t="s">
        <v>695</v>
      </c>
      <c r="D83" s="485" t="s">
        <v>408</v>
      </c>
      <c r="E83" s="243">
        <v>2661252</v>
      </c>
      <c r="F83" s="282">
        <v>2661252</v>
      </c>
      <c r="G83" s="57">
        <f t="shared" si="11"/>
        <v>0</v>
      </c>
      <c r="H83" s="349"/>
      <c r="I83" s="282">
        <f t="shared" si="9"/>
        <v>2661252</v>
      </c>
      <c r="J83" s="57">
        <f t="shared" si="12"/>
        <v>0</v>
      </c>
      <c r="K83" s="349"/>
      <c r="L83" s="282">
        <f t="shared" si="10"/>
        <v>2661252</v>
      </c>
      <c r="M83" s="57">
        <f t="shared" si="13"/>
        <v>0</v>
      </c>
      <c r="N83" s="349"/>
      <c r="O83" s="252">
        <v>0</v>
      </c>
      <c r="P83" s="420">
        <f t="shared" si="14"/>
        <v>0</v>
      </c>
      <c r="Q83" s="403"/>
    </row>
    <row r="84" spans="1:17" ht="27.6" x14ac:dyDescent="0.25">
      <c r="B84" s="62" t="s">
        <v>252</v>
      </c>
      <c r="C84" s="75" t="s">
        <v>714</v>
      </c>
      <c r="D84" s="189" t="s">
        <v>1397</v>
      </c>
      <c r="E84" s="243">
        <v>333333</v>
      </c>
      <c r="F84" s="282">
        <v>333333</v>
      </c>
      <c r="G84" s="57">
        <f t="shared" si="11"/>
        <v>0</v>
      </c>
      <c r="H84" s="350"/>
      <c r="I84" s="282">
        <f>ROUND(F84,0)</f>
        <v>333333</v>
      </c>
      <c r="J84" s="57">
        <f t="shared" si="12"/>
        <v>0</v>
      </c>
      <c r="K84" s="350"/>
      <c r="L84" s="282">
        <f>ROUND(I84,0)</f>
        <v>333333</v>
      </c>
      <c r="M84" s="57">
        <f t="shared" si="13"/>
        <v>0</v>
      </c>
      <c r="N84" s="350"/>
      <c r="O84" s="252">
        <v>0</v>
      </c>
      <c r="P84" s="420">
        <f t="shared" si="14"/>
        <v>0</v>
      </c>
      <c r="Q84" s="403"/>
    </row>
    <row r="85" spans="1:17" ht="27.6" x14ac:dyDescent="0.25">
      <c r="B85" s="15" t="s">
        <v>493</v>
      </c>
      <c r="C85" s="78" t="s">
        <v>495</v>
      </c>
      <c r="D85" s="175" t="s">
        <v>494</v>
      </c>
      <c r="E85" s="42">
        <v>0</v>
      </c>
      <c r="F85" s="42">
        <v>0</v>
      </c>
      <c r="G85" s="22">
        <f t="shared" si="11"/>
        <v>0</v>
      </c>
      <c r="H85" s="342"/>
      <c r="I85" s="42">
        <f>ROUND(F85,0)+952269</f>
        <v>952269</v>
      </c>
      <c r="J85" s="22">
        <f t="shared" si="12"/>
        <v>952269</v>
      </c>
      <c r="K85" s="342" t="s">
        <v>1455</v>
      </c>
      <c r="L85" s="42">
        <f>ROUND(I85,0)</f>
        <v>952269</v>
      </c>
      <c r="M85" s="22">
        <f t="shared" si="13"/>
        <v>0</v>
      </c>
      <c r="N85" s="342"/>
      <c r="O85" s="257">
        <v>476136</v>
      </c>
      <c r="P85" s="418">
        <f t="shared" si="14"/>
        <v>0.50000157518516297</v>
      </c>
      <c r="Q85" s="257"/>
    </row>
    <row r="86" spans="1:17" x14ac:dyDescent="0.25">
      <c r="C86" s="77" t="s">
        <v>107</v>
      </c>
      <c r="D86" s="74" t="s">
        <v>108</v>
      </c>
      <c r="E86" s="277">
        <v>350000</v>
      </c>
      <c r="F86" s="277">
        <v>350000</v>
      </c>
      <c r="G86" s="17">
        <f t="shared" si="11"/>
        <v>0</v>
      </c>
      <c r="H86" s="329"/>
      <c r="I86" s="277">
        <f>I87+I88</f>
        <v>350000</v>
      </c>
      <c r="J86" s="17">
        <f t="shared" si="12"/>
        <v>0</v>
      </c>
      <c r="K86" s="329"/>
      <c r="L86" s="277">
        <f>L87+L88</f>
        <v>350000</v>
      </c>
      <c r="M86" s="17">
        <f t="shared" si="13"/>
        <v>0</v>
      </c>
      <c r="N86" s="329"/>
      <c r="O86" s="258">
        <f>O87+O88</f>
        <v>118603.2</v>
      </c>
      <c r="P86" s="432">
        <f t="shared" si="14"/>
        <v>0.33886628571428573</v>
      </c>
      <c r="Q86" s="258"/>
    </row>
    <row r="87" spans="1:17" ht="32.25" customHeight="1" x14ac:dyDescent="0.25">
      <c r="B87" s="7" t="s">
        <v>109</v>
      </c>
      <c r="C87" s="71" t="s">
        <v>110</v>
      </c>
      <c r="D87" s="72" t="s">
        <v>111</v>
      </c>
      <c r="E87" s="243">
        <v>350000</v>
      </c>
      <c r="F87" s="243">
        <v>350000</v>
      </c>
      <c r="G87" s="16">
        <f t="shared" si="11"/>
        <v>0</v>
      </c>
      <c r="H87" s="316"/>
      <c r="I87" s="243">
        <f>ROUND(F87,0)</f>
        <v>350000</v>
      </c>
      <c r="J87" s="16">
        <f t="shared" si="12"/>
        <v>0</v>
      </c>
      <c r="K87" s="316"/>
      <c r="L87" s="243">
        <f>ROUND(I87,0)</f>
        <v>350000</v>
      </c>
      <c r="M87" s="16">
        <f t="shared" si="13"/>
        <v>0</v>
      </c>
      <c r="N87" s="316"/>
      <c r="O87" s="252">
        <v>118603.2</v>
      </c>
      <c r="P87" s="405">
        <f t="shared" si="14"/>
        <v>0.33886628571428573</v>
      </c>
      <c r="Q87" s="252" t="s">
        <v>1491</v>
      </c>
    </row>
    <row r="88" spans="1:17" ht="16.2" customHeight="1" x14ac:dyDescent="0.25">
      <c r="B88" s="7" t="s">
        <v>290</v>
      </c>
      <c r="C88" s="71" t="s">
        <v>112</v>
      </c>
      <c r="D88" s="72" t="s">
        <v>291</v>
      </c>
      <c r="E88" s="243">
        <v>0</v>
      </c>
      <c r="F88" s="243">
        <v>0</v>
      </c>
      <c r="G88" s="16">
        <f t="shared" si="11"/>
        <v>0</v>
      </c>
      <c r="H88" s="318"/>
      <c r="I88" s="243">
        <f>ROUND(F88,0)</f>
        <v>0</v>
      </c>
      <c r="J88" s="16">
        <f t="shared" si="12"/>
        <v>0</v>
      </c>
      <c r="K88" s="318"/>
      <c r="L88" s="243">
        <f>ROUND(I88,0)</f>
        <v>0</v>
      </c>
      <c r="M88" s="16">
        <f t="shared" si="13"/>
        <v>0</v>
      </c>
      <c r="N88" s="318"/>
      <c r="O88" s="252">
        <v>0</v>
      </c>
      <c r="P88" s="405"/>
      <c r="Q88" s="252"/>
    </row>
    <row r="89" spans="1:17" ht="35.4" customHeight="1" x14ac:dyDescent="0.25">
      <c r="C89" s="77" t="s">
        <v>113</v>
      </c>
      <c r="D89" s="74" t="s">
        <v>114</v>
      </c>
      <c r="E89" s="277">
        <v>800455</v>
      </c>
      <c r="F89" s="277">
        <v>801955</v>
      </c>
      <c r="G89" s="17">
        <f t="shared" si="11"/>
        <v>1500</v>
      </c>
      <c r="H89" s="406"/>
      <c r="I89" s="277">
        <f>I90+I93+I96+I100+I103</f>
        <v>801955</v>
      </c>
      <c r="J89" s="17">
        <f t="shared" si="12"/>
        <v>0</v>
      </c>
      <c r="K89" s="406"/>
      <c r="L89" s="277">
        <f>L90+L93+L96+L100+L103</f>
        <v>811955</v>
      </c>
      <c r="M89" s="17">
        <f t="shared" si="13"/>
        <v>10000</v>
      </c>
      <c r="N89" s="406"/>
      <c r="O89" s="258">
        <f>O90+O93+O96+O100+O103</f>
        <v>564016.32999999996</v>
      </c>
      <c r="P89" s="432">
        <f t="shared" ref="P89:P94" si="15">O89/L89</f>
        <v>0.69463988767850426</v>
      </c>
      <c r="Q89" s="463"/>
    </row>
    <row r="90" spans="1:17" x14ac:dyDescent="0.25">
      <c r="A90" s="7" t="s">
        <v>10</v>
      </c>
      <c r="B90" s="7" t="s">
        <v>115</v>
      </c>
      <c r="C90" s="71" t="s">
        <v>116</v>
      </c>
      <c r="D90" s="72" t="s">
        <v>705</v>
      </c>
      <c r="E90" s="243">
        <v>219800</v>
      </c>
      <c r="F90" s="243">
        <v>219800</v>
      </c>
      <c r="G90" s="16">
        <f t="shared" si="11"/>
        <v>0</v>
      </c>
      <c r="H90" s="318"/>
      <c r="I90" s="243">
        <f>SUM(I91:I92)</f>
        <v>219800</v>
      </c>
      <c r="J90" s="16">
        <f t="shared" si="12"/>
        <v>0</v>
      </c>
      <c r="K90" s="318"/>
      <c r="L90" s="243">
        <f>SUM(L91:L92)</f>
        <v>219800</v>
      </c>
      <c r="M90" s="16">
        <f t="shared" si="13"/>
        <v>0</v>
      </c>
      <c r="N90" s="318"/>
      <c r="O90" s="252">
        <v>145559.07999999999</v>
      </c>
      <c r="P90" s="405">
        <f t="shared" si="15"/>
        <v>0.66223421292083706</v>
      </c>
      <c r="Q90" s="252"/>
    </row>
    <row r="91" spans="1:17" ht="14.25" customHeight="1" x14ac:dyDescent="0.25">
      <c r="B91" s="7" t="s">
        <v>118</v>
      </c>
      <c r="C91" s="79" t="s">
        <v>117</v>
      </c>
      <c r="D91" s="80" t="s">
        <v>700</v>
      </c>
      <c r="E91" s="243">
        <v>61000</v>
      </c>
      <c r="F91" s="243">
        <v>61000</v>
      </c>
      <c r="G91" s="16">
        <f t="shared" si="11"/>
        <v>0</v>
      </c>
      <c r="H91" s="330"/>
      <c r="I91" s="243">
        <f>ROUND(F91,0)</f>
        <v>61000</v>
      </c>
      <c r="J91" s="16">
        <f t="shared" si="12"/>
        <v>0</v>
      </c>
      <c r="K91" s="330"/>
      <c r="L91" s="243">
        <f>ROUND(I91,0)</f>
        <v>61000</v>
      </c>
      <c r="M91" s="16">
        <f t="shared" si="13"/>
        <v>0</v>
      </c>
      <c r="N91" s="330"/>
      <c r="O91" s="252">
        <v>38930.22</v>
      </c>
      <c r="P91" s="405">
        <f t="shared" si="15"/>
        <v>0.6382003278688525</v>
      </c>
      <c r="Q91" s="252"/>
    </row>
    <row r="92" spans="1:17" ht="30" customHeight="1" x14ac:dyDescent="0.25">
      <c r="B92" s="7" t="s">
        <v>120</v>
      </c>
      <c r="C92" s="79" t="s">
        <v>119</v>
      </c>
      <c r="D92" s="116" t="s">
        <v>701</v>
      </c>
      <c r="E92" s="243">
        <v>158800</v>
      </c>
      <c r="F92" s="243">
        <v>158800</v>
      </c>
      <c r="G92" s="16">
        <f t="shared" si="11"/>
        <v>0</v>
      </c>
      <c r="H92" s="330"/>
      <c r="I92" s="243">
        <f>ROUND(F92,0)</f>
        <v>158800</v>
      </c>
      <c r="J92" s="16">
        <f t="shared" si="12"/>
        <v>0</v>
      </c>
      <c r="K92" s="330"/>
      <c r="L92" s="243">
        <f>ROUND(I92,0)</f>
        <v>158800</v>
      </c>
      <c r="M92" s="16">
        <f t="shared" si="13"/>
        <v>0</v>
      </c>
      <c r="N92" s="330"/>
      <c r="O92" s="252">
        <v>106628.86</v>
      </c>
      <c r="P92" s="405">
        <f t="shared" si="15"/>
        <v>0.67146637279596977</v>
      </c>
      <c r="Q92" s="252"/>
    </row>
    <row r="93" spans="1:17" ht="13.95" customHeight="1" x14ac:dyDescent="0.25">
      <c r="C93" s="71" t="s">
        <v>122</v>
      </c>
      <c r="D93" s="72" t="s">
        <v>1306</v>
      </c>
      <c r="E93" s="282">
        <v>59312</v>
      </c>
      <c r="F93" s="282">
        <v>60812</v>
      </c>
      <c r="G93" s="57">
        <f t="shared" si="11"/>
        <v>1500</v>
      </c>
      <c r="H93" s="351"/>
      <c r="I93" s="282">
        <f>I94+I95</f>
        <v>60812</v>
      </c>
      <c r="J93" s="57">
        <f t="shared" si="12"/>
        <v>0</v>
      </c>
      <c r="K93" s="351"/>
      <c r="L93" s="282">
        <f>L94+L95</f>
        <v>60812</v>
      </c>
      <c r="M93" s="57">
        <f t="shared" si="13"/>
        <v>0</v>
      </c>
      <c r="N93" s="351"/>
      <c r="O93" s="252">
        <f>O94+O95</f>
        <v>61954</v>
      </c>
      <c r="P93" s="407">
        <f t="shared" si="15"/>
        <v>1.0187791883180952</v>
      </c>
      <c r="Q93" s="252"/>
    </row>
    <row r="94" spans="1:17" ht="27.6" x14ac:dyDescent="0.25">
      <c r="B94" s="7" t="s">
        <v>1304</v>
      </c>
      <c r="C94" s="79" t="s">
        <v>125</v>
      </c>
      <c r="D94" s="80" t="s">
        <v>363</v>
      </c>
      <c r="E94" s="243">
        <v>59312</v>
      </c>
      <c r="F94" s="243">
        <v>60812</v>
      </c>
      <c r="G94" s="57">
        <f>F94-E94</f>
        <v>1500</v>
      </c>
      <c r="H94" s="341" t="s">
        <v>1416</v>
      </c>
      <c r="I94" s="243">
        <f>ROUND(F94,0)</f>
        <v>60812</v>
      </c>
      <c r="J94" s="57">
        <f t="shared" si="12"/>
        <v>0</v>
      </c>
      <c r="K94" s="341"/>
      <c r="L94" s="243">
        <f>ROUND(I94,0)</f>
        <v>60812</v>
      </c>
      <c r="M94" s="57">
        <f t="shared" si="13"/>
        <v>0</v>
      </c>
      <c r="N94" s="341"/>
      <c r="O94" s="252">
        <f>26400+35554</f>
        <v>61954</v>
      </c>
      <c r="P94" s="407">
        <f t="shared" si="15"/>
        <v>1.0187791883180952</v>
      </c>
      <c r="Q94" s="252"/>
    </row>
    <row r="95" spans="1:17" ht="15.75" customHeight="1" x14ac:dyDescent="0.25">
      <c r="B95" s="266" t="s">
        <v>513</v>
      </c>
      <c r="C95" s="79" t="s">
        <v>127</v>
      </c>
      <c r="D95" s="189" t="s">
        <v>1389</v>
      </c>
      <c r="E95" s="243">
        <v>0</v>
      </c>
      <c r="F95" s="243">
        <v>0</v>
      </c>
      <c r="G95" s="57">
        <f t="shared" si="11"/>
        <v>0</v>
      </c>
      <c r="H95" s="333"/>
      <c r="I95" s="243">
        <f>ROUND(F95,0)</f>
        <v>0</v>
      </c>
      <c r="J95" s="57">
        <f t="shared" si="12"/>
        <v>0</v>
      </c>
      <c r="K95" s="333"/>
      <c r="L95" s="243">
        <f>ROUND(I95,0)</f>
        <v>0</v>
      </c>
      <c r="M95" s="57">
        <f t="shared" si="13"/>
        <v>0</v>
      </c>
      <c r="N95" s="333"/>
      <c r="O95" s="498"/>
      <c r="P95" s="407"/>
      <c r="Q95" s="252"/>
    </row>
    <row r="96" spans="1:17" x14ac:dyDescent="0.25">
      <c r="A96" s="7" t="s">
        <v>10</v>
      </c>
      <c r="B96" s="7" t="s">
        <v>121</v>
      </c>
      <c r="C96" s="71" t="s">
        <v>129</v>
      </c>
      <c r="D96" s="72" t="s">
        <v>123</v>
      </c>
      <c r="E96" s="243">
        <v>322370</v>
      </c>
      <c r="F96" s="243">
        <v>322370</v>
      </c>
      <c r="G96" s="16">
        <f t="shared" si="11"/>
        <v>0</v>
      </c>
      <c r="H96" s="318"/>
      <c r="I96" s="243">
        <f>SUM(I97:I99)</f>
        <v>322370</v>
      </c>
      <c r="J96" s="16">
        <f t="shared" si="12"/>
        <v>0</v>
      </c>
      <c r="K96" s="318"/>
      <c r="L96" s="243">
        <f>SUM(L97:L99)</f>
        <v>332370</v>
      </c>
      <c r="M96" s="16">
        <f t="shared" si="13"/>
        <v>10000</v>
      </c>
      <c r="N96" s="318"/>
      <c r="O96" s="252">
        <f>SUM(O97:O99)</f>
        <v>199398.59999999998</v>
      </c>
      <c r="P96" s="405">
        <f>O96/L96</f>
        <v>0.59992959653398314</v>
      </c>
      <c r="Q96" s="252"/>
    </row>
    <row r="97" spans="1:17" ht="16.5" customHeight="1" x14ac:dyDescent="0.25">
      <c r="B97" s="7" t="s">
        <v>124</v>
      </c>
      <c r="C97" s="79" t="s">
        <v>350</v>
      </c>
      <c r="D97" s="80" t="s">
        <v>352</v>
      </c>
      <c r="E97" s="243">
        <v>236370</v>
      </c>
      <c r="F97" s="243">
        <v>236370</v>
      </c>
      <c r="G97" s="16">
        <f t="shared" si="11"/>
        <v>0</v>
      </c>
      <c r="H97" s="316"/>
      <c r="I97" s="243">
        <f>ROUND(F97,0)</f>
        <v>236370</v>
      </c>
      <c r="J97" s="16">
        <f t="shared" si="12"/>
        <v>0</v>
      </c>
      <c r="K97" s="316"/>
      <c r="L97" s="243">
        <f>ROUND(I97,0)</f>
        <v>236370</v>
      </c>
      <c r="M97" s="16">
        <f t="shared" si="13"/>
        <v>0</v>
      </c>
      <c r="N97" s="316"/>
      <c r="O97" s="252">
        <f>152897.9+83</f>
        <v>152980.9</v>
      </c>
      <c r="P97" s="405">
        <f>O97/L97</f>
        <v>0.64720945974531452</v>
      </c>
      <c r="Q97" s="252"/>
    </row>
    <row r="98" spans="1:17" x14ac:dyDescent="0.25">
      <c r="B98" s="7" t="s">
        <v>126</v>
      </c>
      <c r="C98" s="79" t="s">
        <v>351</v>
      </c>
      <c r="D98" s="80" t="s">
        <v>353</v>
      </c>
      <c r="E98" s="243">
        <v>86000</v>
      </c>
      <c r="F98" s="243">
        <v>86000</v>
      </c>
      <c r="G98" s="16">
        <f t="shared" si="11"/>
        <v>0</v>
      </c>
      <c r="H98" s="318"/>
      <c r="I98" s="243">
        <f>ROUND(F98,0)</f>
        <v>86000</v>
      </c>
      <c r="J98" s="16">
        <f t="shared" si="12"/>
        <v>0</v>
      </c>
      <c r="K98" s="318"/>
      <c r="L98" s="243">
        <f>ROUND(I98,0)+10000</f>
        <v>96000</v>
      </c>
      <c r="M98" s="16">
        <f t="shared" si="13"/>
        <v>10000</v>
      </c>
      <c r="N98" s="318" t="s">
        <v>1483</v>
      </c>
      <c r="O98" s="252">
        <v>46417.7</v>
      </c>
      <c r="P98" s="405">
        <f>O98/L98</f>
        <v>0.4835177083333333</v>
      </c>
      <c r="Q98" s="252"/>
    </row>
    <row r="99" spans="1:17" x14ac:dyDescent="0.25">
      <c r="B99" s="7" t="s">
        <v>535</v>
      </c>
      <c r="C99" s="79" t="s">
        <v>354</v>
      </c>
      <c r="D99" s="189" t="s">
        <v>355</v>
      </c>
      <c r="E99" s="243">
        <v>0</v>
      </c>
      <c r="F99" s="243">
        <v>0</v>
      </c>
      <c r="G99" s="57">
        <f t="shared" si="11"/>
        <v>0</v>
      </c>
      <c r="H99" s="335"/>
      <c r="I99" s="243">
        <f>ROUND(F99,0)</f>
        <v>0</v>
      </c>
      <c r="J99" s="57">
        <f t="shared" si="12"/>
        <v>0</v>
      </c>
      <c r="K99" s="335"/>
      <c r="L99" s="243">
        <f>ROUND(I99,0)</f>
        <v>0</v>
      </c>
      <c r="M99" s="57">
        <f t="shared" si="13"/>
        <v>0</v>
      </c>
      <c r="N99" s="335"/>
      <c r="O99" s="498"/>
      <c r="P99" s="407"/>
      <c r="Q99" s="252"/>
    </row>
    <row r="100" spans="1:17" ht="25.2" customHeight="1" x14ac:dyDescent="0.25">
      <c r="A100" s="7" t="s">
        <v>10</v>
      </c>
      <c r="B100" s="7" t="s">
        <v>128</v>
      </c>
      <c r="C100" s="71" t="s">
        <v>131</v>
      </c>
      <c r="D100" s="72" t="s">
        <v>130</v>
      </c>
      <c r="E100" s="243">
        <v>98350</v>
      </c>
      <c r="F100" s="243">
        <v>98350</v>
      </c>
      <c r="G100" s="16">
        <f t="shared" si="11"/>
        <v>0</v>
      </c>
      <c r="H100" s="352"/>
      <c r="I100" s="243">
        <f>SUM(I101:I102)</f>
        <v>98350</v>
      </c>
      <c r="J100" s="16">
        <f t="shared" si="12"/>
        <v>0</v>
      </c>
      <c r="K100" s="352"/>
      <c r="L100" s="243">
        <f>SUM(L101:L102)</f>
        <v>98350</v>
      </c>
      <c r="M100" s="16">
        <f t="shared" si="13"/>
        <v>0</v>
      </c>
      <c r="N100" s="352"/>
      <c r="O100" s="252">
        <f>SUM(O101:O102)</f>
        <v>34978.54</v>
      </c>
      <c r="P100" s="405">
        <f>O100/L100</f>
        <v>0.35565368581596341</v>
      </c>
      <c r="Q100" s="252"/>
    </row>
    <row r="101" spans="1:17" ht="28.2" customHeight="1" x14ac:dyDescent="0.25">
      <c r="A101" s="62" t="s">
        <v>253</v>
      </c>
      <c r="C101" s="79" t="s">
        <v>336</v>
      </c>
      <c r="D101" s="80" t="s">
        <v>130</v>
      </c>
      <c r="E101" s="243">
        <v>98350</v>
      </c>
      <c r="F101" s="243">
        <v>98350</v>
      </c>
      <c r="G101" s="57">
        <f t="shared" si="11"/>
        <v>0</v>
      </c>
      <c r="H101" s="335"/>
      <c r="I101" s="243">
        <f>ROUND(F101,0)</f>
        <v>98350</v>
      </c>
      <c r="J101" s="57">
        <f t="shared" si="12"/>
        <v>0</v>
      </c>
      <c r="K101" s="335"/>
      <c r="L101" s="243">
        <f>ROUND(I101,0)</f>
        <v>98350</v>
      </c>
      <c r="M101" s="57">
        <f t="shared" si="13"/>
        <v>0</v>
      </c>
      <c r="N101" s="335"/>
      <c r="O101" s="252">
        <f>33975.23+504+483.31+36-20</f>
        <v>34978.54</v>
      </c>
      <c r="P101" s="407">
        <f>O101/L101</f>
        <v>0.35565368581596341</v>
      </c>
      <c r="Q101" s="252"/>
    </row>
    <row r="102" spans="1:17" ht="16.5" customHeight="1" x14ac:dyDescent="0.25">
      <c r="B102" s="7" t="s">
        <v>702</v>
      </c>
      <c r="C102" s="79" t="s">
        <v>337</v>
      </c>
      <c r="D102" s="80" t="s">
        <v>703</v>
      </c>
      <c r="E102" s="243">
        <v>0</v>
      </c>
      <c r="F102" s="243">
        <v>0</v>
      </c>
      <c r="G102" s="57">
        <f t="shared" si="11"/>
        <v>0</v>
      </c>
      <c r="H102" s="335"/>
      <c r="I102" s="243">
        <f>ROUND(F102,0)</f>
        <v>0</v>
      </c>
      <c r="J102" s="57">
        <f t="shared" si="12"/>
        <v>0</v>
      </c>
      <c r="K102" s="335"/>
      <c r="L102" s="243">
        <f>ROUND(I102,0)</f>
        <v>0</v>
      </c>
      <c r="M102" s="57">
        <f t="shared" si="13"/>
        <v>0</v>
      </c>
      <c r="N102" s="335"/>
      <c r="O102" s="252">
        <v>0</v>
      </c>
      <c r="P102" s="407"/>
      <c r="Q102" s="252"/>
    </row>
    <row r="103" spans="1:17" ht="78" customHeight="1" thickBot="1" x14ac:dyDescent="0.35">
      <c r="A103" s="7" t="s">
        <v>10</v>
      </c>
      <c r="B103" s="273" t="s">
        <v>820</v>
      </c>
      <c r="C103" s="71" t="s">
        <v>338</v>
      </c>
      <c r="D103" s="72" t="s">
        <v>706</v>
      </c>
      <c r="E103" s="243">
        <v>100623</v>
      </c>
      <c r="F103" s="243">
        <v>100623</v>
      </c>
      <c r="G103" s="16">
        <f t="shared" si="11"/>
        <v>0</v>
      </c>
      <c r="H103" s="316"/>
      <c r="I103" s="243">
        <f>ROUND(F103,0)</f>
        <v>100623</v>
      </c>
      <c r="J103" s="16">
        <f t="shared" si="12"/>
        <v>0</v>
      </c>
      <c r="K103" s="316"/>
      <c r="L103" s="243">
        <f>ROUND(I103,0)</f>
        <v>100623</v>
      </c>
      <c r="M103" s="16">
        <f t="shared" si="13"/>
        <v>0</v>
      </c>
      <c r="N103" s="316"/>
      <c r="O103" s="252">
        <f>93791.11+10879+17456</f>
        <v>122126.11</v>
      </c>
      <c r="P103" s="405">
        <f t="shared" ref="P103:P119" si="16">O103/L103</f>
        <v>1.2136997505540483</v>
      </c>
      <c r="Q103" s="403" t="s">
        <v>1494</v>
      </c>
    </row>
    <row r="104" spans="1:17" ht="15" customHeight="1" thickBot="1" x14ac:dyDescent="0.3">
      <c r="C104" s="24"/>
      <c r="D104" s="25" t="s">
        <v>132</v>
      </c>
      <c r="E104" s="283">
        <v>61794402</v>
      </c>
      <c r="F104" s="283">
        <v>61849590</v>
      </c>
      <c r="G104" s="46">
        <f t="shared" si="11"/>
        <v>55188</v>
      </c>
      <c r="H104" s="353"/>
      <c r="I104" s="283">
        <f>I7+I10+I13+I16+I19+I22+I34+I37+I41+I42+I86+I89</f>
        <v>61987173</v>
      </c>
      <c r="J104" s="46">
        <f t="shared" si="12"/>
        <v>137583</v>
      </c>
      <c r="K104" s="353"/>
      <c r="L104" s="283">
        <f>L7+L10+L13+L16+L19+L22+L34+L37+L41+L42+L86+L89</f>
        <v>62139592</v>
      </c>
      <c r="M104" s="46">
        <f t="shared" si="13"/>
        <v>152419</v>
      </c>
      <c r="N104" s="353"/>
      <c r="O104" s="46">
        <f>O7+O10+O13+O16+O19+O22+O34+O37+O41+O42+O86+O89</f>
        <v>28436357.02999999</v>
      </c>
      <c r="P104" s="443">
        <f t="shared" si="16"/>
        <v>0.45762059445127978</v>
      </c>
      <c r="Q104" s="464"/>
    </row>
    <row r="105" spans="1:17" ht="14.4" thickBot="1" x14ac:dyDescent="0.3">
      <c r="C105" s="81" t="s">
        <v>133</v>
      </c>
      <c r="D105" s="244" t="s">
        <v>134</v>
      </c>
      <c r="E105" s="284">
        <v>6694243.2000000002</v>
      </c>
      <c r="F105" s="284">
        <v>6694243</v>
      </c>
      <c r="G105" s="47">
        <f t="shared" si="11"/>
        <v>-0.20000000018626451</v>
      </c>
      <c r="H105" s="354"/>
      <c r="I105" s="284">
        <f>SUM(I106:I107)</f>
        <v>6694243</v>
      </c>
      <c r="J105" s="47">
        <f t="shared" si="12"/>
        <v>0</v>
      </c>
      <c r="K105" s="354"/>
      <c r="L105" s="284">
        <f>SUM(L106:L107)</f>
        <v>6694243</v>
      </c>
      <c r="M105" s="47">
        <f t="shared" si="13"/>
        <v>0</v>
      </c>
      <c r="N105" s="354"/>
      <c r="O105" s="47">
        <f>SUM(O106:O107)</f>
        <v>6694243</v>
      </c>
      <c r="P105" s="409">
        <f t="shared" si="16"/>
        <v>1</v>
      </c>
      <c r="Q105" s="47"/>
    </row>
    <row r="106" spans="1:17" ht="14.4" customHeight="1" x14ac:dyDescent="0.25">
      <c r="C106" s="71" t="s">
        <v>135</v>
      </c>
      <c r="D106" s="72" t="s">
        <v>136</v>
      </c>
      <c r="E106" s="243">
        <v>1040957</v>
      </c>
      <c r="F106" s="243">
        <v>1040957</v>
      </c>
      <c r="G106" s="16">
        <f t="shared" si="11"/>
        <v>0</v>
      </c>
      <c r="H106" s="314"/>
      <c r="I106" s="243">
        <f>ROUND(F106,0)</f>
        <v>1040957</v>
      </c>
      <c r="J106" s="16">
        <f t="shared" si="12"/>
        <v>0</v>
      </c>
      <c r="K106" s="314"/>
      <c r="L106" s="243">
        <f>ROUND(I106,0)</f>
        <v>1040957</v>
      </c>
      <c r="M106" s="16">
        <f t="shared" si="13"/>
        <v>0</v>
      </c>
      <c r="N106" s="314"/>
      <c r="O106" s="252">
        <v>1040957</v>
      </c>
      <c r="P106" s="405">
        <f t="shared" si="16"/>
        <v>1</v>
      </c>
      <c r="Q106" s="252"/>
    </row>
    <row r="107" spans="1:17" x14ac:dyDescent="0.25">
      <c r="C107" s="71" t="s">
        <v>137</v>
      </c>
      <c r="D107" s="72" t="s">
        <v>138</v>
      </c>
      <c r="E107" s="243">
        <v>5653286</v>
      </c>
      <c r="F107" s="243">
        <v>5653286</v>
      </c>
      <c r="G107" s="16">
        <f t="shared" si="11"/>
        <v>0</v>
      </c>
      <c r="H107" s="318"/>
      <c r="I107" s="243">
        <f>ROUND(F107,0)</f>
        <v>5653286</v>
      </c>
      <c r="J107" s="16">
        <f t="shared" si="12"/>
        <v>0</v>
      </c>
      <c r="K107" s="318"/>
      <c r="L107" s="243">
        <f>ROUND(I107,0)</f>
        <v>5653286</v>
      </c>
      <c r="M107" s="16">
        <f t="shared" si="13"/>
        <v>0</v>
      </c>
      <c r="N107" s="318"/>
      <c r="O107" s="252">
        <v>5653286</v>
      </c>
      <c r="P107" s="405">
        <f t="shared" si="16"/>
        <v>1</v>
      </c>
      <c r="Q107" s="252"/>
    </row>
    <row r="108" spans="1:17" x14ac:dyDescent="0.25">
      <c r="C108" s="77" t="s">
        <v>139</v>
      </c>
      <c r="D108" s="204" t="s">
        <v>140</v>
      </c>
      <c r="E108" s="285">
        <v>6608118</v>
      </c>
      <c r="F108" s="285">
        <v>6608118</v>
      </c>
      <c r="G108" s="17">
        <f t="shared" si="11"/>
        <v>0</v>
      </c>
      <c r="H108" s="329"/>
      <c r="I108" s="285">
        <f>SUM(I109:I118)</f>
        <v>6668106</v>
      </c>
      <c r="J108" s="17">
        <f t="shared" si="12"/>
        <v>59988</v>
      </c>
      <c r="K108" s="329"/>
      <c r="L108" s="285">
        <f>SUM(L109:L118)</f>
        <v>6668106</v>
      </c>
      <c r="M108" s="17">
        <f t="shared" si="13"/>
        <v>0</v>
      </c>
      <c r="N108" s="329"/>
      <c r="O108" s="410">
        <f>SUM(O109:O118)</f>
        <v>347156</v>
      </c>
      <c r="P108" s="411">
        <f t="shared" si="16"/>
        <v>5.2062159779703562E-2</v>
      </c>
      <c r="Q108" s="410" t="s">
        <v>767</v>
      </c>
    </row>
    <row r="109" spans="1:17" outlineLevel="1" x14ac:dyDescent="0.25">
      <c r="A109" s="62"/>
      <c r="B109" s="62"/>
      <c r="C109" s="114" t="s">
        <v>685</v>
      </c>
      <c r="D109" s="193" t="s">
        <v>1450</v>
      </c>
      <c r="E109" s="300">
        <v>85000</v>
      </c>
      <c r="F109" s="473">
        <v>85000</v>
      </c>
      <c r="G109" s="355">
        <f t="shared" si="11"/>
        <v>0</v>
      </c>
      <c r="H109" s="356"/>
      <c r="I109" s="473">
        <f t="shared" ref="I109:I118" si="17">ROUND(F109,0)</f>
        <v>85000</v>
      </c>
      <c r="J109" s="355">
        <f t="shared" si="12"/>
        <v>0</v>
      </c>
      <c r="K109" s="356"/>
      <c r="L109" s="473">
        <f t="shared" ref="L109:L116" si="18">ROUND(I109,0)</f>
        <v>85000</v>
      </c>
      <c r="M109" s="355">
        <f t="shared" si="13"/>
        <v>0</v>
      </c>
      <c r="N109" s="356"/>
      <c r="O109" s="96">
        <f>ROUND(H109,0)</f>
        <v>0</v>
      </c>
      <c r="P109" s="412">
        <f t="shared" si="16"/>
        <v>0</v>
      </c>
      <c r="Q109" s="465"/>
    </row>
    <row r="110" spans="1:17" ht="30" customHeight="1" x14ac:dyDescent="0.25">
      <c r="A110" s="62" t="s">
        <v>868</v>
      </c>
      <c r="B110" s="62"/>
      <c r="C110" s="114" t="s">
        <v>686</v>
      </c>
      <c r="D110" s="193" t="s">
        <v>866</v>
      </c>
      <c r="E110" s="300">
        <v>3100179</v>
      </c>
      <c r="F110" s="473">
        <v>3100179</v>
      </c>
      <c r="G110" s="355">
        <f t="shared" si="11"/>
        <v>0</v>
      </c>
      <c r="H110" s="356"/>
      <c r="I110" s="473">
        <f t="shared" si="17"/>
        <v>3100179</v>
      </c>
      <c r="J110" s="355">
        <f t="shared" si="12"/>
        <v>0</v>
      </c>
      <c r="K110" s="356"/>
      <c r="L110" s="473">
        <f t="shared" si="18"/>
        <v>3100179</v>
      </c>
      <c r="M110" s="355">
        <f t="shared" si="13"/>
        <v>0</v>
      </c>
      <c r="N110" s="356"/>
      <c r="O110" s="252">
        <v>0</v>
      </c>
      <c r="P110" s="412">
        <f t="shared" si="16"/>
        <v>0</v>
      </c>
      <c r="Q110" s="465"/>
    </row>
    <row r="111" spans="1:17" x14ac:dyDescent="0.25">
      <c r="A111" s="62" t="s">
        <v>498</v>
      </c>
      <c r="B111" s="62" t="s">
        <v>502</v>
      </c>
      <c r="C111" s="114" t="s">
        <v>1475</v>
      </c>
      <c r="D111" s="271" t="s">
        <v>1298</v>
      </c>
      <c r="E111" s="300">
        <v>85000</v>
      </c>
      <c r="F111" s="477">
        <v>85000</v>
      </c>
      <c r="G111" s="357">
        <f t="shared" si="11"/>
        <v>0</v>
      </c>
      <c r="H111" s="358"/>
      <c r="I111" s="477">
        <f t="shared" si="17"/>
        <v>85000</v>
      </c>
      <c r="J111" s="357">
        <f t="shared" si="12"/>
        <v>0</v>
      </c>
      <c r="K111" s="358"/>
      <c r="L111" s="477">
        <f t="shared" si="18"/>
        <v>85000</v>
      </c>
      <c r="M111" s="357">
        <f t="shared" si="13"/>
        <v>0</v>
      </c>
      <c r="N111" s="358"/>
      <c r="O111" s="252">
        <v>0</v>
      </c>
      <c r="P111" s="413">
        <f t="shared" si="16"/>
        <v>0</v>
      </c>
      <c r="Q111" s="466"/>
    </row>
    <row r="112" spans="1:17" ht="32.4" customHeight="1" x14ac:dyDescent="0.25">
      <c r="A112" s="62"/>
      <c r="B112" s="62"/>
      <c r="C112" s="114" t="s">
        <v>687</v>
      </c>
      <c r="D112" s="271" t="s">
        <v>1299</v>
      </c>
      <c r="E112" s="300">
        <v>255000</v>
      </c>
      <c r="F112" s="473">
        <v>255000</v>
      </c>
      <c r="G112" s="355">
        <f t="shared" si="11"/>
        <v>0</v>
      </c>
      <c r="H112" s="359"/>
      <c r="I112" s="473">
        <f t="shared" si="17"/>
        <v>255000</v>
      </c>
      <c r="J112" s="355">
        <f t="shared" si="12"/>
        <v>0</v>
      </c>
      <c r="K112" s="359"/>
      <c r="L112" s="473">
        <f t="shared" si="18"/>
        <v>255000</v>
      </c>
      <c r="M112" s="355">
        <f t="shared" si="13"/>
        <v>0</v>
      </c>
      <c r="N112" s="359"/>
      <c r="O112" s="252">
        <v>0</v>
      </c>
      <c r="P112" s="413">
        <f t="shared" si="16"/>
        <v>0</v>
      </c>
      <c r="Q112" s="466"/>
    </row>
    <row r="113" spans="1:18" ht="67.95" customHeight="1" x14ac:dyDescent="0.25">
      <c r="A113" s="62"/>
      <c r="B113" s="62"/>
      <c r="C113" s="114" t="s">
        <v>688</v>
      </c>
      <c r="D113" s="194" t="s">
        <v>806</v>
      </c>
      <c r="E113" s="304">
        <v>474147</v>
      </c>
      <c r="F113" s="476">
        <v>474147</v>
      </c>
      <c r="G113" s="360">
        <f t="shared" si="11"/>
        <v>0</v>
      </c>
      <c r="H113" s="344"/>
      <c r="I113" s="476">
        <f t="shared" si="17"/>
        <v>474147</v>
      </c>
      <c r="J113" s="360">
        <f t="shared" si="12"/>
        <v>0</v>
      </c>
      <c r="K113" s="344"/>
      <c r="L113" s="476">
        <f t="shared" si="18"/>
        <v>474147</v>
      </c>
      <c r="M113" s="360">
        <f t="shared" si="13"/>
        <v>0</v>
      </c>
      <c r="N113" s="489"/>
      <c r="O113" s="252">
        <v>347156</v>
      </c>
      <c r="P113" s="413">
        <f t="shared" si="16"/>
        <v>0.73216955922952165</v>
      </c>
      <c r="Q113" s="125"/>
    </row>
    <row r="114" spans="1:18" ht="16.95" customHeight="1" x14ac:dyDescent="0.25">
      <c r="B114" s="62"/>
      <c r="C114" s="114" t="s">
        <v>689</v>
      </c>
      <c r="D114" s="271" t="s">
        <v>1406</v>
      </c>
      <c r="E114" s="300">
        <v>510000</v>
      </c>
      <c r="F114" s="475">
        <v>510000</v>
      </c>
      <c r="G114" s="361">
        <f t="shared" si="11"/>
        <v>0</v>
      </c>
      <c r="H114" s="344"/>
      <c r="I114" s="475">
        <f t="shared" si="17"/>
        <v>510000</v>
      </c>
      <c r="J114" s="361">
        <f t="shared" si="12"/>
        <v>0</v>
      </c>
      <c r="K114" s="344"/>
      <c r="L114" s="475">
        <f t="shared" si="18"/>
        <v>510000</v>
      </c>
      <c r="M114" s="361">
        <f t="shared" si="13"/>
        <v>0</v>
      </c>
      <c r="N114" s="344"/>
      <c r="O114" s="498"/>
      <c r="P114" s="413">
        <f t="shared" si="16"/>
        <v>0</v>
      </c>
      <c r="Q114" s="466"/>
      <c r="R114" s="425"/>
    </row>
    <row r="115" spans="1:18" ht="29.25" customHeight="1" x14ac:dyDescent="0.25">
      <c r="B115" s="62" t="s">
        <v>1390</v>
      </c>
      <c r="C115" s="114" t="s">
        <v>1476</v>
      </c>
      <c r="D115" s="194" t="s">
        <v>1391</v>
      </c>
      <c r="E115" s="304">
        <v>295238</v>
      </c>
      <c r="F115" s="476">
        <v>295238</v>
      </c>
      <c r="G115" s="123">
        <f t="shared" si="11"/>
        <v>0</v>
      </c>
      <c r="H115" s="362"/>
      <c r="I115" s="476">
        <f t="shared" si="17"/>
        <v>295238</v>
      </c>
      <c r="J115" s="123">
        <f t="shared" si="12"/>
        <v>0</v>
      </c>
      <c r="K115" s="362"/>
      <c r="L115" s="476">
        <f t="shared" si="18"/>
        <v>295238</v>
      </c>
      <c r="M115" s="123">
        <f t="shared" si="13"/>
        <v>0</v>
      </c>
      <c r="N115" s="362"/>
      <c r="O115" s="252">
        <v>0</v>
      </c>
      <c r="P115" s="413">
        <f t="shared" si="16"/>
        <v>0</v>
      </c>
      <c r="Q115" s="125"/>
    </row>
    <row r="116" spans="1:18" ht="18.600000000000001" customHeight="1" outlineLevel="1" x14ac:dyDescent="0.25">
      <c r="B116" s="62" t="s">
        <v>1285</v>
      </c>
      <c r="C116" s="120" t="s">
        <v>1477</v>
      </c>
      <c r="D116" s="194" t="s">
        <v>810</v>
      </c>
      <c r="E116" s="304">
        <v>70622</v>
      </c>
      <c r="F116" s="272">
        <v>70622</v>
      </c>
      <c r="G116" s="363">
        <f t="shared" si="11"/>
        <v>0</v>
      </c>
      <c r="H116" s="344"/>
      <c r="I116" s="272">
        <f t="shared" si="17"/>
        <v>70622</v>
      </c>
      <c r="J116" s="363">
        <f t="shared" si="12"/>
        <v>0</v>
      </c>
      <c r="K116" s="344"/>
      <c r="L116" s="272">
        <f t="shared" si="18"/>
        <v>70622</v>
      </c>
      <c r="M116" s="363">
        <f t="shared" si="13"/>
        <v>0</v>
      </c>
      <c r="N116" s="344"/>
      <c r="O116" s="16">
        <f>ROUND(H116,0)</f>
        <v>0</v>
      </c>
      <c r="P116" s="413">
        <f t="shared" si="16"/>
        <v>0</v>
      </c>
      <c r="Q116" s="466"/>
    </row>
    <row r="117" spans="1:18" ht="27.6" customHeight="1" outlineLevel="1" x14ac:dyDescent="0.25">
      <c r="B117" s="62" t="s">
        <v>677</v>
      </c>
      <c r="C117" s="124" t="s">
        <v>1478</v>
      </c>
      <c r="D117" s="194" t="s">
        <v>678</v>
      </c>
      <c r="E117" s="304">
        <v>123536</v>
      </c>
      <c r="F117" s="474">
        <v>123536</v>
      </c>
      <c r="G117" s="361">
        <f t="shared" si="11"/>
        <v>0</v>
      </c>
      <c r="H117" s="344"/>
      <c r="I117" s="474">
        <f>ROUND(F117,0)+59988</f>
        <v>183524</v>
      </c>
      <c r="J117" s="361">
        <f t="shared" si="12"/>
        <v>59988</v>
      </c>
      <c r="K117" s="489" t="s">
        <v>1465</v>
      </c>
      <c r="L117" s="474">
        <f>ROUND(I117,0)</f>
        <v>183524</v>
      </c>
      <c r="M117" s="361">
        <f t="shared" si="13"/>
        <v>0</v>
      </c>
      <c r="N117" s="489"/>
      <c r="O117" s="16">
        <f>ROUND(H117,0)</f>
        <v>0</v>
      </c>
      <c r="P117" s="413">
        <f t="shared" si="16"/>
        <v>0</v>
      </c>
      <c r="Q117" s="466"/>
    </row>
    <row r="118" spans="1:18" ht="26.4" customHeight="1" outlineLevel="1" x14ac:dyDescent="0.25">
      <c r="B118" s="62" t="s">
        <v>458</v>
      </c>
      <c r="C118" s="124" t="s">
        <v>715</v>
      </c>
      <c r="D118" s="261" t="s">
        <v>408</v>
      </c>
      <c r="E118" s="304">
        <v>1609396</v>
      </c>
      <c r="F118" s="474">
        <v>1609396</v>
      </c>
      <c r="G118" s="252">
        <f t="shared" si="11"/>
        <v>0</v>
      </c>
      <c r="H118" s="362"/>
      <c r="I118" s="474">
        <f t="shared" si="17"/>
        <v>1609396</v>
      </c>
      <c r="J118" s="252">
        <f t="shared" si="12"/>
        <v>0</v>
      </c>
      <c r="K118" s="362"/>
      <c r="L118" s="474">
        <f t="shared" ref="L118" si="19">ROUND(I118,0)</f>
        <v>1609396</v>
      </c>
      <c r="M118" s="252">
        <f t="shared" si="13"/>
        <v>0</v>
      </c>
      <c r="N118" s="362"/>
      <c r="O118" s="16">
        <f>ROUND(H118,0)</f>
        <v>0</v>
      </c>
      <c r="P118" s="413">
        <f t="shared" si="16"/>
        <v>0</v>
      </c>
      <c r="Q118" s="466"/>
    </row>
    <row r="119" spans="1:18" ht="14.4" thickBot="1" x14ac:dyDescent="0.3">
      <c r="C119" s="60"/>
      <c r="D119" s="210" t="s">
        <v>141</v>
      </c>
      <c r="E119" s="284">
        <v>75096763.200000003</v>
      </c>
      <c r="F119" s="284">
        <v>75151951</v>
      </c>
      <c r="G119" s="47">
        <f t="shared" si="11"/>
        <v>55187.79999999702</v>
      </c>
      <c r="H119" s="364"/>
      <c r="I119" s="284">
        <f>I104+I105+I108</f>
        <v>75349522</v>
      </c>
      <c r="J119" s="47">
        <f t="shared" si="12"/>
        <v>197571</v>
      </c>
      <c r="K119" s="364"/>
      <c r="L119" s="284">
        <f>L104+L105+L108</f>
        <v>75501941</v>
      </c>
      <c r="M119" s="47">
        <f t="shared" si="13"/>
        <v>152419</v>
      </c>
      <c r="N119" s="364"/>
      <c r="O119" s="47">
        <f>O104+O105+O108</f>
        <v>35477756.029999986</v>
      </c>
      <c r="P119" s="414">
        <f t="shared" si="16"/>
        <v>0.46989197310834679</v>
      </c>
      <c r="Q119" s="47"/>
    </row>
    <row r="120" spans="1:18" x14ac:dyDescent="0.25">
      <c r="O120" s="502"/>
    </row>
    <row r="121" spans="1:18" x14ac:dyDescent="0.25">
      <c r="G121" s="45"/>
      <c r="J121" s="45"/>
      <c r="M121" s="45"/>
      <c r="O121" s="503"/>
      <c r="Q121" s="45"/>
    </row>
    <row r="122" spans="1:18" ht="20.399999999999999" x14ac:dyDescent="0.35">
      <c r="C122" s="537" t="s">
        <v>142</v>
      </c>
      <c r="D122" s="537"/>
      <c r="G122" s="45"/>
      <c r="J122" s="45"/>
      <c r="M122" s="45"/>
      <c r="O122" s="503"/>
      <c r="Q122" s="45"/>
    </row>
    <row r="123" spans="1:18" ht="15" thickBot="1" x14ac:dyDescent="0.35">
      <c r="C123" s="538"/>
      <c r="D123" s="538"/>
      <c r="G123" s="52"/>
      <c r="J123" s="52"/>
      <c r="M123" s="52"/>
      <c r="O123" s="504"/>
      <c r="Q123" s="52"/>
    </row>
    <row r="124" spans="1:18" ht="57" customHeight="1" thickBot="1" x14ac:dyDescent="0.3">
      <c r="C124" s="11" t="s">
        <v>1</v>
      </c>
      <c r="D124" s="12" t="s">
        <v>2</v>
      </c>
      <c r="E124" s="275" t="s">
        <v>825</v>
      </c>
      <c r="F124" s="275" t="s">
        <v>1421</v>
      </c>
      <c r="G124" s="50" t="s">
        <v>726</v>
      </c>
      <c r="H124" s="326" t="s">
        <v>3</v>
      </c>
      <c r="I124" s="275" t="str">
        <f>I5</f>
        <v>29.05.2025. grozījumi</v>
      </c>
      <c r="J124" s="50" t="str">
        <f>J5</f>
        <v>Izmaiņa 29.05.2025. - 27.03.2025.</v>
      </c>
      <c r="K124" s="326" t="s">
        <v>3</v>
      </c>
      <c r="L124" s="275" t="str">
        <f>L5</f>
        <v>26.06.2025. grozījumi</v>
      </c>
      <c r="M124" s="50" t="str">
        <f>M5</f>
        <v>Izmaiņa 26.06.2025. - 29.05.2025.</v>
      </c>
      <c r="N124" s="326" t="s">
        <v>3</v>
      </c>
      <c r="O124" s="50" t="str">
        <f>O5</f>
        <v>30.06.2025. fakts</v>
      </c>
      <c r="P124" s="400" t="str">
        <f>P5</f>
        <v>30.06.2025. fakts (%) pret 2025. plānu</v>
      </c>
      <c r="Q124" s="326" t="s">
        <v>4</v>
      </c>
    </row>
    <row r="125" spans="1:18" x14ac:dyDescent="0.25">
      <c r="C125" s="82" t="s">
        <v>8</v>
      </c>
      <c r="D125" s="202" t="s">
        <v>143</v>
      </c>
      <c r="E125" s="286">
        <v>12264534</v>
      </c>
      <c r="F125" s="286">
        <v>12264534</v>
      </c>
      <c r="G125" s="27">
        <f t="shared" ref="G125:G188" si="20">F125-E125</f>
        <v>0</v>
      </c>
      <c r="H125" s="365"/>
      <c r="I125" s="286">
        <f>SUM(I126:I134)</f>
        <v>12263884</v>
      </c>
      <c r="J125" s="27">
        <f t="shared" ref="J125:J188" si="21">I125-F125</f>
        <v>-650</v>
      </c>
      <c r="K125" s="365"/>
      <c r="L125" s="286">
        <f>SUM(L126:L134)</f>
        <v>12213884</v>
      </c>
      <c r="M125" s="27">
        <f t="shared" ref="M125:M188" si="22">L125-I125</f>
        <v>-50000</v>
      </c>
      <c r="N125" s="365"/>
      <c r="O125" s="27">
        <f>SUM(O126:O134)</f>
        <v>5363227.6599999992</v>
      </c>
      <c r="P125" s="444">
        <f t="shared" ref="P125:P149" si="23">O125/L125</f>
        <v>0.43910910403275477</v>
      </c>
      <c r="Q125" s="27"/>
    </row>
    <row r="126" spans="1:18" ht="31.5" customHeight="1" x14ac:dyDescent="0.25">
      <c r="B126" s="62" t="s">
        <v>243</v>
      </c>
      <c r="C126" s="83" t="s">
        <v>11</v>
      </c>
      <c r="D126" s="178" t="s">
        <v>144</v>
      </c>
      <c r="E126" s="42">
        <v>2120144</v>
      </c>
      <c r="F126" s="42">
        <v>2120144</v>
      </c>
      <c r="G126" s="22">
        <f t="shared" si="20"/>
        <v>0</v>
      </c>
      <c r="H126" s="342"/>
      <c r="I126" s="42">
        <f>ROUND(F126,0)-650</f>
        <v>2119494</v>
      </c>
      <c r="J126" s="22">
        <f t="shared" si="21"/>
        <v>-650</v>
      </c>
      <c r="K126" s="342" t="s">
        <v>1463</v>
      </c>
      <c r="L126" s="42">
        <f>ROUND(I126,0)</f>
        <v>2119494</v>
      </c>
      <c r="M126" s="22">
        <f t="shared" si="22"/>
        <v>0</v>
      </c>
      <c r="N126" s="342"/>
      <c r="O126" s="257">
        <f>4937727.67-O132-O133</f>
        <v>879997.29</v>
      </c>
      <c r="P126" s="418">
        <f t="shared" si="23"/>
        <v>0.41519215907192947</v>
      </c>
      <c r="Q126" s="22"/>
    </row>
    <row r="127" spans="1:18" x14ac:dyDescent="0.25">
      <c r="B127" s="62" t="s">
        <v>244</v>
      </c>
      <c r="C127" s="83" t="s">
        <v>13</v>
      </c>
      <c r="D127" s="178" t="s">
        <v>145</v>
      </c>
      <c r="E127" s="42">
        <v>377185</v>
      </c>
      <c r="F127" s="42">
        <v>377185</v>
      </c>
      <c r="G127" s="22">
        <f t="shared" si="20"/>
        <v>0</v>
      </c>
      <c r="H127" s="315"/>
      <c r="I127" s="42">
        <f t="shared" ref="I127:I134" si="24">ROUND(F127,0)</f>
        <v>377185</v>
      </c>
      <c r="J127" s="22">
        <f t="shared" si="21"/>
        <v>0</v>
      </c>
      <c r="K127" s="315"/>
      <c r="L127" s="42">
        <f t="shared" ref="L127:L134" si="25">ROUND(I127,0)</f>
        <v>377185</v>
      </c>
      <c r="M127" s="22">
        <f t="shared" si="22"/>
        <v>0</v>
      </c>
      <c r="N127" s="315"/>
      <c r="O127" s="257">
        <v>137636.67000000001</v>
      </c>
      <c r="P127" s="418">
        <f t="shared" si="23"/>
        <v>0.36490494054641626</v>
      </c>
      <c r="Q127" s="22"/>
    </row>
    <row r="128" spans="1:18" ht="13.2" customHeight="1" x14ac:dyDescent="0.25">
      <c r="B128" s="62" t="s">
        <v>246</v>
      </c>
      <c r="C128" s="83" t="s">
        <v>146</v>
      </c>
      <c r="D128" s="178" t="s">
        <v>147</v>
      </c>
      <c r="E128" s="42">
        <v>62822</v>
      </c>
      <c r="F128" s="42">
        <v>62822</v>
      </c>
      <c r="G128" s="22">
        <f t="shared" si="20"/>
        <v>0</v>
      </c>
      <c r="H128" s="342"/>
      <c r="I128" s="42">
        <f t="shared" si="24"/>
        <v>62822</v>
      </c>
      <c r="J128" s="22">
        <f t="shared" si="21"/>
        <v>0</v>
      </c>
      <c r="K128" s="342"/>
      <c r="L128" s="42">
        <f t="shared" si="25"/>
        <v>62822</v>
      </c>
      <c r="M128" s="22">
        <f t="shared" si="22"/>
        <v>0</v>
      </c>
      <c r="N128" s="342"/>
      <c r="O128" s="257">
        <v>17515.5</v>
      </c>
      <c r="P128" s="418">
        <f t="shared" si="23"/>
        <v>0.27881156282830855</v>
      </c>
      <c r="Q128" s="22"/>
    </row>
    <row r="129" spans="2:17" ht="14.4" customHeight="1" x14ac:dyDescent="0.25">
      <c r="B129" s="62" t="s">
        <v>247</v>
      </c>
      <c r="C129" s="83" t="s">
        <v>148</v>
      </c>
      <c r="D129" s="178" t="s">
        <v>149</v>
      </c>
      <c r="E129" s="42">
        <v>45177</v>
      </c>
      <c r="F129" s="42">
        <v>45177</v>
      </c>
      <c r="G129" s="22">
        <f t="shared" si="20"/>
        <v>0</v>
      </c>
      <c r="H129" s="342"/>
      <c r="I129" s="42">
        <f t="shared" si="24"/>
        <v>45177</v>
      </c>
      <c r="J129" s="22">
        <f t="shared" si="21"/>
        <v>0</v>
      </c>
      <c r="K129" s="342"/>
      <c r="L129" s="42">
        <f t="shared" si="25"/>
        <v>45177</v>
      </c>
      <c r="M129" s="22">
        <f t="shared" si="22"/>
        <v>0</v>
      </c>
      <c r="N129" s="342"/>
      <c r="O129" s="257">
        <v>11124.85</v>
      </c>
      <c r="P129" s="418">
        <f t="shared" si="23"/>
        <v>0.24625030435841247</v>
      </c>
      <c r="Q129" s="22"/>
    </row>
    <row r="130" spans="2:17" ht="15.6" customHeight="1" x14ac:dyDescent="0.25">
      <c r="B130" s="62" t="s">
        <v>245</v>
      </c>
      <c r="C130" s="83" t="s">
        <v>150</v>
      </c>
      <c r="D130" s="178" t="s">
        <v>151</v>
      </c>
      <c r="E130" s="42">
        <v>88097</v>
      </c>
      <c r="F130" s="42">
        <v>88097</v>
      </c>
      <c r="G130" s="22">
        <f t="shared" si="20"/>
        <v>0</v>
      </c>
      <c r="H130" s="342"/>
      <c r="I130" s="42">
        <f t="shared" si="24"/>
        <v>88097</v>
      </c>
      <c r="J130" s="22">
        <f t="shared" si="21"/>
        <v>0</v>
      </c>
      <c r="K130" s="342"/>
      <c r="L130" s="42">
        <f t="shared" si="25"/>
        <v>88097</v>
      </c>
      <c r="M130" s="22">
        <f t="shared" si="22"/>
        <v>0</v>
      </c>
      <c r="N130" s="342"/>
      <c r="O130" s="257">
        <v>34772.1</v>
      </c>
      <c r="P130" s="418">
        <f t="shared" si="23"/>
        <v>0.39470243027571877</v>
      </c>
      <c r="Q130" s="22"/>
    </row>
    <row r="131" spans="2:17" ht="14.4" customHeight="1" x14ac:dyDescent="0.25">
      <c r="B131" s="62" t="s">
        <v>248</v>
      </c>
      <c r="C131" s="83" t="s">
        <v>152</v>
      </c>
      <c r="D131" s="178" t="s">
        <v>270</v>
      </c>
      <c r="E131" s="42">
        <v>33489</v>
      </c>
      <c r="F131" s="42">
        <v>33489</v>
      </c>
      <c r="G131" s="22">
        <f t="shared" si="20"/>
        <v>0</v>
      </c>
      <c r="H131" s="315"/>
      <c r="I131" s="42">
        <f t="shared" si="24"/>
        <v>33489</v>
      </c>
      <c r="J131" s="22">
        <f t="shared" si="21"/>
        <v>0</v>
      </c>
      <c r="K131" s="315"/>
      <c r="L131" s="42">
        <f t="shared" si="25"/>
        <v>33489</v>
      </c>
      <c r="M131" s="22">
        <f t="shared" si="22"/>
        <v>0</v>
      </c>
      <c r="N131" s="315"/>
      <c r="O131" s="257">
        <v>4611.24</v>
      </c>
      <c r="P131" s="418">
        <f t="shared" si="23"/>
        <v>0.1376941682343456</v>
      </c>
      <c r="Q131" s="22"/>
    </row>
    <row r="132" spans="2:17" ht="54" customHeight="1" x14ac:dyDescent="0.25">
      <c r="B132" s="62" t="s">
        <v>243</v>
      </c>
      <c r="C132" s="83" t="s">
        <v>153</v>
      </c>
      <c r="D132" s="178" t="s">
        <v>155</v>
      </c>
      <c r="E132" s="42">
        <v>2102431</v>
      </c>
      <c r="F132" s="42">
        <v>2102431</v>
      </c>
      <c r="G132" s="22">
        <f t="shared" si="20"/>
        <v>0</v>
      </c>
      <c r="H132" s="366"/>
      <c r="I132" s="42">
        <f t="shared" si="24"/>
        <v>2102431</v>
      </c>
      <c r="J132" s="22">
        <f t="shared" si="21"/>
        <v>0</v>
      </c>
      <c r="K132" s="366"/>
      <c r="L132" s="42">
        <f>ROUND(I132,0)-50000</f>
        <v>2052431</v>
      </c>
      <c r="M132" s="22">
        <f t="shared" si="22"/>
        <v>-50000</v>
      </c>
      <c r="N132" s="366" t="s">
        <v>1473</v>
      </c>
      <c r="O132" s="257">
        <v>944754.58</v>
      </c>
      <c r="P132" s="418">
        <f t="shared" si="23"/>
        <v>0.46031003234700701</v>
      </c>
      <c r="Q132" s="22"/>
    </row>
    <row r="133" spans="2:17" ht="13.95" customHeight="1" x14ac:dyDescent="0.25">
      <c r="B133" s="62" t="s">
        <v>243</v>
      </c>
      <c r="C133" s="83" t="s">
        <v>154</v>
      </c>
      <c r="D133" s="178" t="s">
        <v>156</v>
      </c>
      <c r="E133" s="42">
        <v>6917724</v>
      </c>
      <c r="F133" s="42">
        <v>6917724</v>
      </c>
      <c r="G133" s="22">
        <f t="shared" si="20"/>
        <v>0</v>
      </c>
      <c r="H133" s="315"/>
      <c r="I133" s="42">
        <f t="shared" si="24"/>
        <v>6917724</v>
      </c>
      <c r="J133" s="22">
        <f t="shared" si="21"/>
        <v>0</v>
      </c>
      <c r="K133" s="315"/>
      <c r="L133" s="42">
        <f t="shared" si="25"/>
        <v>6917724</v>
      </c>
      <c r="M133" s="22">
        <f t="shared" si="22"/>
        <v>0</v>
      </c>
      <c r="N133" s="315"/>
      <c r="O133" s="257">
        <v>3112975.8</v>
      </c>
      <c r="P133" s="418">
        <f t="shared" si="23"/>
        <v>0.44999999999999996</v>
      </c>
      <c r="Q133" s="22"/>
    </row>
    <row r="134" spans="2:17" ht="42" customHeight="1" x14ac:dyDescent="0.25">
      <c r="B134" s="62" t="s">
        <v>396</v>
      </c>
      <c r="C134" s="83" t="s">
        <v>339</v>
      </c>
      <c r="D134" s="178" t="s">
        <v>357</v>
      </c>
      <c r="E134" s="42">
        <v>517465</v>
      </c>
      <c r="F134" s="42">
        <v>517465</v>
      </c>
      <c r="G134" s="367">
        <f t="shared" si="20"/>
        <v>0</v>
      </c>
      <c r="H134" s="368"/>
      <c r="I134" s="42">
        <f t="shared" si="24"/>
        <v>517465</v>
      </c>
      <c r="J134" s="367">
        <f t="shared" si="21"/>
        <v>0</v>
      </c>
      <c r="K134" s="368"/>
      <c r="L134" s="42">
        <f t="shared" si="25"/>
        <v>517465</v>
      </c>
      <c r="M134" s="367">
        <f t="shared" si="22"/>
        <v>0</v>
      </c>
      <c r="N134" s="368"/>
      <c r="O134" s="257">
        <v>219839.63</v>
      </c>
      <c r="P134" s="418">
        <f t="shared" si="23"/>
        <v>0.42483961234093126</v>
      </c>
      <c r="Q134" s="22"/>
    </row>
    <row r="135" spans="2:17" ht="33.6" customHeight="1" collapsed="1" x14ac:dyDescent="0.25">
      <c r="B135" s="62" t="s">
        <v>250</v>
      </c>
      <c r="C135" s="84" t="s">
        <v>16</v>
      </c>
      <c r="D135" s="187" t="s">
        <v>158</v>
      </c>
      <c r="E135" s="277">
        <v>1114238</v>
      </c>
      <c r="F135" s="277">
        <v>1114238</v>
      </c>
      <c r="G135" s="17">
        <f t="shared" si="20"/>
        <v>0</v>
      </c>
      <c r="H135" s="334"/>
      <c r="I135" s="277">
        <f>ROUND(F135,0)+15586</f>
        <v>1129824</v>
      </c>
      <c r="J135" s="17">
        <f t="shared" si="21"/>
        <v>15586</v>
      </c>
      <c r="K135" s="334" t="s">
        <v>1458</v>
      </c>
      <c r="L135" s="277">
        <f>ROUND(I135,0)</f>
        <v>1129824</v>
      </c>
      <c r="M135" s="17">
        <f t="shared" si="22"/>
        <v>0</v>
      </c>
      <c r="N135" s="334"/>
      <c r="O135" s="258">
        <v>436277.61</v>
      </c>
      <c r="P135" s="432">
        <f t="shared" si="23"/>
        <v>0.38614652370634717</v>
      </c>
      <c r="Q135" s="445"/>
    </row>
    <row r="136" spans="2:17" s="23" customFormat="1" ht="16.95" customHeight="1" x14ac:dyDescent="0.25">
      <c r="C136" s="84" t="s">
        <v>24</v>
      </c>
      <c r="D136" s="187" t="s">
        <v>416</v>
      </c>
      <c r="E136" s="277">
        <v>646058</v>
      </c>
      <c r="F136" s="277">
        <v>646058</v>
      </c>
      <c r="G136" s="17">
        <f t="shared" si="20"/>
        <v>0</v>
      </c>
      <c r="H136" s="334"/>
      <c r="I136" s="277">
        <f>I137+I140</f>
        <v>646058</v>
      </c>
      <c r="J136" s="17">
        <f t="shared" si="21"/>
        <v>0</v>
      </c>
      <c r="K136" s="334"/>
      <c r="L136" s="277">
        <f>L137+L140</f>
        <v>646058</v>
      </c>
      <c r="M136" s="17">
        <f t="shared" si="22"/>
        <v>0</v>
      </c>
      <c r="N136" s="334"/>
      <c r="O136" s="258">
        <f>O137+O140</f>
        <v>299589.11</v>
      </c>
      <c r="P136" s="432">
        <f t="shared" si="23"/>
        <v>0.46371859802061111</v>
      </c>
      <c r="Q136" s="17"/>
    </row>
    <row r="137" spans="2:17" x14ac:dyDescent="0.25">
      <c r="B137" s="62" t="s">
        <v>249</v>
      </c>
      <c r="C137" s="83" t="s">
        <v>27</v>
      </c>
      <c r="D137" s="178" t="s">
        <v>159</v>
      </c>
      <c r="E137" s="42">
        <v>200531</v>
      </c>
      <c r="F137" s="42">
        <v>200531</v>
      </c>
      <c r="G137" s="22">
        <f t="shared" si="20"/>
        <v>0</v>
      </c>
      <c r="H137" s="22"/>
      <c r="I137" s="42">
        <f>SUM(I138:I139)</f>
        <v>200531</v>
      </c>
      <c r="J137" s="22">
        <f t="shared" si="21"/>
        <v>0</v>
      </c>
      <c r="K137" s="22"/>
      <c r="L137" s="42">
        <f>SUM(L138:L139)</f>
        <v>200531</v>
      </c>
      <c r="M137" s="22">
        <f t="shared" si="22"/>
        <v>0</v>
      </c>
      <c r="N137" s="22"/>
      <c r="O137" s="257">
        <f>SUM(O138:O139)</f>
        <v>79828.11</v>
      </c>
      <c r="P137" s="418">
        <f t="shared" si="23"/>
        <v>0.39808363794126594</v>
      </c>
      <c r="Q137" s="22"/>
    </row>
    <row r="138" spans="2:17" ht="15.75" customHeight="1" x14ac:dyDescent="0.25">
      <c r="B138" s="62" t="s">
        <v>249</v>
      </c>
      <c r="C138" s="85" t="s">
        <v>1309</v>
      </c>
      <c r="D138" s="176" t="s">
        <v>432</v>
      </c>
      <c r="E138" s="243">
        <v>166223</v>
      </c>
      <c r="F138" s="243">
        <v>166223</v>
      </c>
      <c r="G138" s="57">
        <f t="shared" si="20"/>
        <v>0</v>
      </c>
      <c r="H138" s="335"/>
      <c r="I138" s="243">
        <f>ROUND(F138,0)-587</f>
        <v>165636</v>
      </c>
      <c r="J138" s="57">
        <f t="shared" si="21"/>
        <v>-587</v>
      </c>
      <c r="K138" s="535" t="s">
        <v>1457</v>
      </c>
      <c r="L138" s="243">
        <f>ROUND(I138,0)</f>
        <v>165636</v>
      </c>
      <c r="M138" s="57">
        <f t="shared" si="22"/>
        <v>0</v>
      </c>
      <c r="N138" s="535"/>
      <c r="O138" s="252">
        <v>63004.05</v>
      </c>
      <c r="P138" s="405">
        <f t="shared" si="23"/>
        <v>0.38037654857639647</v>
      </c>
      <c r="Q138" s="16"/>
    </row>
    <row r="139" spans="2:17" ht="15.6" customHeight="1" x14ac:dyDescent="0.25">
      <c r="B139" s="62"/>
      <c r="C139" s="85" t="s">
        <v>1310</v>
      </c>
      <c r="D139" s="203" t="s">
        <v>509</v>
      </c>
      <c r="E139" s="278">
        <v>34308</v>
      </c>
      <c r="F139" s="243">
        <v>34308</v>
      </c>
      <c r="G139" s="57">
        <f t="shared" si="20"/>
        <v>0</v>
      </c>
      <c r="H139" s="323"/>
      <c r="I139" s="243">
        <f>ROUND(F139,0)+587</f>
        <v>34895</v>
      </c>
      <c r="J139" s="57">
        <f t="shared" si="21"/>
        <v>587</v>
      </c>
      <c r="K139" s="536"/>
      <c r="L139" s="243">
        <f>ROUND(I139,0)</f>
        <v>34895</v>
      </c>
      <c r="M139" s="57">
        <f t="shared" si="22"/>
        <v>0</v>
      </c>
      <c r="N139" s="536"/>
      <c r="O139" s="252">
        <v>16824.060000000001</v>
      </c>
      <c r="P139" s="420">
        <f t="shared" si="23"/>
        <v>0.48213383006161342</v>
      </c>
      <c r="Q139" s="96"/>
    </row>
    <row r="140" spans="2:17" x14ac:dyDescent="0.25">
      <c r="B140" s="62" t="s">
        <v>456</v>
      </c>
      <c r="C140" s="83" t="s">
        <v>30</v>
      </c>
      <c r="D140" s="180" t="s">
        <v>340</v>
      </c>
      <c r="E140" s="42">
        <v>445527</v>
      </c>
      <c r="F140" s="42">
        <v>445527</v>
      </c>
      <c r="G140" s="97">
        <f t="shared" si="20"/>
        <v>0</v>
      </c>
      <c r="H140" s="369"/>
      <c r="I140" s="42">
        <f>ROUND(F140,0)</f>
        <v>445527</v>
      </c>
      <c r="J140" s="97">
        <f t="shared" si="21"/>
        <v>0</v>
      </c>
      <c r="K140" s="369"/>
      <c r="L140" s="42">
        <f>ROUND(I140,0)</f>
        <v>445527</v>
      </c>
      <c r="M140" s="97">
        <f t="shared" si="22"/>
        <v>0</v>
      </c>
      <c r="N140" s="369"/>
      <c r="O140" s="257">
        <v>219761</v>
      </c>
      <c r="P140" s="418">
        <f t="shared" si="23"/>
        <v>0.49326079003068274</v>
      </c>
      <c r="Q140" s="22" t="s">
        <v>728</v>
      </c>
    </row>
    <row r="141" spans="2:17" x14ac:dyDescent="0.25">
      <c r="C141" s="84" t="s">
        <v>32</v>
      </c>
      <c r="D141" s="187" t="s">
        <v>427</v>
      </c>
      <c r="E141" s="277">
        <v>225687</v>
      </c>
      <c r="F141" s="277">
        <v>225687</v>
      </c>
      <c r="G141" s="17">
        <f t="shared" si="20"/>
        <v>0</v>
      </c>
      <c r="H141" s="329"/>
      <c r="I141" s="277">
        <f>I142</f>
        <v>225687</v>
      </c>
      <c r="J141" s="17">
        <f t="shared" si="21"/>
        <v>0</v>
      </c>
      <c r="K141" s="329"/>
      <c r="L141" s="277">
        <f>L142</f>
        <v>225687</v>
      </c>
      <c r="M141" s="17">
        <f t="shared" si="22"/>
        <v>0</v>
      </c>
      <c r="N141" s="329"/>
      <c r="O141" s="258">
        <f>O142</f>
        <v>10833.68</v>
      </c>
      <c r="P141" s="432">
        <f t="shared" si="23"/>
        <v>4.8003119364429497E-2</v>
      </c>
      <c r="Q141" s="17"/>
    </row>
    <row r="142" spans="2:17" ht="16.2" customHeight="1" x14ac:dyDescent="0.25">
      <c r="B142" s="62" t="s">
        <v>455</v>
      </c>
      <c r="C142" s="83" t="s">
        <v>35</v>
      </c>
      <c r="D142" s="178" t="s">
        <v>426</v>
      </c>
      <c r="E142" s="42">
        <v>225687</v>
      </c>
      <c r="F142" s="42">
        <v>225687</v>
      </c>
      <c r="G142" s="22">
        <f t="shared" si="20"/>
        <v>0</v>
      </c>
      <c r="H142" s="342"/>
      <c r="I142" s="42">
        <f>ROUND(F142,0)</f>
        <v>225687</v>
      </c>
      <c r="J142" s="22">
        <f t="shared" si="21"/>
        <v>0</v>
      </c>
      <c r="K142" s="342"/>
      <c r="L142" s="42">
        <f>ROUND(I142,0)</f>
        <v>225687</v>
      </c>
      <c r="M142" s="22">
        <f t="shared" si="22"/>
        <v>0</v>
      </c>
      <c r="N142" s="342"/>
      <c r="O142" s="257">
        <v>10833.68</v>
      </c>
      <c r="P142" s="418">
        <f t="shared" si="23"/>
        <v>4.8003119364429497E-2</v>
      </c>
      <c r="Q142" s="22" t="s">
        <v>879</v>
      </c>
    </row>
    <row r="143" spans="2:17" ht="27.6" x14ac:dyDescent="0.25">
      <c r="C143" s="84" t="s">
        <v>38</v>
      </c>
      <c r="D143" s="187" t="s">
        <v>160</v>
      </c>
      <c r="E143" s="277">
        <v>18129422</v>
      </c>
      <c r="F143" s="277">
        <v>18123822</v>
      </c>
      <c r="G143" s="17">
        <f t="shared" si="20"/>
        <v>-5600</v>
      </c>
      <c r="H143" s="17"/>
      <c r="I143" s="277">
        <f>I144+I145+I146+I147+I148+I162</f>
        <v>17992555</v>
      </c>
      <c r="J143" s="17">
        <f t="shared" si="21"/>
        <v>-131267</v>
      </c>
      <c r="K143" s="17"/>
      <c r="L143" s="277">
        <f>L144+L145+L146+L147+L148+L162</f>
        <v>18000055</v>
      </c>
      <c r="M143" s="17">
        <f t="shared" si="22"/>
        <v>7500</v>
      </c>
      <c r="N143" s="17"/>
      <c r="O143" s="258">
        <f>O144+O145+O146+O147+O148+O162</f>
        <v>3141399.7199999997</v>
      </c>
      <c r="P143" s="432">
        <f t="shared" si="23"/>
        <v>0.17452167340599792</v>
      </c>
      <c r="Q143" s="17"/>
    </row>
    <row r="144" spans="2:17" ht="15.6" customHeight="1" x14ac:dyDescent="0.25">
      <c r="B144" s="62" t="s">
        <v>251</v>
      </c>
      <c r="C144" s="83" t="s">
        <v>161</v>
      </c>
      <c r="D144" s="192" t="s">
        <v>157</v>
      </c>
      <c r="E144" s="287">
        <v>70000</v>
      </c>
      <c r="F144" s="42">
        <v>70000</v>
      </c>
      <c r="G144" s="22">
        <f t="shared" si="20"/>
        <v>0</v>
      </c>
      <c r="H144" s="315"/>
      <c r="I144" s="42">
        <f>ROUND(F144,0)</f>
        <v>70000</v>
      </c>
      <c r="J144" s="22">
        <f t="shared" si="21"/>
        <v>0</v>
      </c>
      <c r="K144" s="315"/>
      <c r="L144" s="42">
        <f>ROUND(I144,0)</f>
        <v>70000</v>
      </c>
      <c r="M144" s="22">
        <f t="shared" si="22"/>
        <v>0</v>
      </c>
      <c r="N144" s="315"/>
      <c r="O144" s="257">
        <v>0</v>
      </c>
      <c r="P144" s="418">
        <f t="shared" si="23"/>
        <v>0</v>
      </c>
      <c r="Q144" s="446"/>
    </row>
    <row r="145" spans="2:17" ht="15.6" customHeight="1" x14ac:dyDescent="0.25">
      <c r="B145" s="62" t="s">
        <v>1307</v>
      </c>
      <c r="C145" s="83" t="s">
        <v>163</v>
      </c>
      <c r="D145" s="265" t="s">
        <v>1291</v>
      </c>
      <c r="E145" s="299">
        <v>52568</v>
      </c>
      <c r="F145" s="301">
        <v>52568</v>
      </c>
      <c r="G145" s="257">
        <f t="shared" si="20"/>
        <v>0</v>
      </c>
      <c r="H145" s="370"/>
      <c r="I145" s="301">
        <f>ROUND(F145,0)</f>
        <v>52568</v>
      </c>
      <c r="J145" s="257">
        <f t="shared" si="21"/>
        <v>0</v>
      </c>
      <c r="K145" s="370"/>
      <c r="L145" s="301">
        <f>ROUND(I145,0)</f>
        <v>52568</v>
      </c>
      <c r="M145" s="257">
        <f t="shared" si="22"/>
        <v>0</v>
      </c>
      <c r="N145" s="370"/>
      <c r="O145" s="257">
        <v>0</v>
      </c>
      <c r="P145" s="447">
        <f t="shared" si="23"/>
        <v>0</v>
      </c>
      <c r="Q145" s="448"/>
    </row>
    <row r="146" spans="2:17" ht="15" customHeight="1" x14ac:dyDescent="0.25">
      <c r="B146" s="62" t="s">
        <v>496</v>
      </c>
      <c r="C146" s="83" t="s">
        <v>165</v>
      </c>
      <c r="D146" s="192" t="s">
        <v>162</v>
      </c>
      <c r="E146" s="287">
        <v>333393</v>
      </c>
      <c r="F146" s="287">
        <v>333393</v>
      </c>
      <c r="G146" s="28">
        <f t="shared" si="20"/>
        <v>0</v>
      </c>
      <c r="H146" s="342"/>
      <c r="I146" s="287">
        <f>ROUND(F146,0)</f>
        <v>333393</v>
      </c>
      <c r="J146" s="28">
        <f t="shared" si="21"/>
        <v>0</v>
      </c>
      <c r="K146" s="342"/>
      <c r="L146" s="287">
        <f>ROUND(I146,0)</f>
        <v>333393</v>
      </c>
      <c r="M146" s="28">
        <f t="shared" si="22"/>
        <v>0</v>
      </c>
      <c r="N146" s="342"/>
      <c r="O146" s="415">
        <v>132971.01</v>
      </c>
      <c r="P146" s="449">
        <f t="shared" si="23"/>
        <v>0.39884163734691491</v>
      </c>
      <c r="Q146" s="446"/>
    </row>
    <row r="147" spans="2:17" ht="15" customHeight="1" x14ac:dyDescent="0.25">
      <c r="B147" s="62" t="s">
        <v>508</v>
      </c>
      <c r="C147" s="83" t="s">
        <v>167</v>
      </c>
      <c r="D147" s="192" t="s">
        <v>400</v>
      </c>
      <c r="E147" s="287">
        <v>334779</v>
      </c>
      <c r="F147" s="287">
        <v>334779</v>
      </c>
      <c r="G147" s="108">
        <f t="shared" si="20"/>
        <v>0</v>
      </c>
      <c r="H147" s="371"/>
      <c r="I147" s="287">
        <f>ROUND(F147,0)</f>
        <v>334779</v>
      </c>
      <c r="J147" s="108">
        <f t="shared" si="21"/>
        <v>0</v>
      </c>
      <c r="K147" s="371"/>
      <c r="L147" s="287">
        <f>ROUND(I147,0)</f>
        <v>334779</v>
      </c>
      <c r="M147" s="108">
        <f t="shared" si="22"/>
        <v>0</v>
      </c>
      <c r="N147" s="371"/>
      <c r="O147" s="415">
        <v>137448.12</v>
      </c>
      <c r="P147" s="449">
        <f t="shared" si="23"/>
        <v>0.41056374503777116</v>
      </c>
      <c r="Q147" s="446"/>
    </row>
    <row r="148" spans="2:17" x14ac:dyDescent="0.25">
      <c r="C148" s="83" t="s">
        <v>393</v>
      </c>
      <c r="D148" s="192" t="s">
        <v>401</v>
      </c>
      <c r="E148" s="287">
        <v>8401067</v>
      </c>
      <c r="F148" s="287">
        <v>8401067</v>
      </c>
      <c r="G148" s="28">
        <f t="shared" si="20"/>
        <v>0</v>
      </c>
      <c r="H148" s="28"/>
      <c r="I148" s="287">
        <f>SUM(I149:I161)</f>
        <v>8461055</v>
      </c>
      <c r="J148" s="28">
        <f t="shared" si="21"/>
        <v>59988</v>
      </c>
      <c r="K148" s="28"/>
      <c r="L148" s="287">
        <f>SUM(L149:L161)</f>
        <v>8468555</v>
      </c>
      <c r="M148" s="28">
        <f t="shared" si="22"/>
        <v>7500</v>
      </c>
      <c r="N148" s="28"/>
      <c r="O148" s="415">
        <f>SUM(O149:O161)</f>
        <v>378761.3</v>
      </c>
      <c r="P148" s="449">
        <f t="shared" si="23"/>
        <v>4.4725611394151654E-2</v>
      </c>
      <c r="Q148" s="28"/>
    </row>
    <row r="149" spans="2:17" ht="30.75" customHeight="1" x14ac:dyDescent="0.25">
      <c r="B149" s="62" t="s">
        <v>252</v>
      </c>
      <c r="C149" s="85" t="s">
        <v>1311</v>
      </c>
      <c r="D149" s="174" t="s">
        <v>164</v>
      </c>
      <c r="E149" s="243">
        <v>524909</v>
      </c>
      <c r="F149" s="243">
        <v>522909</v>
      </c>
      <c r="G149" s="16">
        <f t="shared" si="20"/>
        <v>-2000</v>
      </c>
      <c r="H149" s="313" t="s">
        <v>1433</v>
      </c>
      <c r="I149" s="243">
        <f t="shared" ref="I149:I161" si="26">ROUND(F149,0)</f>
        <v>522909</v>
      </c>
      <c r="J149" s="16">
        <f t="shared" si="21"/>
        <v>0</v>
      </c>
      <c r="K149" s="313"/>
      <c r="L149" s="243">
        <f>ROUND(I149,0)+7500</f>
        <v>530409</v>
      </c>
      <c r="M149" s="16">
        <f t="shared" si="22"/>
        <v>7500</v>
      </c>
      <c r="N149" s="313" t="s">
        <v>1482</v>
      </c>
      <c r="O149" s="252">
        <f>163663.3+423-O158</f>
        <v>163886.29999999999</v>
      </c>
      <c r="P149" s="434">
        <f t="shared" si="23"/>
        <v>0.30898099391224504</v>
      </c>
      <c r="Q149" s="450"/>
    </row>
    <row r="150" spans="2:17" ht="18.600000000000001" customHeight="1" x14ac:dyDescent="0.25">
      <c r="B150" s="62" t="s">
        <v>514</v>
      </c>
      <c r="C150" s="85" t="s">
        <v>1312</v>
      </c>
      <c r="D150" s="174" t="s">
        <v>342</v>
      </c>
      <c r="E150" s="282">
        <v>40000</v>
      </c>
      <c r="F150" s="282">
        <v>40000</v>
      </c>
      <c r="G150" s="57">
        <f t="shared" si="20"/>
        <v>0</v>
      </c>
      <c r="H150" s="372"/>
      <c r="I150" s="282">
        <f t="shared" si="26"/>
        <v>40000</v>
      </c>
      <c r="J150" s="57">
        <f t="shared" si="21"/>
        <v>0</v>
      </c>
      <c r="K150" s="372"/>
      <c r="L150" s="282">
        <f t="shared" ref="L150:L152" si="27">ROUND(I150,0)</f>
        <v>40000</v>
      </c>
      <c r="M150" s="57">
        <f t="shared" si="22"/>
        <v>0</v>
      </c>
      <c r="N150" s="372"/>
      <c r="O150" s="550">
        <v>49380.32</v>
      </c>
      <c r="P150" s="542">
        <f>O150/(L150+L151)</f>
        <v>0.92472509363295885</v>
      </c>
      <c r="Q150" s="57"/>
    </row>
    <row r="151" spans="2:17" ht="30" customHeight="1" x14ac:dyDescent="0.25">
      <c r="B151" s="62" t="s">
        <v>514</v>
      </c>
      <c r="C151" s="85" t="s">
        <v>1313</v>
      </c>
      <c r="D151" s="198" t="s">
        <v>510</v>
      </c>
      <c r="E151" s="278">
        <v>11400</v>
      </c>
      <c r="F151" s="282">
        <v>13400</v>
      </c>
      <c r="G151" s="57">
        <f t="shared" si="20"/>
        <v>2000</v>
      </c>
      <c r="H151" s="313" t="s">
        <v>1433</v>
      </c>
      <c r="I151" s="282">
        <f t="shared" si="26"/>
        <v>13400</v>
      </c>
      <c r="J151" s="57">
        <f t="shared" si="21"/>
        <v>0</v>
      </c>
      <c r="K151" s="313"/>
      <c r="L151" s="282">
        <f t="shared" si="27"/>
        <v>13400</v>
      </c>
      <c r="M151" s="57">
        <f t="shared" si="22"/>
        <v>0</v>
      </c>
      <c r="N151" s="313"/>
      <c r="O151" s="551"/>
      <c r="P151" s="543">
        <f t="shared" ref="P151" si="28">O151/F151</f>
        <v>0</v>
      </c>
      <c r="Q151" s="96"/>
    </row>
    <row r="152" spans="2:17" ht="28.2" customHeight="1" x14ac:dyDescent="0.25">
      <c r="B152" s="62" t="s">
        <v>684</v>
      </c>
      <c r="C152" s="110" t="s">
        <v>1314</v>
      </c>
      <c r="D152" s="485" t="s">
        <v>682</v>
      </c>
      <c r="E152" s="243">
        <v>49346</v>
      </c>
      <c r="F152" s="243">
        <v>49346</v>
      </c>
      <c r="G152" s="16">
        <f t="shared" si="20"/>
        <v>0</v>
      </c>
      <c r="H152" s="313"/>
      <c r="I152" s="486">
        <f t="shared" si="26"/>
        <v>49346</v>
      </c>
      <c r="J152" s="16">
        <f t="shared" si="21"/>
        <v>0</v>
      </c>
      <c r="K152" s="313"/>
      <c r="L152" s="486">
        <f t="shared" si="27"/>
        <v>49346</v>
      </c>
      <c r="M152" s="16">
        <f t="shared" si="22"/>
        <v>0</v>
      </c>
      <c r="N152" s="313"/>
      <c r="O152" s="252">
        <v>544.5</v>
      </c>
      <c r="P152" s="405">
        <f t="shared" ref="P152:P198" si="29">O152/L152</f>
        <v>1.1034329023629068E-2</v>
      </c>
      <c r="Q152" s="16" t="s">
        <v>729</v>
      </c>
    </row>
    <row r="153" spans="2:17" ht="46.2" customHeight="1" x14ac:dyDescent="0.25">
      <c r="B153" s="62" t="s">
        <v>457</v>
      </c>
      <c r="C153" s="111" t="s">
        <v>1315</v>
      </c>
      <c r="D153" s="487" t="s">
        <v>407</v>
      </c>
      <c r="E153" s="243">
        <v>985558</v>
      </c>
      <c r="F153" s="243">
        <v>985558</v>
      </c>
      <c r="G153" s="96">
        <f t="shared" si="20"/>
        <v>0</v>
      </c>
      <c r="H153" s="373"/>
      <c r="I153" s="486">
        <f>ROUND(F153,0)+59988</f>
        <v>1045546</v>
      </c>
      <c r="J153" s="96">
        <f t="shared" si="21"/>
        <v>59988</v>
      </c>
      <c r="K153" s="488" t="s">
        <v>1465</v>
      </c>
      <c r="L153" s="486">
        <f>ROUND(I153,0)</f>
        <v>1045546</v>
      </c>
      <c r="M153" s="96">
        <f t="shared" si="22"/>
        <v>0</v>
      </c>
      <c r="N153" s="488"/>
      <c r="O153" s="252">
        <v>58031.85</v>
      </c>
      <c r="P153" s="405">
        <f t="shared" si="29"/>
        <v>5.5503870704875731E-2</v>
      </c>
      <c r="Q153" s="16" t="s">
        <v>729</v>
      </c>
    </row>
    <row r="154" spans="2:17" ht="28.95" customHeight="1" x14ac:dyDescent="0.25">
      <c r="B154" s="62" t="s">
        <v>458</v>
      </c>
      <c r="C154" s="110" t="s">
        <v>1316</v>
      </c>
      <c r="D154" s="487" t="s">
        <v>408</v>
      </c>
      <c r="E154" s="243">
        <v>4425220</v>
      </c>
      <c r="F154" s="243">
        <v>4425220</v>
      </c>
      <c r="G154" s="96">
        <f t="shared" si="20"/>
        <v>0</v>
      </c>
      <c r="H154" s="373"/>
      <c r="I154" s="243">
        <f t="shared" si="26"/>
        <v>4425220</v>
      </c>
      <c r="J154" s="96">
        <f t="shared" si="21"/>
        <v>0</v>
      </c>
      <c r="K154" s="373"/>
      <c r="L154" s="243">
        <f t="shared" ref="L154:L161" si="30">ROUND(I154,0)</f>
        <v>4425220</v>
      </c>
      <c r="M154" s="96">
        <f t="shared" si="22"/>
        <v>0</v>
      </c>
      <c r="N154" s="373"/>
      <c r="O154" s="252">
        <v>32025.34</v>
      </c>
      <c r="P154" s="405">
        <f t="shared" si="29"/>
        <v>7.2370051658448616E-3</v>
      </c>
      <c r="Q154" s="16"/>
    </row>
    <row r="155" spans="2:17" ht="42.75" customHeight="1" x14ac:dyDescent="0.25">
      <c r="B155" s="62" t="s">
        <v>881</v>
      </c>
      <c r="C155" s="110" t="s">
        <v>1317</v>
      </c>
      <c r="D155" s="188" t="s">
        <v>1300</v>
      </c>
      <c r="E155" s="243">
        <v>34550</v>
      </c>
      <c r="F155" s="243">
        <v>34550</v>
      </c>
      <c r="G155" s="48">
        <f t="shared" si="20"/>
        <v>0</v>
      </c>
      <c r="H155" s="352"/>
      <c r="I155" s="243">
        <f t="shared" si="26"/>
        <v>34550</v>
      </c>
      <c r="J155" s="48">
        <f t="shared" si="21"/>
        <v>0</v>
      </c>
      <c r="K155" s="352"/>
      <c r="L155" s="243">
        <f t="shared" si="30"/>
        <v>34550</v>
      </c>
      <c r="M155" s="48">
        <f t="shared" si="22"/>
        <v>0</v>
      </c>
      <c r="N155" s="352"/>
      <c r="O155" s="252">
        <v>0</v>
      </c>
      <c r="P155" s="405">
        <f t="shared" si="29"/>
        <v>0</v>
      </c>
      <c r="Q155" s="16" t="s">
        <v>729</v>
      </c>
    </row>
    <row r="156" spans="2:17" ht="33.75" customHeight="1" x14ac:dyDescent="0.25">
      <c r="B156" s="62" t="s">
        <v>1390</v>
      </c>
      <c r="C156" s="110" t="s">
        <v>1318</v>
      </c>
      <c r="D156" s="491" t="s">
        <v>1391</v>
      </c>
      <c r="E156" s="289">
        <v>950824</v>
      </c>
      <c r="F156" s="243">
        <v>950824</v>
      </c>
      <c r="G156" s="48">
        <f t="shared" si="20"/>
        <v>0</v>
      </c>
      <c r="H156" s="314"/>
      <c r="I156" s="243">
        <f t="shared" si="26"/>
        <v>950824</v>
      </c>
      <c r="J156" s="48">
        <f t="shared" si="21"/>
        <v>0</v>
      </c>
      <c r="K156" s="314"/>
      <c r="L156" s="243">
        <f t="shared" si="30"/>
        <v>950824</v>
      </c>
      <c r="M156" s="48">
        <f t="shared" si="22"/>
        <v>0</v>
      </c>
      <c r="N156" s="314"/>
      <c r="O156" s="252">
        <v>15590.85</v>
      </c>
      <c r="P156" s="442">
        <f t="shared" si="29"/>
        <v>1.6397198640337222E-2</v>
      </c>
      <c r="Q156" s="123"/>
    </row>
    <row r="157" spans="2:17" ht="27.75" customHeight="1" x14ac:dyDescent="0.25">
      <c r="B157" s="62" t="s">
        <v>1301</v>
      </c>
      <c r="C157" s="110" t="s">
        <v>1319</v>
      </c>
      <c r="D157" s="491" t="s">
        <v>815</v>
      </c>
      <c r="E157" s="289">
        <v>138477</v>
      </c>
      <c r="F157" s="243">
        <v>138477</v>
      </c>
      <c r="G157" s="48">
        <f t="shared" si="20"/>
        <v>0</v>
      </c>
      <c r="H157" s="314"/>
      <c r="I157" s="243">
        <f t="shared" si="26"/>
        <v>138477</v>
      </c>
      <c r="J157" s="48">
        <f t="shared" si="21"/>
        <v>0</v>
      </c>
      <c r="K157" s="314"/>
      <c r="L157" s="243">
        <f t="shared" si="30"/>
        <v>138477</v>
      </c>
      <c r="M157" s="48">
        <f t="shared" si="22"/>
        <v>0</v>
      </c>
      <c r="N157" s="314"/>
      <c r="O157" s="252">
        <v>33033.120000000003</v>
      </c>
      <c r="P157" s="442">
        <f t="shared" si="29"/>
        <v>0.23854589570831258</v>
      </c>
      <c r="Q157" s="123"/>
    </row>
    <row r="158" spans="2:17" ht="62.25" customHeight="1" x14ac:dyDescent="0.25">
      <c r="B158" s="62" t="s">
        <v>252</v>
      </c>
      <c r="C158" s="110" t="s">
        <v>1320</v>
      </c>
      <c r="D158" s="190" t="s">
        <v>819</v>
      </c>
      <c r="E158" s="289">
        <v>3200</v>
      </c>
      <c r="F158" s="243">
        <v>3200</v>
      </c>
      <c r="G158" s="48">
        <f t="shared" si="20"/>
        <v>0</v>
      </c>
      <c r="H158" s="314"/>
      <c r="I158" s="243">
        <f t="shared" si="26"/>
        <v>3200</v>
      </c>
      <c r="J158" s="48">
        <f t="shared" si="21"/>
        <v>0</v>
      </c>
      <c r="K158" s="314"/>
      <c r="L158" s="243">
        <f t="shared" si="30"/>
        <v>3200</v>
      </c>
      <c r="M158" s="48">
        <f t="shared" si="22"/>
        <v>0</v>
      </c>
      <c r="N158" s="314"/>
      <c r="O158" s="252">
        <v>200</v>
      </c>
      <c r="P158" s="442">
        <f t="shared" si="29"/>
        <v>6.25E-2</v>
      </c>
      <c r="Q158" s="123"/>
    </row>
    <row r="159" spans="2:17" ht="16.95" customHeight="1" x14ac:dyDescent="0.25">
      <c r="B159" s="62" t="s">
        <v>808</v>
      </c>
      <c r="C159" s="110" t="s">
        <v>1321</v>
      </c>
      <c r="D159" s="491" t="s">
        <v>809</v>
      </c>
      <c r="E159" s="289">
        <v>434122</v>
      </c>
      <c r="F159" s="243">
        <v>434122</v>
      </c>
      <c r="G159" s="48">
        <f t="shared" si="20"/>
        <v>0</v>
      </c>
      <c r="H159" s="314"/>
      <c r="I159" s="243">
        <f t="shared" si="26"/>
        <v>434122</v>
      </c>
      <c r="J159" s="48">
        <f t="shared" si="21"/>
        <v>0</v>
      </c>
      <c r="K159" s="314"/>
      <c r="L159" s="243">
        <f t="shared" si="30"/>
        <v>434122</v>
      </c>
      <c r="M159" s="48">
        <f t="shared" si="22"/>
        <v>0</v>
      </c>
      <c r="N159" s="314"/>
      <c r="O159" s="252">
        <v>24254.02</v>
      </c>
      <c r="P159" s="405">
        <f t="shared" si="29"/>
        <v>5.5869133561533398E-2</v>
      </c>
      <c r="Q159" s="123"/>
    </row>
    <row r="160" spans="2:17" ht="30" customHeight="1" x14ac:dyDescent="0.25">
      <c r="B160" s="62" t="s">
        <v>1412</v>
      </c>
      <c r="C160" s="110" t="s">
        <v>1322</v>
      </c>
      <c r="D160" s="190" t="s">
        <v>1396</v>
      </c>
      <c r="E160" s="289">
        <v>416333</v>
      </c>
      <c r="F160" s="243">
        <v>416333</v>
      </c>
      <c r="G160" s="48">
        <f t="shared" si="20"/>
        <v>0</v>
      </c>
      <c r="H160" s="314"/>
      <c r="I160" s="243">
        <f t="shared" si="26"/>
        <v>416333</v>
      </c>
      <c r="J160" s="48">
        <f t="shared" si="21"/>
        <v>0</v>
      </c>
      <c r="K160" s="314"/>
      <c r="L160" s="243">
        <f t="shared" si="30"/>
        <v>416333</v>
      </c>
      <c r="M160" s="48">
        <f t="shared" si="22"/>
        <v>0</v>
      </c>
      <c r="N160" s="314"/>
      <c r="O160" s="252">
        <v>1815</v>
      </c>
      <c r="P160" s="442">
        <f t="shared" si="29"/>
        <v>4.3594910804572303E-3</v>
      </c>
      <c r="Q160" s="123"/>
    </row>
    <row r="161" spans="2:17" ht="16.5" customHeight="1" x14ac:dyDescent="0.25">
      <c r="B161" s="62" t="s">
        <v>1285</v>
      </c>
      <c r="C161" s="110" t="s">
        <v>1323</v>
      </c>
      <c r="D161" s="189" t="s">
        <v>810</v>
      </c>
      <c r="E161" s="282">
        <v>387128</v>
      </c>
      <c r="F161" s="243">
        <v>387128</v>
      </c>
      <c r="G161" s="57">
        <f t="shared" si="20"/>
        <v>0</v>
      </c>
      <c r="H161" s="372"/>
      <c r="I161" s="243">
        <f t="shared" si="26"/>
        <v>387128</v>
      </c>
      <c r="J161" s="57">
        <f t="shared" si="21"/>
        <v>0</v>
      </c>
      <c r="K161" s="372"/>
      <c r="L161" s="243">
        <f t="shared" si="30"/>
        <v>387128</v>
      </c>
      <c r="M161" s="57">
        <f t="shared" si="22"/>
        <v>0</v>
      </c>
      <c r="N161" s="372"/>
      <c r="O161" s="252">
        <v>0</v>
      </c>
      <c r="P161" s="407">
        <f t="shared" si="29"/>
        <v>0</v>
      </c>
      <c r="Q161" s="57"/>
    </row>
    <row r="162" spans="2:17" ht="29.25" customHeight="1" x14ac:dyDescent="0.25">
      <c r="C162" s="83" t="s">
        <v>269</v>
      </c>
      <c r="D162" s="192" t="s">
        <v>166</v>
      </c>
      <c r="E162" s="287">
        <v>8937615</v>
      </c>
      <c r="F162" s="287">
        <v>8932015</v>
      </c>
      <c r="G162" s="28">
        <f t="shared" si="20"/>
        <v>-5600</v>
      </c>
      <c r="H162" s="319"/>
      <c r="I162" s="287">
        <f>SUM(I163:I166,I170:I179)</f>
        <v>8740760</v>
      </c>
      <c r="J162" s="28">
        <f t="shared" si="21"/>
        <v>-191255</v>
      </c>
      <c r="K162" s="319"/>
      <c r="L162" s="287">
        <f>SUM(L163:L166,L170:L179)</f>
        <v>8740760</v>
      </c>
      <c r="M162" s="28">
        <f t="shared" si="22"/>
        <v>0</v>
      </c>
      <c r="N162" s="319"/>
      <c r="O162" s="28">
        <f>SUM(O163:O166,O170:O179)</f>
        <v>2492219.29</v>
      </c>
      <c r="P162" s="449">
        <f t="shared" si="29"/>
        <v>0.28512615493389593</v>
      </c>
      <c r="Q162" s="28"/>
    </row>
    <row r="163" spans="2:17" ht="27.6" customHeight="1" x14ac:dyDescent="0.25">
      <c r="B163" s="62" t="s">
        <v>397</v>
      </c>
      <c r="C163" s="85" t="s">
        <v>1324</v>
      </c>
      <c r="D163" s="188" t="s">
        <v>1408</v>
      </c>
      <c r="E163" s="282">
        <v>242016</v>
      </c>
      <c r="F163" s="282">
        <v>242016</v>
      </c>
      <c r="G163" s="115">
        <f t="shared" si="20"/>
        <v>0</v>
      </c>
      <c r="H163" s="374"/>
      <c r="I163" s="282">
        <f>ROUND(F163,0)-8000</f>
        <v>234016</v>
      </c>
      <c r="J163" s="115">
        <f t="shared" si="21"/>
        <v>-8000</v>
      </c>
      <c r="K163" s="374" t="s">
        <v>1469</v>
      </c>
      <c r="L163" s="282">
        <f>ROUND(I163,0)</f>
        <v>234016</v>
      </c>
      <c r="M163" s="115">
        <f t="shared" si="22"/>
        <v>0</v>
      </c>
      <c r="N163" s="374"/>
      <c r="O163" s="252">
        <v>92778.69</v>
      </c>
      <c r="P163" s="407">
        <f t="shared" si="29"/>
        <v>0.3964630196225899</v>
      </c>
      <c r="Q163" s="451"/>
    </row>
    <row r="164" spans="2:17" ht="45" customHeight="1" x14ac:dyDescent="0.25">
      <c r="B164" s="62" t="s">
        <v>498</v>
      </c>
      <c r="C164" s="85" t="s">
        <v>1325</v>
      </c>
      <c r="D164" s="485" t="s">
        <v>683</v>
      </c>
      <c r="E164" s="282">
        <v>191255</v>
      </c>
      <c r="F164" s="282">
        <v>191255</v>
      </c>
      <c r="G164" s="48">
        <f t="shared" si="20"/>
        <v>0</v>
      </c>
      <c r="H164" s="375"/>
      <c r="I164" s="282">
        <f>ROUND(F164,0)-191255</f>
        <v>0</v>
      </c>
      <c r="J164" s="48">
        <f t="shared" si="21"/>
        <v>-191255</v>
      </c>
      <c r="K164" s="482" t="s">
        <v>1466</v>
      </c>
      <c r="L164" s="282">
        <f>ROUND(I164,0)</f>
        <v>0</v>
      </c>
      <c r="M164" s="48">
        <f t="shared" si="22"/>
        <v>0</v>
      </c>
      <c r="N164" s="482"/>
      <c r="O164" s="252">
        <v>0</v>
      </c>
      <c r="P164" s="407" t="e">
        <f t="shared" si="29"/>
        <v>#DIV/0!</v>
      </c>
      <c r="Q164" s="16"/>
    </row>
    <row r="165" spans="2:17" ht="30" customHeight="1" x14ac:dyDescent="0.25">
      <c r="B165" s="62" t="s">
        <v>1286</v>
      </c>
      <c r="C165" s="85" t="s">
        <v>1326</v>
      </c>
      <c r="D165" s="250" t="s">
        <v>1287</v>
      </c>
      <c r="E165" s="298">
        <v>255685</v>
      </c>
      <c r="F165" s="298">
        <v>255685</v>
      </c>
      <c r="G165" s="48">
        <f t="shared" si="20"/>
        <v>0</v>
      </c>
      <c r="H165" s="376"/>
      <c r="I165" s="298">
        <f>ROUND(F165,0)</f>
        <v>255685</v>
      </c>
      <c r="J165" s="48">
        <f t="shared" si="21"/>
        <v>0</v>
      </c>
      <c r="K165" s="376"/>
      <c r="L165" s="298">
        <f>ROUND(I165,0)</f>
        <v>255685</v>
      </c>
      <c r="M165" s="48">
        <f t="shared" si="22"/>
        <v>0</v>
      </c>
      <c r="N165" s="376"/>
      <c r="O165" s="252">
        <v>23183.599999999999</v>
      </c>
      <c r="P165" s="421">
        <f t="shared" si="29"/>
        <v>9.0672507186577225E-2</v>
      </c>
      <c r="Q165" s="252"/>
    </row>
    <row r="166" spans="2:17" ht="32.25" customHeight="1" x14ac:dyDescent="0.25">
      <c r="B166" s="62" t="s">
        <v>341</v>
      </c>
      <c r="C166" s="85" t="s">
        <v>1327</v>
      </c>
      <c r="D166" s="188" t="s">
        <v>402</v>
      </c>
      <c r="E166" s="307">
        <v>5767122</v>
      </c>
      <c r="F166" s="307">
        <v>5761522</v>
      </c>
      <c r="G166" s="398">
        <f t="shared" si="20"/>
        <v>-5600</v>
      </c>
      <c r="H166" s="313"/>
      <c r="I166" s="307">
        <f>SUM(I167:I169)</f>
        <v>5769522</v>
      </c>
      <c r="J166" s="57">
        <f t="shared" si="21"/>
        <v>8000</v>
      </c>
      <c r="K166" s="313"/>
      <c r="L166" s="307">
        <f>SUM(L167:L169)</f>
        <v>5774573</v>
      </c>
      <c r="M166" s="57">
        <f t="shared" si="22"/>
        <v>5051</v>
      </c>
      <c r="N166" s="313"/>
      <c r="O166" s="511">
        <f>SUM(O167:O169)</f>
        <v>2208534</v>
      </c>
      <c r="P166" s="416">
        <f t="shared" si="29"/>
        <v>0.38245840861306973</v>
      </c>
      <c r="Q166" s="452"/>
    </row>
    <row r="167" spans="2:17" s="201" customFormat="1" ht="35.25" customHeight="1" x14ac:dyDescent="0.25">
      <c r="B167" s="245"/>
      <c r="C167" s="121" t="s">
        <v>1400</v>
      </c>
      <c r="D167" s="200" t="s">
        <v>720</v>
      </c>
      <c r="E167" s="308">
        <v>5037221</v>
      </c>
      <c r="F167" s="308">
        <v>5031621</v>
      </c>
      <c r="G167" s="399">
        <f t="shared" si="20"/>
        <v>-5600</v>
      </c>
      <c r="H167" s="377" t="s">
        <v>1427</v>
      </c>
      <c r="I167" s="308">
        <f>ROUND(F167,0)-5070+8000</f>
        <v>5034551</v>
      </c>
      <c r="J167" s="184">
        <f t="shared" si="21"/>
        <v>2930</v>
      </c>
      <c r="K167" s="377" t="s">
        <v>1470</v>
      </c>
      <c r="L167" s="308">
        <f>ROUND(I167,0)+5051</f>
        <v>5039602</v>
      </c>
      <c r="M167" s="184">
        <f t="shared" si="22"/>
        <v>5051</v>
      </c>
      <c r="N167" s="495" t="s">
        <v>1486</v>
      </c>
      <c r="O167" s="510">
        <v>1942450</v>
      </c>
      <c r="P167" s="419">
        <f t="shared" si="29"/>
        <v>0.38543718333312826</v>
      </c>
      <c r="Q167" s="417" t="s">
        <v>728</v>
      </c>
    </row>
    <row r="168" spans="2:17" s="201" customFormat="1" ht="17.25" customHeight="1" x14ac:dyDescent="0.25">
      <c r="B168" s="245"/>
      <c r="C168" s="121" t="s">
        <v>1401</v>
      </c>
      <c r="D168" s="200" t="s">
        <v>721</v>
      </c>
      <c r="E168" s="308">
        <v>413000</v>
      </c>
      <c r="F168" s="308">
        <v>413000</v>
      </c>
      <c r="G168" s="184">
        <f t="shared" si="20"/>
        <v>0</v>
      </c>
      <c r="H168" s="377"/>
      <c r="I168" s="308">
        <f>ROUND(F168,0)</f>
        <v>413000</v>
      </c>
      <c r="J168" s="184">
        <f t="shared" si="21"/>
        <v>0</v>
      </c>
      <c r="K168" s="377"/>
      <c r="L168" s="308">
        <f t="shared" ref="L168:L171" si="31">ROUND(I168,0)</f>
        <v>413000</v>
      </c>
      <c r="M168" s="184">
        <f t="shared" si="22"/>
        <v>0</v>
      </c>
      <c r="O168" s="510">
        <v>110918</v>
      </c>
      <c r="P168" s="419">
        <f t="shared" si="29"/>
        <v>0.26856658595641647</v>
      </c>
      <c r="Q168" s="417" t="s">
        <v>728</v>
      </c>
    </row>
    <row r="169" spans="2:17" s="201" customFormat="1" ht="16.5" customHeight="1" x14ac:dyDescent="0.25">
      <c r="B169" s="245"/>
      <c r="C169" s="121" t="s">
        <v>1402</v>
      </c>
      <c r="D169" s="200" t="s">
        <v>722</v>
      </c>
      <c r="E169" s="308">
        <v>316901</v>
      </c>
      <c r="F169" s="308">
        <v>316901</v>
      </c>
      <c r="G169" s="184">
        <f t="shared" si="20"/>
        <v>0</v>
      </c>
      <c r="H169" s="377"/>
      <c r="I169" s="308">
        <f>ROUND(F169,0)+5070</f>
        <v>321971</v>
      </c>
      <c r="J169" s="184">
        <f t="shared" si="21"/>
        <v>5070</v>
      </c>
      <c r="K169" s="377" t="s">
        <v>1462</v>
      </c>
      <c r="L169" s="308">
        <f t="shared" si="31"/>
        <v>321971</v>
      </c>
      <c r="M169" s="184">
        <f t="shared" si="22"/>
        <v>0</v>
      </c>
      <c r="N169" s="377"/>
      <c r="O169" s="510">
        <f>157893-2727</f>
        <v>155166</v>
      </c>
      <c r="P169" s="419">
        <f t="shared" si="29"/>
        <v>0.4819253907960655</v>
      </c>
      <c r="Q169" s="417" t="s">
        <v>728</v>
      </c>
    </row>
    <row r="170" spans="2:17" ht="27.6" customHeight="1" x14ac:dyDescent="0.25">
      <c r="B170" s="62" t="s">
        <v>341</v>
      </c>
      <c r="C170" s="110" t="s">
        <v>1403</v>
      </c>
      <c r="D170" s="188" t="s">
        <v>1399</v>
      </c>
      <c r="E170" s="282">
        <v>237443</v>
      </c>
      <c r="F170" s="282">
        <v>237443</v>
      </c>
      <c r="G170" s="57">
        <f t="shared" si="20"/>
        <v>0</v>
      </c>
      <c r="H170" s="372"/>
      <c r="I170" s="282">
        <f>ROUND(F170,0)</f>
        <v>237443</v>
      </c>
      <c r="J170" s="57">
        <f t="shared" si="21"/>
        <v>0</v>
      </c>
      <c r="K170" s="372"/>
      <c r="L170" s="282">
        <f t="shared" si="31"/>
        <v>237443</v>
      </c>
      <c r="M170" s="57">
        <f t="shared" si="22"/>
        <v>0</v>
      </c>
      <c r="N170" s="372"/>
      <c r="O170" s="252">
        <v>8168</v>
      </c>
      <c r="P170" s="407">
        <f t="shared" si="29"/>
        <v>3.4399834907746278E-2</v>
      </c>
      <c r="Q170" s="96" t="s">
        <v>728</v>
      </c>
    </row>
    <row r="171" spans="2:17" ht="28.2" customHeight="1" x14ac:dyDescent="0.25">
      <c r="B171" s="62" t="s">
        <v>341</v>
      </c>
      <c r="C171" s="110" t="s">
        <v>1328</v>
      </c>
      <c r="D171" s="188" t="s">
        <v>1404</v>
      </c>
      <c r="E171" s="278">
        <v>418784</v>
      </c>
      <c r="F171" s="282">
        <v>339942</v>
      </c>
      <c r="G171" s="57">
        <f t="shared" si="20"/>
        <v>-78842</v>
      </c>
      <c r="H171" s="531" t="s">
        <v>1430</v>
      </c>
      <c r="I171" s="282">
        <f>ROUND(F171,0)</f>
        <v>339942</v>
      </c>
      <c r="J171" s="57">
        <f t="shared" si="21"/>
        <v>0</v>
      </c>
      <c r="K171" s="531"/>
      <c r="L171" s="282">
        <f t="shared" si="31"/>
        <v>339942</v>
      </c>
      <c r="M171" s="57">
        <f t="shared" si="22"/>
        <v>0</v>
      </c>
      <c r="N171" s="494"/>
      <c r="O171" s="252">
        <v>28232</v>
      </c>
      <c r="P171" s="420">
        <f t="shared" si="29"/>
        <v>8.304946137870578E-2</v>
      </c>
      <c r="Q171" s="96" t="s">
        <v>728</v>
      </c>
    </row>
    <row r="172" spans="2:17" ht="28.2" customHeight="1" x14ac:dyDescent="0.25">
      <c r="B172" s="62" t="s">
        <v>341</v>
      </c>
      <c r="C172" s="110" t="s">
        <v>1329</v>
      </c>
      <c r="D172" s="188" t="s">
        <v>1405</v>
      </c>
      <c r="E172" s="298">
        <v>1825310</v>
      </c>
      <c r="F172" s="298">
        <v>1904152</v>
      </c>
      <c r="G172" s="57">
        <f t="shared" si="20"/>
        <v>78842</v>
      </c>
      <c r="H172" s="532"/>
      <c r="I172" s="298">
        <f>ROUND(F172,0)</f>
        <v>1904152</v>
      </c>
      <c r="J172" s="57">
        <f t="shared" si="21"/>
        <v>0</v>
      </c>
      <c r="K172" s="532"/>
      <c r="L172" s="496">
        <f>ROUND(I172,0)-5051</f>
        <v>1899101</v>
      </c>
      <c r="M172" s="305">
        <f t="shared" si="22"/>
        <v>-5051</v>
      </c>
      <c r="N172" s="495" t="s">
        <v>1486</v>
      </c>
      <c r="O172" s="524">
        <v>131323</v>
      </c>
      <c r="P172" s="421">
        <f t="shared" si="29"/>
        <v>6.9150087330794946E-2</v>
      </c>
      <c r="Q172" s="96" t="s">
        <v>728</v>
      </c>
    </row>
    <row r="173" spans="2:17" ht="18.600000000000001" hidden="1" customHeight="1" outlineLevel="1" x14ac:dyDescent="0.25">
      <c r="B173" s="62" t="s">
        <v>341</v>
      </c>
      <c r="C173" s="110" t="s">
        <v>1330</v>
      </c>
      <c r="D173" s="195" t="s">
        <v>811</v>
      </c>
      <c r="E173" s="278"/>
      <c r="F173" s="282">
        <v>0</v>
      </c>
      <c r="G173" s="57">
        <f t="shared" si="20"/>
        <v>0</v>
      </c>
      <c r="H173" s="373"/>
      <c r="I173" s="282">
        <f t="shared" ref="I173:I179" si="32">ROUND(G173,0)</f>
        <v>0</v>
      </c>
      <c r="J173" s="57">
        <f t="shared" si="21"/>
        <v>0</v>
      </c>
      <c r="K173" s="373"/>
      <c r="L173" s="282">
        <f t="shared" ref="L173:L179" si="33">ROUND(J173,0)</f>
        <v>0</v>
      </c>
      <c r="M173" s="57">
        <f t="shared" si="22"/>
        <v>0</v>
      </c>
      <c r="N173" s="373"/>
      <c r="O173" s="505"/>
      <c r="P173" s="420" t="e">
        <f t="shared" si="29"/>
        <v>#DIV/0!</v>
      </c>
      <c r="Q173" s="96" t="s">
        <v>730</v>
      </c>
    </row>
    <row r="174" spans="2:17" ht="43.5" hidden="1" customHeight="1" outlineLevel="1" x14ac:dyDescent="0.25">
      <c r="B174" s="62" t="s">
        <v>341</v>
      </c>
      <c r="C174" s="110" t="s">
        <v>1331</v>
      </c>
      <c r="D174" s="195" t="s">
        <v>717</v>
      </c>
      <c r="E174" s="278"/>
      <c r="F174" s="282">
        <v>0</v>
      </c>
      <c r="G174" s="57">
        <f t="shared" si="20"/>
        <v>0</v>
      </c>
      <c r="H174" s="373"/>
      <c r="I174" s="282">
        <f t="shared" si="32"/>
        <v>0</v>
      </c>
      <c r="J174" s="57">
        <f t="shared" si="21"/>
        <v>0</v>
      </c>
      <c r="K174" s="373"/>
      <c r="L174" s="282">
        <f t="shared" si="33"/>
        <v>0</v>
      </c>
      <c r="M174" s="57">
        <f t="shared" si="22"/>
        <v>0</v>
      </c>
      <c r="N174" s="373"/>
      <c r="O174" s="505"/>
      <c r="P174" s="420" t="e">
        <f t="shared" si="29"/>
        <v>#DIV/0!</v>
      </c>
      <c r="Q174" s="96" t="s">
        <v>730</v>
      </c>
    </row>
    <row r="175" spans="2:17" ht="25.95" hidden="1" customHeight="1" outlineLevel="1" x14ac:dyDescent="0.25">
      <c r="B175" s="62" t="s">
        <v>341</v>
      </c>
      <c r="C175" s="110" t="s">
        <v>1332</v>
      </c>
      <c r="D175" s="195" t="s">
        <v>816</v>
      </c>
      <c r="E175" s="278"/>
      <c r="F175" s="282">
        <v>0</v>
      </c>
      <c r="G175" s="57">
        <f t="shared" si="20"/>
        <v>0</v>
      </c>
      <c r="H175" s="373"/>
      <c r="I175" s="282">
        <f t="shared" si="32"/>
        <v>0</v>
      </c>
      <c r="J175" s="57">
        <f t="shared" si="21"/>
        <v>0</v>
      </c>
      <c r="K175" s="373"/>
      <c r="L175" s="282">
        <f t="shared" si="33"/>
        <v>0</v>
      </c>
      <c r="M175" s="57">
        <f t="shared" si="22"/>
        <v>0</v>
      </c>
      <c r="N175" s="373"/>
      <c r="O175" s="505"/>
      <c r="P175" s="420" t="e">
        <f t="shared" si="29"/>
        <v>#DIV/0!</v>
      </c>
      <c r="Q175" s="96" t="s">
        <v>730</v>
      </c>
    </row>
    <row r="176" spans="2:17" ht="45.6" hidden="1" customHeight="1" outlineLevel="1" x14ac:dyDescent="0.25">
      <c r="B176" s="62" t="s">
        <v>341</v>
      </c>
      <c r="C176" s="110" t="s">
        <v>1333</v>
      </c>
      <c r="D176" s="195" t="s">
        <v>827</v>
      </c>
      <c r="E176" s="278"/>
      <c r="F176" s="282">
        <v>0</v>
      </c>
      <c r="G176" s="57">
        <f t="shared" si="20"/>
        <v>0</v>
      </c>
      <c r="H176" s="373"/>
      <c r="I176" s="282">
        <f t="shared" si="32"/>
        <v>0</v>
      </c>
      <c r="J176" s="57">
        <f t="shared" si="21"/>
        <v>0</v>
      </c>
      <c r="K176" s="373"/>
      <c r="L176" s="282">
        <f t="shared" si="33"/>
        <v>0</v>
      </c>
      <c r="M176" s="57">
        <f t="shared" si="22"/>
        <v>0</v>
      </c>
      <c r="N176" s="373"/>
      <c r="O176" s="505"/>
      <c r="P176" s="420" t="e">
        <f t="shared" si="29"/>
        <v>#DIV/0!</v>
      </c>
      <c r="Q176" s="96" t="s">
        <v>730</v>
      </c>
    </row>
    <row r="177" spans="2:19" ht="18.600000000000001" hidden="1" customHeight="1" outlineLevel="1" x14ac:dyDescent="0.25">
      <c r="B177" s="62" t="s">
        <v>789</v>
      </c>
      <c r="C177" s="110" t="s">
        <v>1334</v>
      </c>
      <c r="D177" s="195" t="s">
        <v>716</v>
      </c>
      <c r="E177" s="278"/>
      <c r="F177" s="282">
        <v>0</v>
      </c>
      <c r="G177" s="57">
        <f t="shared" si="20"/>
        <v>0</v>
      </c>
      <c r="H177" s="373"/>
      <c r="I177" s="282">
        <f t="shared" si="32"/>
        <v>0</v>
      </c>
      <c r="J177" s="57">
        <f t="shared" si="21"/>
        <v>0</v>
      </c>
      <c r="K177" s="373"/>
      <c r="L177" s="282">
        <f t="shared" si="33"/>
        <v>0</v>
      </c>
      <c r="M177" s="57">
        <f t="shared" si="22"/>
        <v>0</v>
      </c>
      <c r="N177" s="373"/>
      <c r="O177" s="505"/>
      <c r="P177" s="420" t="e">
        <f t="shared" si="29"/>
        <v>#DIV/0!</v>
      </c>
      <c r="Q177" s="96" t="s">
        <v>730</v>
      </c>
    </row>
    <row r="178" spans="2:19" ht="29.4" hidden="1" customHeight="1" outlineLevel="1" x14ac:dyDescent="0.25">
      <c r="B178" s="62"/>
      <c r="C178" s="110" t="s">
        <v>1335</v>
      </c>
      <c r="D178" s="195" t="s">
        <v>884</v>
      </c>
      <c r="E178" s="278">
        <v>0</v>
      </c>
      <c r="F178" s="282">
        <v>0</v>
      </c>
      <c r="G178" s="57">
        <f t="shared" si="20"/>
        <v>0</v>
      </c>
      <c r="H178" s="373"/>
      <c r="I178" s="282">
        <f t="shared" si="32"/>
        <v>0</v>
      </c>
      <c r="J178" s="57">
        <f t="shared" si="21"/>
        <v>0</v>
      </c>
      <c r="K178" s="373"/>
      <c r="L178" s="282">
        <f t="shared" si="33"/>
        <v>0</v>
      </c>
      <c r="M178" s="57">
        <f t="shared" si="22"/>
        <v>0</v>
      </c>
      <c r="N178" s="373"/>
      <c r="O178" s="505"/>
      <c r="P178" s="420" t="e">
        <f t="shared" si="29"/>
        <v>#DIV/0!</v>
      </c>
      <c r="Q178" s="96" t="s">
        <v>729</v>
      </c>
    </row>
    <row r="179" spans="2:19" ht="29.4" hidden="1" customHeight="1" outlineLevel="1" x14ac:dyDescent="0.25">
      <c r="B179" s="62" t="s">
        <v>497</v>
      </c>
      <c r="C179" s="110" t="s">
        <v>1336</v>
      </c>
      <c r="D179" s="195" t="s">
        <v>885</v>
      </c>
      <c r="E179" s="282">
        <v>0</v>
      </c>
      <c r="F179" s="282">
        <v>0</v>
      </c>
      <c r="G179" s="57">
        <f t="shared" si="20"/>
        <v>0</v>
      </c>
      <c r="H179" s="352"/>
      <c r="I179" s="282">
        <f t="shared" si="32"/>
        <v>0</v>
      </c>
      <c r="J179" s="57">
        <f t="shared" si="21"/>
        <v>0</v>
      </c>
      <c r="K179" s="352"/>
      <c r="L179" s="282">
        <f t="shared" si="33"/>
        <v>0</v>
      </c>
      <c r="M179" s="57">
        <f t="shared" si="22"/>
        <v>0</v>
      </c>
      <c r="N179" s="352"/>
      <c r="O179" s="505"/>
      <c r="P179" s="407" t="e">
        <f t="shared" si="29"/>
        <v>#DIV/0!</v>
      </c>
      <c r="Q179" s="453" t="s">
        <v>730</v>
      </c>
    </row>
    <row r="180" spans="2:19" collapsed="1" x14ac:dyDescent="0.25">
      <c r="C180" s="84" t="s">
        <v>41</v>
      </c>
      <c r="D180" s="187" t="s">
        <v>168</v>
      </c>
      <c r="E180" s="17">
        <v>2552007</v>
      </c>
      <c r="F180" s="277">
        <v>2552007</v>
      </c>
      <c r="G180" s="17">
        <f t="shared" si="20"/>
        <v>0</v>
      </c>
      <c r="H180" s="17"/>
      <c r="I180" s="277">
        <f>SUM(I181,I186:I190)+I193+I194</f>
        <v>2536621</v>
      </c>
      <c r="J180" s="17">
        <f t="shared" si="21"/>
        <v>-15386</v>
      </c>
      <c r="K180" s="17"/>
      <c r="L180" s="277">
        <f>SUM(L181,L186:L190)+L193+L194</f>
        <v>2587421</v>
      </c>
      <c r="M180" s="17">
        <f t="shared" si="22"/>
        <v>50800</v>
      </c>
      <c r="N180" s="17"/>
      <c r="O180" s="258">
        <f>SUM(O181,O186:O190)+O193+O194</f>
        <v>1107127.4000000001</v>
      </c>
      <c r="P180" s="432">
        <f t="shared" si="29"/>
        <v>0.42788838770343141</v>
      </c>
      <c r="Q180" s="258"/>
    </row>
    <row r="181" spans="2:19" ht="23.25" customHeight="1" x14ac:dyDescent="0.25">
      <c r="C181" s="83" t="s">
        <v>44</v>
      </c>
      <c r="D181" s="178" t="s">
        <v>345</v>
      </c>
      <c r="E181" s="42">
        <v>1535520</v>
      </c>
      <c r="F181" s="42">
        <v>1535520</v>
      </c>
      <c r="G181" s="42">
        <f t="shared" si="20"/>
        <v>0</v>
      </c>
      <c r="H181" s="42">
        <f>SUM(H182:H185)</f>
        <v>0</v>
      </c>
      <c r="I181" s="42">
        <f>SUM(I182:I185)</f>
        <v>1535520</v>
      </c>
      <c r="J181" s="42">
        <f t="shared" si="21"/>
        <v>0</v>
      </c>
      <c r="K181" s="42">
        <f>SUM(K182:K185)</f>
        <v>0</v>
      </c>
      <c r="L181" s="42">
        <f>SUM(L182:L185)</f>
        <v>1555520</v>
      </c>
      <c r="M181" s="42">
        <f t="shared" si="22"/>
        <v>20000</v>
      </c>
      <c r="N181" s="42">
        <f>SUM(N182:N185)</f>
        <v>0</v>
      </c>
      <c r="O181" s="257">
        <f>SUM(O182:O185)</f>
        <v>599715.67000000004</v>
      </c>
      <c r="P181" s="418">
        <f t="shared" si="29"/>
        <v>0.38554031449290271</v>
      </c>
      <c r="Q181" s="448"/>
      <c r="S181" s="467"/>
    </row>
    <row r="182" spans="2:19" ht="33" customHeight="1" x14ac:dyDescent="0.25">
      <c r="B182" s="62" t="s">
        <v>459</v>
      </c>
      <c r="C182" s="85" t="s">
        <v>47</v>
      </c>
      <c r="D182" s="176" t="s">
        <v>403</v>
      </c>
      <c r="E182" s="282">
        <v>793277</v>
      </c>
      <c r="F182" s="282">
        <v>793277</v>
      </c>
      <c r="G182" s="57">
        <f t="shared" si="20"/>
        <v>0</v>
      </c>
      <c r="H182" s="372"/>
      <c r="I182" s="282">
        <f>ROUND(F182,0)</f>
        <v>793277</v>
      </c>
      <c r="J182" s="57">
        <f t="shared" si="21"/>
        <v>0</v>
      </c>
      <c r="K182" s="372"/>
      <c r="L182" s="282">
        <f>ROUND(I182,0)+20000</f>
        <v>813277</v>
      </c>
      <c r="M182" s="57">
        <f t="shared" si="22"/>
        <v>20000</v>
      </c>
      <c r="N182" s="372" t="s">
        <v>1484</v>
      </c>
      <c r="O182" s="252">
        <v>384466.72</v>
      </c>
      <c r="P182" s="407">
        <f t="shared" si="29"/>
        <v>0.472737726506467</v>
      </c>
      <c r="Q182" s="252" t="s">
        <v>731</v>
      </c>
    </row>
    <row r="183" spans="2:19" ht="14.25" customHeight="1" x14ac:dyDescent="0.25">
      <c r="B183" s="62" t="s">
        <v>453</v>
      </c>
      <c r="C183" s="85" t="s">
        <v>50</v>
      </c>
      <c r="D183" s="176" t="s">
        <v>358</v>
      </c>
      <c r="E183" s="282">
        <v>526028</v>
      </c>
      <c r="F183" s="282">
        <v>526028</v>
      </c>
      <c r="G183" s="57">
        <f t="shared" si="20"/>
        <v>0</v>
      </c>
      <c r="H183" s="372"/>
      <c r="I183" s="282">
        <f>ROUND(F183,0)</f>
        <v>526028</v>
      </c>
      <c r="J183" s="57">
        <f t="shared" si="21"/>
        <v>0</v>
      </c>
      <c r="K183" s="372"/>
      <c r="L183" s="282">
        <f>ROUND(I183,0)</f>
        <v>526028</v>
      </c>
      <c r="M183" s="57">
        <f t="shared" si="22"/>
        <v>0</v>
      </c>
      <c r="N183" s="372"/>
      <c r="O183" s="252">
        <v>137974.26999999999</v>
      </c>
      <c r="P183" s="407">
        <f t="shared" si="29"/>
        <v>0.26229453565209454</v>
      </c>
      <c r="Q183" s="252" t="s">
        <v>732</v>
      </c>
    </row>
    <row r="184" spans="2:19" ht="24.6" customHeight="1" x14ac:dyDescent="0.25">
      <c r="B184" s="62" t="s">
        <v>452</v>
      </c>
      <c r="C184" s="85" t="s">
        <v>52</v>
      </c>
      <c r="D184" s="176" t="s">
        <v>711</v>
      </c>
      <c r="E184" s="282">
        <v>185916</v>
      </c>
      <c r="F184" s="282">
        <v>185916</v>
      </c>
      <c r="G184" s="57">
        <f t="shared" si="20"/>
        <v>0</v>
      </c>
      <c r="H184" s="352"/>
      <c r="I184" s="282">
        <f>ROUND(F184,0)</f>
        <v>185916</v>
      </c>
      <c r="J184" s="57">
        <f t="shared" si="21"/>
        <v>0</v>
      </c>
      <c r="K184" s="352"/>
      <c r="L184" s="282">
        <f>ROUND(I184,0)</f>
        <v>185916</v>
      </c>
      <c r="M184" s="57">
        <f t="shared" si="22"/>
        <v>0</v>
      </c>
      <c r="N184" s="352"/>
      <c r="O184" s="252">
        <v>67282.81</v>
      </c>
      <c r="P184" s="407">
        <f t="shared" si="29"/>
        <v>0.36189897588158093</v>
      </c>
      <c r="Q184" s="252"/>
    </row>
    <row r="185" spans="2:19" ht="23.25" customHeight="1" x14ac:dyDescent="0.25">
      <c r="B185" s="62" t="s">
        <v>737</v>
      </c>
      <c r="C185" s="85" t="s">
        <v>1337</v>
      </c>
      <c r="D185" s="176" t="s">
        <v>804</v>
      </c>
      <c r="E185" s="309">
        <v>30299</v>
      </c>
      <c r="F185" s="309">
        <v>30299</v>
      </c>
      <c r="G185" s="16">
        <f t="shared" si="20"/>
        <v>0</v>
      </c>
      <c r="H185" s="378"/>
      <c r="I185" s="309">
        <f>ROUND(F185,0)</f>
        <v>30299</v>
      </c>
      <c r="J185" s="16">
        <f t="shared" si="21"/>
        <v>0</v>
      </c>
      <c r="K185" s="378"/>
      <c r="L185" s="309">
        <f>ROUND(I185,0)</f>
        <v>30299</v>
      </c>
      <c r="M185" s="16">
        <f t="shared" si="22"/>
        <v>0</v>
      </c>
      <c r="N185" s="378"/>
      <c r="O185" s="252">
        <v>9991.8700000000008</v>
      </c>
      <c r="P185" s="509">
        <f t="shared" si="29"/>
        <v>0.32977557015083009</v>
      </c>
      <c r="Q185" s="252"/>
    </row>
    <row r="186" spans="2:19" ht="29.4" hidden="1" customHeight="1" outlineLevel="1" x14ac:dyDescent="0.25">
      <c r="B186" s="62" t="s">
        <v>499</v>
      </c>
      <c r="C186" s="112" t="s">
        <v>54</v>
      </c>
      <c r="D186" s="267" t="s">
        <v>359</v>
      </c>
      <c r="E186" s="42"/>
      <c r="F186" s="42">
        <v>0</v>
      </c>
      <c r="G186" s="22">
        <f t="shared" si="20"/>
        <v>0</v>
      </c>
      <c r="H186" s="379" t="s">
        <v>865</v>
      </c>
      <c r="I186" s="42"/>
      <c r="J186" s="22">
        <f t="shared" si="21"/>
        <v>0</v>
      </c>
      <c r="K186" s="342"/>
      <c r="L186" s="42"/>
      <c r="M186" s="22">
        <f t="shared" si="22"/>
        <v>0</v>
      </c>
      <c r="N186" s="342"/>
      <c r="O186" s="501"/>
      <c r="P186" s="418" t="e">
        <f t="shared" si="29"/>
        <v>#DIV/0!</v>
      </c>
      <c r="Q186" s="257" t="s">
        <v>729</v>
      </c>
    </row>
    <row r="187" spans="2:19" ht="27" hidden="1" customHeight="1" outlineLevel="1" x14ac:dyDescent="0.25">
      <c r="B187" s="62" t="s">
        <v>500</v>
      </c>
      <c r="C187" s="112" t="s">
        <v>169</v>
      </c>
      <c r="D187" s="267" t="s">
        <v>360</v>
      </c>
      <c r="E187" s="42"/>
      <c r="F187" s="42">
        <v>0</v>
      </c>
      <c r="G187" s="22">
        <f t="shared" si="20"/>
        <v>0</v>
      </c>
      <c r="H187" s="342"/>
      <c r="I187" s="42"/>
      <c r="J187" s="22">
        <f t="shared" si="21"/>
        <v>0</v>
      </c>
      <c r="K187" s="342"/>
      <c r="L187" s="42"/>
      <c r="M187" s="22">
        <f t="shared" si="22"/>
        <v>0</v>
      </c>
      <c r="N187" s="342"/>
      <c r="O187" s="501"/>
      <c r="P187" s="418" t="e">
        <f t="shared" si="29"/>
        <v>#DIV/0!</v>
      </c>
      <c r="Q187" s="257"/>
    </row>
    <row r="188" spans="2:19" ht="15" customHeight="1" collapsed="1" x14ac:dyDescent="0.25">
      <c r="B188" s="62" t="s">
        <v>254</v>
      </c>
      <c r="C188" s="83" t="s">
        <v>54</v>
      </c>
      <c r="D188" s="178" t="s">
        <v>404</v>
      </c>
      <c r="E188" s="42">
        <v>158076</v>
      </c>
      <c r="F188" s="42">
        <v>158076</v>
      </c>
      <c r="G188" s="22">
        <f t="shared" si="20"/>
        <v>0</v>
      </c>
      <c r="H188" s="380"/>
      <c r="I188" s="42">
        <f>ROUND(F188,0)</f>
        <v>158076</v>
      </c>
      <c r="J188" s="22">
        <f t="shared" si="21"/>
        <v>0</v>
      </c>
      <c r="K188" s="380"/>
      <c r="L188" s="42">
        <f>ROUND(I188,0)</f>
        <v>158076</v>
      </c>
      <c r="M188" s="22">
        <f t="shared" si="22"/>
        <v>0</v>
      </c>
      <c r="N188" s="380"/>
      <c r="O188" s="257">
        <v>70977.460000000006</v>
      </c>
      <c r="P188" s="418">
        <f t="shared" si="29"/>
        <v>0.44900845163086117</v>
      </c>
      <c r="Q188" s="257"/>
    </row>
    <row r="189" spans="2:19" ht="15.6" customHeight="1" x14ac:dyDescent="0.25">
      <c r="B189" s="62" t="s">
        <v>395</v>
      </c>
      <c r="C189" s="83" t="s">
        <v>169</v>
      </c>
      <c r="D189" s="178" t="s">
        <v>405</v>
      </c>
      <c r="E189" s="288">
        <v>73071</v>
      </c>
      <c r="F189" s="288">
        <v>73071</v>
      </c>
      <c r="G189" s="65">
        <f t="shared" ref="G189:G252" si="34">F189-E189</f>
        <v>0</v>
      </c>
      <c r="H189" s="381"/>
      <c r="I189" s="288">
        <f>ROUND(F189,0)</f>
        <v>73071</v>
      </c>
      <c r="J189" s="65">
        <f t="shared" ref="J189:J252" si="35">I189-F189</f>
        <v>0</v>
      </c>
      <c r="K189" s="381"/>
      <c r="L189" s="288">
        <f>ROUND(I189,0)</f>
        <v>73071</v>
      </c>
      <c r="M189" s="65">
        <f t="shared" ref="M189:M252" si="36">L189-I189</f>
        <v>0</v>
      </c>
      <c r="N189" s="381"/>
      <c r="O189" s="257">
        <v>26688.09</v>
      </c>
      <c r="P189" s="454">
        <f t="shared" si="29"/>
        <v>0.36523504536683499</v>
      </c>
      <c r="Q189" s="257"/>
    </row>
    <row r="190" spans="2:19" ht="15" customHeight="1" x14ac:dyDescent="0.25">
      <c r="B190" s="62" t="s">
        <v>253</v>
      </c>
      <c r="C190" s="83" t="s">
        <v>171</v>
      </c>
      <c r="D190" s="178" t="s">
        <v>170</v>
      </c>
      <c r="E190" s="42">
        <v>762112</v>
      </c>
      <c r="F190" s="42">
        <v>762112</v>
      </c>
      <c r="G190" s="22">
        <f t="shared" si="34"/>
        <v>0</v>
      </c>
      <c r="H190" s="342"/>
      <c r="I190" s="42">
        <f>I191+I192</f>
        <v>746726</v>
      </c>
      <c r="J190" s="22">
        <f t="shared" si="35"/>
        <v>-15386</v>
      </c>
      <c r="K190" s="342"/>
      <c r="L190" s="42">
        <f>L191+L192</f>
        <v>777526</v>
      </c>
      <c r="M190" s="22">
        <f t="shared" si="36"/>
        <v>30800</v>
      </c>
      <c r="N190" s="342"/>
      <c r="O190" s="257">
        <f>SUM(O191:O192)</f>
        <v>407108.63</v>
      </c>
      <c r="P190" s="418">
        <f t="shared" si="29"/>
        <v>0.523594876570044</v>
      </c>
      <c r="Q190" s="257"/>
    </row>
    <row r="191" spans="2:19" ht="46.5" customHeight="1" x14ac:dyDescent="0.25">
      <c r="B191" s="62"/>
      <c r="C191" s="199" t="s">
        <v>1453</v>
      </c>
      <c r="D191" s="246" t="s">
        <v>863</v>
      </c>
      <c r="E191" s="310">
        <v>454642</v>
      </c>
      <c r="F191" s="310">
        <v>465101</v>
      </c>
      <c r="G191" s="39">
        <f t="shared" si="34"/>
        <v>10459</v>
      </c>
      <c r="H191" s="533" t="s">
        <v>1419</v>
      </c>
      <c r="I191" s="310">
        <f>ROUND(F191,0)+650</f>
        <v>465751</v>
      </c>
      <c r="J191" s="39">
        <f t="shared" si="35"/>
        <v>650</v>
      </c>
      <c r="K191" s="484" t="s">
        <v>1463</v>
      </c>
      <c r="L191" s="310">
        <f>ROUND(I191,0)+17000+13800</f>
        <v>496551</v>
      </c>
      <c r="M191" s="39">
        <f t="shared" si="36"/>
        <v>30800</v>
      </c>
      <c r="N191" s="484" t="s">
        <v>1480</v>
      </c>
      <c r="O191" s="252">
        <v>271001.63</v>
      </c>
      <c r="P191" s="442">
        <f t="shared" si="29"/>
        <v>0.54576796743939693</v>
      </c>
      <c r="Q191" s="252" t="s">
        <v>882</v>
      </c>
    </row>
    <row r="192" spans="2:19" ht="16.5" customHeight="1" x14ac:dyDescent="0.25">
      <c r="B192" s="62"/>
      <c r="C192" s="199" t="s">
        <v>1454</v>
      </c>
      <c r="D192" s="246" t="s">
        <v>861</v>
      </c>
      <c r="E192" s="310">
        <v>307470</v>
      </c>
      <c r="F192" s="310">
        <v>297011</v>
      </c>
      <c r="G192" s="56">
        <f t="shared" si="34"/>
        <v>-10459</v>
      </c>
      <c r="H192" s="534"/>
      <c r="I192" s="310">
        <f>ROUND(F192,0)-14715-1321</f>
        <v>280975</v>
      </c>
      <c r="J192" s="56">
        <f t="shared" si="35"/>
        <v>-16036</v>
      </c>
      <c r="K192" s="388" t="s">
        <v>1461</v>
      </c>
      <c r="L192" s="310">
        <f>ROUND(I192,0)</f>
        <v>280975</v>
      </c>
      <c r="M192" s="56">
        <f t="shared" si="36"/>
        <v>0</v>
      </c>
      <c r="N192" s="388"/>
      <c r="O192" s="512">
        <v>136107</v>
      </c>
      <c r="P192" s="442">
        <f t="shared" si="29"/>
        <v>0.48440964498620875</v>
      </c>
      <c r="Q192" s="252"/>
    </row>
    <row r="193" spans="2:17" ht="15.6" customHeight="1" x14ac:dyDescent="0.25">
      <c r="B193" s="62" t="s">
        <v>255</v>
      </c>
      <c r="C193" s="83" t="s">
        <v>173</v>
      </c>
      <c r="D193" s="178" t="s">
        <v>172</v>
      </c>
      <c r="E193" s="42">
        <v>4000</v>
      </c>
      <c r="F193" s="42">
        <v>4000</v>
      </c>
      <c r="G193" s="22">
        <f t="shared" si="34"/>
        <v>0</v>
      </c>
      <c r="H193" s="315"/>
      <c r="I193" s="42">
        <f>ROUND(F193,0)</f>
        <v>4000</v>
      </c>
      <c r="J193" s="22">
        <f t="shared" si="35"/>
        <v>0</v>
      </c>
      <c r="K193" s="315"/>
      <c r="L193" s="42">
        <f>ROUND(I193,0)</f>
        <v>4000</v>
      </c>
      <c r="M193" s="22">
        <f t="shared" si="36"/>
        <v>0</v>
      </c>
      <c r="N193" s="315"/>
      <c r="O193" s="257">
        <v>2000</v>
      </c>
      <c r="P193" s="418">
        <f t="shared" si="29"/>
        <v>0.5</v>
      </c>
      <c r="Q193" s="257"/>
    </row>
    <row r="194" spans="2:17" ht="15.6" customHeight="1" x14ac:dyDescent="0.25">
      <c r="B194" s="62" t="s">
        <v>712</v>
      </c>
      <c r="C194" s="83" t="s">
        <v>273</v>
      </c>
      <c r="D194" s="178" t="s">
        <v>279</v>
      </c>
      <c r="E194" s="42">
        <v>19228</v>
      </c>
      <c r="F194" s="42">
        <v>19228</v>
      </c>
      <c r="G194" s="22">
        <f t="shared" si="34"/>
        <v>0</v>
      </c>
      <c r="H194" s="315"/>
      <c r="I194" s="42">
        <f>ROUND(F194,0)</f>
        <v>19228</v>
      </c>
      <c r="J194" s="22">
        <f t="shared" si="35"/>
        <v>0</v>
      </c>
      <c r="K194" s="315"/>
      <c r="L194" s="42">
        <f>ROUND(I194,0)</f>
        <v>19228</v>
      </c>
      <c r="M194" s="22">
        <f t="shared" si="36"/>
        <v>0</v>
      </c>
      <c r="N194" s="315"/>
      <c r="O194" s="257">
        <v>637.54999999999995</v>
      </c>
      <c r="P194" s="418">
        <f t="shared" si="29"/>
        <v>3.3157374661951317E-2</v>
      </c>
      <c r="Q194" s="257"/>
    </row>
    <row r="195" spans="2:17" s="9" customFormat="1" ht="15.6" customHeight="1" x14ac:dyDescent="0.25">
      <c r="C195" s="84" t="s">
        <v>68</v>
      </c>
      <c r="D195" s="187" t="s">
        <v>174</v>
      </c>
      <c r="E195" s="17">
        <v>3538928</v>
      </c>
      <c r="F195" s="17">
        <v>3546428</v>
      </c>
      <c r="G195" s="17">
        <f t="shared" si="34"/>
        <v>7500</v>
      </c>
      <c r="H195" s="17"/>
      <c r="I195" s="17">
        <f>I196+I202+I205+I210+I211+I212+I213+I214</f>
        <v>3546428</v>
      </c>
      <c r="J195" s="17">
        <f t="shared" si="35"/>
        <v>0</v>
      </c>
      <c r="K195" s="17"/>
      <c r="L195" s="17">
        <f>L196+L202+L205+L210+L211+L212+L213+L214</f>
        <v>3546428</v>
      </c>
      <c r="M195" s="17">
        <f t="shared" si="36"/>
        <v>0</v>
      </c>
      <c r="N195" s="17"/>
      <c r="O195" s="258">
        <f>O196+O202+O205+O210+O211+O212+O213+O214</f>
        <v>1440300.2400000002</v>
      </c>
      <c r="P195" s="432">
        <f t="shared" si="29"/>
        <v>0.40612702132963091</v>
      </c>
      <c r="Q195" s="258"/>
    </row>
    <row r="196" spans="2:17" s="9" customFormat="1" ht="15" customHeight="1" x14ac:dyDescent="0.25">
      <c r="C196" s="83" t="s">
        <v>71</v>
      </c>
      <c r="D196" s="178" t="s">
        <v>175</v>
      </c>
      <c r="E196" s="22">
        <v>2760943</v>
      </c>
      <c r="F196" s="22">
        <v>2768443</v>
      </c>
      <c r="G196" s="22">
        <f t="shared" si="34"/>
        <v>7500</v>
      </c>
      <c r="H196" s="22"/>
      <c r="I196" s="22">
        <f>SUM(I197:I201)</f>
        <v>2768443</v>
      </c>
      <c r="J196" s="22">
        <f t="shared" si="35"/>
        <v>0</v>
      </c>
      <c r="K196" s="22"/>
      <c r="L196" s="22">
        <f>SUM(L197:L201)</f>
        <v>2768443</v>
      </c>
      <c r="M196" s="22">
        <f t="shared" si="36"/>
        <v>0</v>
      </c>
      <c r="N196" s="22"/>
      <c r="O196" s="257">
        <f>SUM(O197:O201)</f>
        <v>1214567.5899999999</v>
      </c>
      <c r="P196" s="418">
        <f t="shared" si="29"/>
        <v>0.4387186552152238</v>
      </c>
      <c r="Q196" s="257"/>
    </row>
    <row r="197" spans="2:17" s="38" customFormat="1" ht="18" customHeight="1" outlineLevel="1" x14ac:dyDescent="0.25">
      <c r="B197" s="38" t="s">
        <v>1431</v>
      </c>
      <c r="C197" s="199" t="s">
        <v>263</v>
      </c>
      <c r="D197" s="177" t="s">
        <v>406</v>
      </c>
      <c r="E197" s="43">
        <v>638988</v>
      </c>
      <c r="F197" s="43">
        <v>646488</v>
      </c>
      <c r="G197" s="39">
        <f t="shared" si="34"/>
        <v>7500</v>
      </c>
      <c r="H197" s="341" t="s">
        <v>1432</v>
      </c>
      <c r="I197" s="43">
        <f>ROUND(F197,0)</f>
        <v>646488</v>
      </c>
      <c r="J197" s="39">
        <f t="shared" si="35"/>
        <v>0</v>
      </c>
      <c r="K197" s="341"/>
      <c r="L197" s="43">
        <f>ROUND(I197,0)</f>
        <v>646488</v>
      </c>
      <c r="M197" s="39">
        <f t="shared" si="36"/>
        <v>0</v>
      </c>
      <c r="N197" s="341"/>
      <c r="O197" s="251">
        <f>931845.83+26785+495+2751-O198</f>
        <v>225605.82999999996</v>
      </c>
      <c r="P197" s="455">
        <f t="shared" si="29"/>
        <v>0.3489714116890027</v>
      </c>
      <c r="Q197" s="251"/>
    </row>
    <row r="198" spans="2:17" s="38" customFormat="1" ht="16.5" customHeight="1" outlineLevel="1" x14ac:dyDescent="0.25">
      <c r="B198" s="303" t="s">
        <v>1413</v>
      </c>
      <c r="C198" s="199" t="s">
        <v>265</v>
      </c>
      <c r="D198" s="177" t="s">
        <v>262</v>
      </c>
      <c r="E198" s="43">
        <v>1540233</v>
      </c>
      <c r="F198" s="43">
        <v>1540233</v>
      </c>
      <c r="G198" s="56">
        <f t="shared" si="34"/>
        <v>0</v>
      </c>
      <c r="H198" s="316"/>
      <c r="I198" s="43">
        <f>ROUND(F198,0)</f>
        <v>1540233</v>
      </c>
      <c r="J198" s="56">
        <f t="shared" si="35"/>
        <v>0</v>
      </c>
      <c r="K198" s="316"/>
      <c r="L198" s="43">
        <f>ROUND(I198,0)</f>
        <v>1540233</v>
      </c>
      <c r="M198" s="56">
        <f t="shared" si="36"/>
        <v>0</v>
      </c>
      <c r="N198" s="316"/>
      <c r="O198" s="251">
        <f>706240+26785+495+2751</f>
        <v>736271</v>
      </c>
      <c r="P198" s="455">
        <f t="shared" si="29"/>
        <v>0.47802572727632769</v>
      </c>
      <c r="Q198" s="251"/>
    </row>
    <row r="199" spans="2:17" s="38" customFormat="1" ht="17.399999999999999" customHeight="1" outlineLevel="1" x14ac:dyDescent="0.25">
      <c r="B199" s="38">
        <v>1010</v>
      </c>
      <c r="C199" s="199" t="s">
        <v>347</v>
      </c>
      <c r="D199" s="185" t="s">
        <v>260</v>
      </c>
      <c r="E199" s="43">
        <v>0</v>
      </c>
      <c r="F199" s="43">
        <v>0</v>
      </c>
      <c r="G199" s="95">
        <f t="shared" si="34"/>
        <v>0</v>
      </c>
      <c r="H199" s="383"/>
      <c r="I199" s="43">
        <f>ROUND(F199,0)</f>
        <v>0</v>
      </c>
      <c r="J199" s="95">
        <f t="shared" si="35"/>
        <v>0</v>
      </c>
      <c r="K199" s="383"/>
      <c r="L199" s="43">
        <f>ROUND(I199,0)</f>
        <v>0</v>
      </c>
      <c r="M199" s="95">
        <f t="shared" si="36"/>
        <v>0</v>
      </c>
      <c r="N199" s="383"/>
      <c r="O199" s="252">
        <v>0</v>
      </c>
      <c r="P199" s="455"/>
      <c r="Q199" s="251"/>
    </row>
    <row r="200" spans="2:17" s="38" customFormat="1" outlineLevel="1" x14ac:dyDescent="0.25">
      <c r="B200" s="38">
        <v>1012</v>
      </c>
      <c r="C200" s="199" t="s">
        <v>822</v>
      </c>
      <c r="D200" s="177" t="s">
        <v>264</v>
      </c>
      <c r="E200" s="43">
        <v>580000</v>
      </c>
      <c r="F200" s="43">
        <v>580000</v>
      </c>
      <c r="G200" s="39">
        <f t="shared" si="34"/>
        <v>0</v>
      </c>
      <c r="H200" s="382"/>
      <c r="I200" s="43">
        <f>ROUND(F200,0)</f>
        <v>580000</v>
      </c>
      <c r="J200" s="39">
        <f t="shared" si="35"/>
        <v>0</v>
      </c>
      <c r="K200" s="382"/>
      <c r="L200" s="43">
        <f>ROUND(I200,0)</f>
        <v>580000</v>
      </c>
      <c r="M200" s="39">
        <f t="shared" si="36"/>
        <v>0</v>
      </c>
      <c r="N200" s="382"/>
      <c r="O200" s="251">
        <v>251946.76</v>
      </c>
      <c r="P200" s="455">
        <f t="shared" ref="P200:P207" si="37">O200/L200</f>
        <v>0.43439096551724138</v>
      </c>
      <c r="Q200" s="251"/>
    </row>
    <row r="201" spans="2:17" s="38" customFormat="1" outlineLevel="1" x14ac:dyDescent="0.25">
      <c r="C201" s="199" t="s">
        <v>1338</v>
      </c>
      <c r="D201" s="256" t="s">
        <v>1255</v>
      </c>
      <c r="E201" s="302">
        <v>1722</v>
      </c>
      <c r="F201" s="302">
        <v>1722</v>
      </c>
      <c r="G201" s="39">
        <f t="shared" si="34"/>
        <v>0</v>
      </c>
      <c r="H201" s="384"/>
      <c r="I201" s="302">
        <f>ROUND(F201,0)</f>
        <v>1722</v>
      </c>
      <c r="J201" s="39">
        <f t="shared" si="35"/>
        <v>0</v>
      </c>
      <c r="K201" s="384"/>
      <c r="L201" s="302">
        <f>ROUND(I201,0)</f>
        <v>1722</v>
      </c>
      <c r="M201" s="39">
        <f t="shared" si="36"/>
        <v>0</v>
      </c>
      <c r="N201" s="384"/>
      <c r="O201" s="512">
        <v>744</v>
      </c>
      <c r="P201" s="455">
        <f t="shared" si="37"/>
        <v>0.43205574912891986</v>
      </c>
      <c r="Q201" s="251"/>
    </row>
    <row r="202" spans="2:17" s="9" customFormat="1" ht="19.5" customHeight="1" x14ac:dyDescent="0.25">
      <c r="C202" s="83" t="s">
        <v>73</v>
      </c>
      <c r="D202" s="178" t="s">
        <v>176</v>
      </c>
      <c r="E202" s="42">
        <v>14883</v>
      </c>
      <c r="F202" s="42">
        <v>14883</v>
      </c>
      <c r="G202" s="22">
        <f t="shared" si="34"/>
        <v>0</v>
      </c>
      <c r="H202" s="342"/>
      <c r="I202" s="42">
        <f>I203+I204</f>
        <v>14883</v>
      </c>
      <c r="J202" s="22">
        <f t="shared" si="35"/>
        <v>0</v>
      </c>
      <c r="K202" s="342"/>
      <c r="L202" s="42">
        <f>L203+L204</f>
        <v>14883</v>
      </c>
      <c r="M202" s="22">
        <f t="shared" si="36"/>
        <v>0</v>
      </c>
      <c r="N202" s="342"/>
      <c r="O202" s="257">
        <f>O203+O204</f>
        <v>0</v>
      </c>
      <c r="P202" s="418">
        <f t="shared" si="37"/>
        <v>0</v>
      </c>
      <c r="Q202" s="257"/>
    </row>
    <row r="203" spans="2:17" s="38" customFormat="1" outlineLevel="1" x14ac:dyDescent="0.25">
      <c r="B203" s="38">
        <v>1011</v>
      </c>
      <c r="C203" s="86" t="s">
        <v>663</v>
      </c>
      <c r="D203" s="177" t="s">
        <v>266</v>
      </c>
      <c r="E203" s="43">
        <v>1407</v>
      </c>
      <c r="F203" s="43">
        <v>1407</v>
      </c>
      <c r="G203" s="39">
        <f t="shared" si="34"/>
        <v>0</v>
      </c>
      <c r="H203" s="382"/>
      <c r="I203" s="43">
        <f>ROUND(F203,0)</f>
        <v>1407</v>
      </c>
      <c r="J203" s="39">
        <f t="shared" si="35"/>
        <v>0</v>
      </c>
      <c r="K203" s="382"/>
      <c r="L203" s="43">
        <f>ROUND(I203,0)</f>
        <v>1407</v>
      </c>
      <c r="M203" s="39">
        <f t="shared" si="36"/>
        <v>0</v>
      </c>
      <c r="N203" s="382"/>
      <c r="O203" s="251">
        <v>0</v>
      </c>
      <c r="P203" s="455">
        <f t="shared" si="37"/>
        <v>0</v>
      </c>
      <c r="Q203" s="251"/>
    </row>
    <row r="204" spans="2:17" s="38" customFormat="1" outlineLevel="1" x14ac:dyDescent="0.25">
      <c r="B204" s="38">
        <v>1011</v>
      </c>
      <c r="C204" s="86" t="s">
        <v>664</v>
      </c>
      <c r="D204" s="177" t="s">
        <v>267</v>
      </c>
      <c r="E204" s="43">
        <v>13476</v>
      </c>
      <c r="F204" s="43">
        <v>13476</v>
      </c>
      <c r="G204" s="39">
        <f t="shared" si="34"/>
        <v>0</v>
      </c>
      <c r="H204" s="382"/>
      <c r="I204" s="43">
        <f>ROUND(F204,0)</f>
        <v>13476</v>
      </c>
      <c r="J204" s="39">
        <f t="shared" si="35"/>
        <v>0</v>
      </c>
      <c r="K204" s="382"/>
      <c r="L204" s="43">
        <f>ROUND(I204,0)</f>
        <v>13476</v>
      </c>
      <c r="M204" s="39">
        <f t="shared" si="36"/>
        <v>0</v>
      </c>
      <c r="N204" s="382"/>
      <c r="O204" s="251">
        <v>0</v>
      </c>
      <c r="P204" s="455">
        <f t="shared" si="37"/>
        <v>0</v>
      </c>
      <c r="Q204" s="251"/>
    </row>
    <row r="205" spans="2:17" s="9" customFormat="1" ht="26.25" customHeight="1" x14ac:dyDescent="0.25">
      <c r="C205" s="83" t="s">
        <v>177</v>
      </c>
      <c r="D205" s="178" t="s">
        <v>296</v>
      </c>
      <c r="E205" s="290">
        <v>444938</v>
      </c>
      <c r="F205" s="290">
        <v>444938</v>
      </c>
      <c r="G205" s="55">
        <f t="shared" si="34"/>
        <v>0</v>
      </c>
      <c r="H205" s="315"/>
      <c r="I205" s="290">
        <f>SUM(I206:I209)</f>
        <v>444938</v>
      </c>
      <c r="J205" s="55">
        <f t="shared" si="35"/>
        <v>0</v>
      </c>
      <c r="K205" s="315"/>
      <c r="L205" s="290">
        <f>SUM(L206:L209)</f>
        <v>444938</v>
      </c>
      <c r="M205" s="55">
        <f t="shared" si="36"/>
        <v>0</v>
      </c>
      <c r="N205" s="315"/>
      <c r="O205" s="262">
        <f>SUM(O206:O209)</f>
        <v>146819.89000000001</v>
      </c>
      <c r="P205" s="439">
        <f t="shared" si="37"/>
        <v>0.32997831158498492</v>
      </c>
      <c r="Q205" s="262"/>
    </row>
    <row r="206" spans="2:17" s="9" customFormat="1" ht="15" customHeight="1" x14ac:dyDescent="0.25">
      <c r="B206" s="7" t="s">
        <v>713</v>
      </c>
      <c r="C206" s="87" t="s">
        <v>1339</v>
      </c>
      <c r="D206" s="186" t="s">
        <v>696</v>
      </c>
      <c r="E206" s="281">
        <v>432274</v>
      </c>
      <c r="F206" s="281">
        <v>432274</v>
      </c>
      <c r="G206" s="48">
        <f t="shared" si="34"/>
        <v>0</v>
      </c>
      <c r="H206" s="338"/>
      <c r="I206" s="281">
        <f t="shared" ref="I206:I214" si="38">ROUND(F206,0)</f>
        <v>432274</v>
      </c>
      <c r="J206" s="48">
        <f t="shared" si="35"/>
        <v>0</v>
      </c>
      <c r="K206" s="338"/>
      <c r="L206" s="281">
        <f t="shared" ref="L206:L214" si="39">ROUND(I206,0)</f>
        <v>432274</v>
      </c>
      <c r="M206" s="48">
        <f t="shared" si="36"/>
        <v>0</v>
      </c>
      <c r="N206" s="338"/>
      <c r="O206" s="252">
        <v>141336.89000000001</v>
      </c>
      <c r="P206" s="435">
        <f t="shared" si="37"/>
        <v>0.32696134858908937</v>
      </c>
      <c r="Q206" s="252"/>
    </row>
    <row r="207" spans="2:17" s="9" customFormat="1" ht="15" customHeight="1" x14ac:dyDescent="0.25">
      <c r="B207" s="7" t="s">
        <v>713</v>
      </c>
      <c r="C207" s="87" t="s">
        <v>1340</v>
      </c>
      <c r="D207" s="186" t="s">
        <v>1254</v>
      </c>
      <c r="E207" s="298">
        <v>12664</v>
      </c>
      <c r="F207" s="298">
        <v>12664</v>
      </c>
      <c r="G207" s="48">
        <f t="shared" si="34"/>
        <v>0</v>
      </c>
      <c r="H207" s="385"/>
      <c r="I207" s="298">
        <f t="shared" si="38"/>
        <v>12664</v>
      </c>
      <c r="J207" s="48">
        <f t="shared" si="35"/>
        <v>0</v>
      </c>
      <c r="K207" s="385"/>
      <c r="L207" s="298">
        <f t="shared" si="39"/>
        <v>12664</v>
      </c>
      <c r="M207" s="48">
        <f t="shared" si="36"/>
        <v>0</v>
      </c>
      <c r="N207" s="385"/>
      <c r="O207" s="512">
        <v>5483</v>
      </c>
      <c r="P207" s="421">
        <f t="shared" si="37"/>
        <v>0.43295957043588124</v>
      </c>
      <c r="Q207" s="252"/>
    </row>
    <row r="208" spans="2:17" s="9" customFormat="1" ht="15.75" customHeight="1" x14ac:dyDescent="0.25">
      <c r="B208" s="7" t="s">
        <v>713</v>
      </c>
      <c r="C208" s="113" t="s">
        <v>1341</v>
      </c>
      <c r="D208" s="186" t="s">
        <v>699</v>
      </c>
      <c r="E208" s="281">
        <v>0</v>
      </c>
      <c r="F208" s="281">
        <v>0</v>
      </c>
      <c r="G208" s="48">
        <f t="shared" si="34"/>
        <v>0</v>
      </c>
      <c r="H208" s="338"/>
      <c r="I208" s="281">
        <f t="shared" si="38"/>
        <v>0</v>
      </c>
      <c r="J208" s="48">
        <f t="shared" si="35"/>
        <v>0</v>
      </c>
      <c r="K208" s="338"/>
      <c r="L208" s="281">
        <f t="shared" si="39"/>
        <v>0</v>
      </c>
      <c r="M208" s="48">
        <f t="shared" si="36"/>
        <v>0</v>
      </c>
      <c r="N208" s="338"/>
      <c r="O208" s="252">
        <v>0</v>
      </c>
      <c r="P208" s="435"/>
      <c r="Q208" s="252"/>
    </row>
    <row r="209" spans="2:19" s="9" customFormat="1" ht="15.6" customHeight="1" x14ac:dyDescent="0.25">
      <c r="B209" s="7" t="s">
        <v>454</v>
      </c>
      <c r="C209" s="87" t="s">
        <v>1342</v>
      </c>
      <c r="D209" s="186" t="s">
        <v>697</v>
      </c>
      <c r="E209" s="281">
        <v>0</v>
      </c>
      <c r="F209" s="281">
        <v>0</v>
      </c>
      <c r="G209" s="48">
        <f t="shared" si="34"/>
        <v>0</v>
      </c>
      <c r="H209" s="338"/>
      <c r="I209" s="281">
        <f t="shared" si="38"/>
        <v>0</v>
      </c>
      <c r="J209" s="48">
        <f t="shared" si="35"/>
        <v>0</v>
      </c>
      <c r="K209" s="338"/>
      <c r="L209" s="281">
        <f t="shared" si="39"/>
        <v>0</v>
      </c>
      <c r="M209" s="48">
        <f t="shared" si="36"/>
        <v>0</v>
      </c>
      <c r="N209" s="338"/>
      <c r="O209" s="252">
        <v>0</v>
      </c>
      <c r="P209" s="435"/>
      <c r="Q209" s="252"/>
    </row>
    <row r="210" spans="2:19" s="9" customFormat="1" ht="16.2" customHeight="1" x14ac:dyDescent="0.25">
      <c r="C210" s="83" t="s">
        <v>299</v>
      </c>
      <c r="D210" s="178" t="s">
        <v>178</v>
      </c>
      <c r="E210" s="42">
        <v>158418</v>
      </c>
      <c r="F210" s="42">
        <v>158418</v>
      </c>
      <c r="G210" s="22">
        <f t="shared" si="34"/>
        <v>0</v>
      </c>
      <c r="H210" s="315"/>
      <c r="I210" s="42">
        <f t="shared" si="38"/>
        <v>158418</v>
      </c>
      <c r="J210" s="22">
        <f t="shared" si="35"/>
        <v>0</v>
      </c>
      <c r="K210" s="315"/>
      <c r="L210" s="42">
        <f t="shared" si="39"/>
        <v>158418</v>
      </c>
      <c r="M210" s="22">
        <f t="shared" si="36"/>
        <v>0</v>
      </c>
      <c r="N210" s="315"/>
      <c r="O210" s="257">
        <v>52971.56</v>
      </c>
      <c r="P210" s="418">
        <f t="shared" ref="P210:P240" si="40">O210/L210</f>
        <v>0.33437841659407391</v>
      </c>
      <c r="Q210" s="257"/>
    </row>
    <row r="211" spans="2:19" s="9" customFormat="1" ht="16.5" customHeight="1" x14ac:dyDescent="0.25">
      <c r="B211" s="7">
        <v>1016</v>
      </c>
      <c r="C211" s="107" t="s">
        <v>394</v>
      </c>
      <c r="D211" s="182" t="s">
        <v>526</v>
      </c>
      <c r="E211" s="291">
        <v>70604</v>
      </c>
      <c r="F211" s="291">
        <v>70604</v>
      </c>
      <c r="G211" s="97">
        <f t="shared" si="34"/>
        <v>0</v>
      </c>
      <c r="H211" s="386"/>
      <c r="I211" s="291">
        <f t="shared" si="38"/>
        <v>70604</v>
      </c>
      <c r="J211" s="97">
        <f t="shared" si="35"/>
        <v>0</v>
      </c>
      <c r="K211" s="386"/>
      <c r="L211" s="291">
        <f t="shared" si="39"/>
        <v>70604</v>
      </c>
      <c r="M211" s="97">
        <f t="shared" si="36"/>
        <v>0</v>
      </c>
      <c r="N211" s="386"/>
      <c r="O211" s="257">
        <v>22565.06</v>
      </c>
      <c r="P211" s="456">
        <f t="shared" si="40"/>
        <v>0.31960030593167527</v>
      </c>
      <c r="Q211" s="257"/>
    </row>
    <row r="212" spans="2:19" s="9" customFormat="1" ht="18.75" hidden="1" customHeight="1" outlineLevel="1" x14ac:dyDescent="0.25">
      <c r="B212" s="7">
        <v>1017</v>
      </c>
      <c r="C212" s="83" t="s">
        <v>428</v>
      </c>
      <c r="D212" s="268" t="s">
        <v>680</v>
      </c>
      <c r="E212" s="291">
        <v>0</v>
      </c>
      <c r="F212" s="291">
        <v>0</v>
      </c>
      <c r="G212" s="97">
        <f t="shared" si="34"/>
        <v>0</v>
      </c>
      <c r="H212" s="386"/>
      <c r="I212" s="291">
        <f t="shared" si="38"/>
        <v>0</v>
      </c>
      <c r="J212" s="97">
        <f t="shared" si="35"/>
        <v>0</v>
      </c>
      <c r="K212" s="386"/>
      <c r="L212" s="291">
        <f t="shared" si="39"/>
        <v>0</v>
      </c>
      <c r="M212" s="97">
        <f t="shared" si="36"/>
        <v>0</v>
      </c>
      <c r="N212" s="386"/>
      <c r="O212" s="501">
        <v>0</v>
      </c>
      <c r="P212" s="456" t="e">
        <f t="shared" si="40"/>
        <v>#DIV/0!</v>
      </c>
      <c r="Q212" s="257"/>
    </row>
    <row r="213" spans="2:19" s="9" customFormat="1" ht="45" customHeight="1" collapsed="1" x14ac:dyDescent="0.25">
      <c r="B213" s="7">
        <v>1018</v>
      </c>
      <c r="C213" s="83" t="s">
        <v>428</v>
      </c>
      <c r="D213" s="492" t="s">
        <v>805</v>
      </c>
      <c r="E213" s="301">
        <v>44312</v>
      </c>
      <c r="F213" s="301">
        <v>44312</v>
      </c>
      <c r="G213" s="97">
        <f t="shared" si="34"/>
        <v>0</v>
      </c>
      <c r="H213" s="370"/>
      <c r="I213" s="301">
        <f t="shared" si="38"/>
        <v>44312</v>
      </c>
      <c r="J213" s="97">
        <f t="shared" si="35"/>
        <v>0</v>
      </c>
      <c r="K213" s="370"/>
      <c r="L213" s="301">
        <f t="shared" si="39"/>
        <v>44312</v>
      </c>
      <c r="M213" s="97">
        <f t="shared" si="36"/>
        <v>0</v>
      </c>
      <c r="N213" s="370"/>
      <c r="O213" s="257">
        <v>-3844.41</v>
      </c>
      <c r="P213" s="447">
        <f t="shared" si="40"/>
        <v>-8.6757763134139729E-2</v>
      </c>
      <c r="Q213" s="257" t="s">
        <v>729</v>
      </c>
    </row>
    <row r="214" spans="2:19" ht="43.5" customHeight="1" x14ac:dyDescent="0.25">
      <c r="B214" s="7" t="s">
        <v>460</v>
      </c>
      <c r="C214" s="83" t="s">
        <v>429</v>
      </c>
      <c r="D214" s="183" t="s">
        <v>277</v>
      </c>
      <c r="E214" s="291">
        <v>44830</v>
      </c>
      <c r="F214" s="291">
        <v>44830</v>
      </c>
      <c r="G214" s="97">
        <f t="shared" si="34"/>
        <v>0</v>
      </c>
      <c r="H214" s="386"/>
      <c r="I214" s="291">
        <f t="shared" si="38"/>
        <v>44830</v>
      </c>
      <c r="J214" s="97">
        <f t="shared" si="35"/>
        <v>0</v>
      </c>
      <c r="K214" s="386"/>
      <c r="L214" s="291">
        <f t="shared" si="39"/>
        <v>44830</v>
      </c>
      <c r="M214" s="97">
        <f t="shared" si="36"/>
        <v>0</v>
      </c>
      <c r="N214" s="386"/>
      <c r="O214" s="257">
        <v>7220.55</v>
      </c>
      <c r="P214" s="447">
        <f t="shared" si="40"/>
        <v>0.16106513495427169</v>
      </c>
      <c r="Q214" s="403"/>
    </row>
    <row r="215" spans="2:19" x14ac:dyDescent="0.25">
      <c r="C215" s="84" t="s">
        <v>76</v>
      </c>
      <c r="D215" s="187" t="s">
        <v>179</v>
      </c>
      <c r="E215" s="17">
        <v>33093948</v>
      </c>
      <c r="F215" s="17">
        <v>33147236</v>
      </c>
      <c r="G215" s="17">
        <f t="shared" si="34"/>
        <v>53288</v>
      </c>
      <c r="H215" s="17"/>
      <c r="I215" s="17">
        <f>I216+I217+I221+I225+I229+I233+I237+I248+I266+I269+I272+I273+I274+I275+I276+I277+I278+I279+I280</f>
        <v>33285269</v>
      </c>
      <c r="J215" s="17">
        <f t="shared" si="35"/>
        <v>138033</v>
      </c>
      <c r="K215" s="17"/>
      <c r="L215" s="17">
        <f>L216+L217+L221+L225+L229+L233+L237+L248+L266+L269+L272+L273+L274+L275+L276+L277+L278+L279+L280</f>
        <v>33385173</v>
      </c>
      <c r="M215" s="17">
        <f t="shared" si="36"/>
        <v>99904</v>
      </c>
      <c r="N215" s="17"/>
      <c r="O215" s="258">
        <f>O216+O217+O221+O225+O229+O233+O237+O248+O266+O269+O272+O273+O274+O275+O276+O277+O278+O279+O280</f>
        <v>11392525.890000001</v>
      </c>
      <c r="P215" s="432">
        <f t="shared" si="40"/>
        <v>0.34124507577061231</v>
      </c>
      <c r="Q215" s="258"/>
      <c r="R215" s="467"/>
      <c r="S215" s="497"/>
    </row>
    <row r="216" spans="2:19" ht="27.6" customHeight="1" x14ac:dyDescent="0.25">
      <c r="B216" s="30" t="s">
        <v>1434</v>
      </c>
      <c r="C216" s="83" t="s">
        <v>78</v>
      </c>
      <c r="D216" s="192" t="s">
        <v>180</v>
      </c>
      <c r="E216" s="42">
        <v>851975</v>
      </c>
      <c r="F216" s="42">
        <v>851975</v>
      </c>
      <c r="G216" s="22">
        <f t="shared" si="34"/>
        <v>0</v>
      </c>
      <c r="H216" s="342"/>
      <c r="I216" s="42">
        <f>ROUND(F216,0)</f>
        <v>851975</v>
      </c>
      <c r="J216" s="22">
        <f t="shared" si="35"/>
        <v>0</v>
      </c>
      <c r="K216" s="342"/>
      <c r="L216" s="42">
        <f>ROUND(I216,0)</f>
        <v>851975</v>
      </c>
      <c r="M216" s="22">
        <f t="shared" si="36"/>
        <v>0</v>
      </c>
      <c r="N216" s="342"/>
      <c r="O216" s="257">
        <v>457481.2</v>
      </c>
      <c r="P216" s="418">
        <f t="shared" si="40"/>
        <v>0.53696552128877018</v>
      </c>
      <c r="Q216" s="257" t="s">
        <v>1295</v>
      </c>
    </row>
    <row r="217" spans="2:19" ht="17.399999999999999" customHeight="1" x14ac:dyDescent="0.25">
      <c r="C217" s="83" t="s">
        <v>80</v>
      </c>
      <c r="D217" s="192" t="s">
        <v>181</v>
      </c>
      <c r="E217" s="42">
        <v>2529158</v>
      </c>
      <c r="F217" s="42">
        <v>2529158</v>
      </c>
      <c r="G217" s="22">
        <f t="shared" si="34"/>
        <v>0</v>
      </c>
      <c r="H217" s="315"/>
      <c r="I217" s="42">
        <f>SUM(I218:I220)</f>
        <v>2535967</v>
      </c>
      <c r="J217" s="22">
        <f t="shared" si="35"/>
        <v>6809</v>
      </c>
      <c r="K217" s="315"/>
      <c r="L217" s="42">
        <f>SUM(L218:L220)</f>
        <v>2535967</v>
      </c>
      <c r="M217" s="22">
        <f t="shared" si="36"/>
        <v>0</v>
      </c>
      <c r="N217" s="315"/>
      <c r="O217" s="257">
        <f>SUM(O218:O220)</f>
        <v>1055392.8</v>
      </c>
      <c r="P217" s="418">
        <f t="shared" si="40"/>
        <v>0.41616976877065043</v>
      </c>
      <c r="Q217" s="257"/>
    </row>
    <row r="218" spans="2:19" ht="25.2" customHeight="1" x14ac:dyDescent="0.25">
      <c r="B218" s="62" t="s">
        <v>317</v>
      </c>
      <c r="C218" s="85" t="s">
        <v>182</v>
      </c>
      <c r="D218" s="174" t="s">
        <v>272</v>
      </c>
      <c r="E218" s="292">
        <v>361243</v>
      </c>
      <c r="F218" s="292">
        <v>361243</v>
      </c>
      <c r="G218" s="18">
        <f t="shared" si="34"/>
        <v>0</v>
      </c>
      <c r="H218" s="316"/>
      <c r="I218" s="292">
        <f>ROUND(F218,0)+6809</f>
        <v>368052</v>
      </c>
      <c r="J218" s="18">
        <f t="shared" si="35"/>
        <v>6809</v>
      </c>
      <c r="K218" s="316" t="s">
        <v>1464</v>
      </c>
      <c r="L218" s="292">
        <f>ROUND(I218,0)</f>
        <v>368052</v>
      </c>
      <c r="M218" s="18">
        <f t="shared" si="36"/>
        <v>0</v>
      </c>
      <c r="N218" s="316"/>
      <c r="O218" s="422">
        <v>167042.70000000001</v>
      </c>
      <c r="P218" s="457">
        <f t="shared" si="40"/>
        <v>0.45385624857357115</v>
      </c>
      <c r="Q218" s="422"/>
    </row>
    <row r="219" spans="2:19" ht="16.5" customHeight="1" x14ac:dyDescent="0.25">
      <c r="B219" s="62" t="s">
        <v>256</v>
      </c>
      <c r="C219" s="85" t="s">
        <v>184</v>
      </c>
      <c r="D219" s="174" t="s">
        <v>185</v>
      </c>
      <c r="E219" s="292">
        <v>1638439</v>
      </c>
      <c r="F219" s="292">
        <v>1670882</v>
      </c>
      <c r="G219" s="18">
        <f t="shared" si="34"/>
        <v>32443</v>
      </c>
      <c r="H219" s="533" t="s">
        <v>1420</v>
      </c>
      <c r="I219" s="292">
        <f>ROUND(F219,0)</f>
        <v>1670882</v>
      </c>
      <c r="J219" s="18">
        <f t="shared" si="35"/>
        <v>0</v>
      </c>
      <c r="K219" s="533"/>
      <c r="L219" s="292">
        <f>ROUND(I219,0)</f>
        <v>1670882</v>
      </c>
      <c r="M219" s="18">
        <f t="shared" si="36"/>
        <v>0</v>
      </c>
      <c r="N219" s="533"/>
      <c r="O219" s="422">
        <v>742484.1</v>
      </c>
      <c r="P219" s="457">
        <f t="shared" si="40"/>
        <v>0.44436656807602209</v>
      </c>
      <c r="Q219" s="422" t="s">
        <v>733</v>
      </c>
      <c r="S219" s="425"/>
    </row>
    <row r="220" spans="2:19" ht="17.25" customHeight="1" x14ac:dyDescent="0.25">
      <c r="B220" s="62"/>
      <c r="C220" s="85" t="s">
        <v>1343</v>
      </c>
      <c r="D220" s="174" t="s">
        <v>710</v>
      </c>
      <c r="E220" s="311">
        <v>529476</v>
      </c>
      <c r="F220" s="311">
        <v>497033</v>
      </c>
      <c r="G220" s="18">
        <f t="shared" si="34"/>
        <v>-32443</v>
      </c>
      <c r="H220" s="534"/>
      <c r="I220" s="311">
        <f>ROUND(F220,0)</f>
        <v>497033</v>
      </c>
      <c r="J220" s="18">
        <f t="shared" si="35"/>
        <v>0</v>
      </c>
      <c r="K220" s="534"/>
      <c r="L220" s="311">
        <f>ROUND(I220,0)</f>
        <v>497033</v>
      </c>
      <c r="M220" s="18">
        <f t="shared" si="36"/>
        <v>0</v>
      </c>
      <c r="N220" s="534"/>
      <c r="O220" s="512">
        <v>145866</v>
      </c>
      <c r="P220" s="457">
        <f t="shared" si="40"/>
        <v>0.29347347158035786</v>
      </c>
      <c r="Q220" s="422"/>
    </row>
    <row r="221" spans="2:19" ht="18" customHeight="1" x14ac:dyDescent="0.25">
      <c r="C221" s="83" t="s">
        <v>81</v>
      </c>
      <c r="D221" s="192" t="s">
        <v>186</v>
      </c>
      <c r="E221" s="42">
        <v>1499060</v>
      </c>
      <c r="F221" s="42">
        <v>1499060</v>
      </c>
      <c r="G221" s="22">
        <f t="shared" si="34"/>
        <v>0</v>
      </c>
      <c r="H221" s="315"/>
      <c r="I221" s="42">
        <f>I222+I223+I224</f>
        <v>1501706</v>
      </c>
      <c r="J221" s="22">
        <f t="shared" si="35"/>
        <v>2646</v>
      </c>
      <c r="K221" s="315"/>
      <c r="L221" s="42">
        <f>L222+L223+L224</f>
        <v>1501706</v>
      </c>
      <c r="M221" s="22">
        <f t="shared" si="36"/>
        <v>0</v>
      </c>
      <c r="N221" s="315"/>
      <c r="O221" s="257">
        <f>O222+O223+O224</f>
        <v>636156.54</v>
      </c>
      <c r="P221" s="418">
        <f t="shared" si="40"/>
        <v>0.42362255994182618</v>
      </c>
      <c r="Q221" s="257"/>
    </row>
    <row r="222" spans="2:19" ht="25.95" customHeight="1" x14ac:dyDescent="0.25">
      <c r="B222" s="62" t="s">
        <v>318</v>
      </c>
      <c r="C222" s="85" t="s">
        <v>187</v>
      </c>
      <c r="D222" s="174" t="s">
        <v>272</v>
      </c>
      <c r="E222" s="243">
        <v>144697</v>
      </c>
      <c r="F222" s="243">
        <v>144697</v>
      </c>
      <c r="G222" s="16">
        <f t="shared" si="34"/>
        <v>0</v>
      </c>
      <c r="H222" s="316"/>
      <c r="I222" s="243">
        <f>ROUND(F222,0)+2646</f>
        <v>147343</v>
      </c>
      <c r="J222" s="16">
        <f t="shared" si="35"/>
        <v>2646</v>
      </c>
      <c r="K222" s="316" t="s">
        <v>1464</v>
      </c>
      <c r="L222" s="243">
        <f>ROUND(I222,0)</f>
        <v>147343</v>
      </c>
      <c r="M222" s="16">
        <f t="shared" si="36"/>
        <v>0</v>
      </c>
      <c r="N222" s="316"/>
      <c r="O222" s="252">
        <v>70015.259999999995</v>
      </c>
      <c r="P222" s="405">
        <f t="shared" si="40"/>
        <v>0.47518551950211407</v>
      </c>
      <c r="Q222" s="252"/>
    </row>
    <row r="223" spans="2:19" ht="13.5" customHeight="1" x14ac:dyDescent="0.25">
      <c r="B223" s="62" t="s">
        <v>506</v>
      </c>
      <c r="C223" s="85" t="s">
        <v>188</v>
      </c>
      <c r="D223" s="174" t="s">
        <v>185</v>
      </c>
      <c r="E223" s="243">
        <v>1108510</v>
      </c>
      <c r="F223" s="243">
        <v>1108510</v>
      </c>
      <c r="G223" s="16">
        <f t="shared" si="34"/>
        <v>0</v>
      </c>
      <c r="H223" s="316"/>
      <c r="I223" s="243">
        <f>ROUND(F223,0)</f>
        <v>1108510</v>
      </c>
      <c r="J223" s="16">
        <f t="shared" si="35"/>
        <v>0</v>
      </c>
      <c r="K223" s="316"/>
      <c r="L223" s="243">
        <f>ROUND(I223,0)</f>
        <v>1108510</v>
      </c>
      <c r="M223" s="16">
        <f t="shared" si="36"/>
        <v>0</v>
      </c>
      <c r="N223" s="316"/>
      <c r="O223" s="252">
        <v>475502.28</v>
      </c>
      <c r="P223" s="405">
        <f t="shared" si="40"/>
        <v>0.42895623855445603</v>
      </c>
      <c r="Q223" s="252" t="s">
        <v>733</v>
      </c>
      <c r="S223" s="425"/>
    </row>
    <row r="224" spans="2:19" ht="16.95" customHeight="1" x14ac:dyDescent="0.25">
      <c r="B224" s="62"/>
      <c r="C224" s="85" t="s">
        <v>430</v>
      </c>
      <c r="D224" s="174" t="s">
        <v>710</v>
      </c>
      <c r="E224" s="289">
        <v>245853</v>
      </c>
      <c r="F224" s="289">
        <v>245853</v>
      </c>
      <c r="G224" s="16">
        <f t="shared" si="34"/>
        <v>0</v>
      </c>
      <c r="H224" s="314"/>
      <c r="I224" s="289">
        <f>ROUND(F224,0)</f>
        <v>245853</v>
      </c>
      <c r="J224" s="16">
        <f t="shared" si="35"/>
        <v>0</v>
      </c>
      <c r="K224" s="314"/>
      <c r="L224" s="289">
        <f>ROUND(I224,0)</f>
        <v>245853</v>
      </c>
      <c r="M224" s="16">
        <f t="shared" si="36"/>
        <v>0</v>
      </c>
      <c r="N224" s="314"/>
      <c r="O224" s="512">
        <v>90639</v>
      </c>
      <c r="P224" s="405">
        <f t="shared" si="40"/>
        <v>0.36867152322729435</v>
      </c>
      <c r="Q224" s="252"/>
    </row>
    <row r="225" spans="2:19" ht="27.6" customHeight="1" x14ac:dyDescent="0.25">
      <c r="C225" s="83" t="s">
        <v>189</v>
      </c>
      <c r="D225" s="192" t="s">
        <v>343</v>
      </c>
      <c r="E225" s="42">
        <v>1850322</v>
      </c>
      <c r="F225" s="42">
        <v>1850322</v>
      </c>
      <c r="G225" s="22">
        <f t="shared" si="34"/>
        <v>0</v>
      </c>
      <c r="H225" s="315"/>
      <c r="I225" s="42">
        <f>I226+I227+I228</f>
        <v>1854025</v>
      </c>
      <c r="J225" s="22">
        <f t="shared" si="35"/>
        <v>3703</v>
      </c>
      <c r="K225" s="315"/>
      <c r="L225" s="42">
        <f>L226+L227+L228</f>
        <v>1854025</v>
      </c>
      <c r="M225" s="22">
        <f t="shared" si="36"/>
        <v>0</v>
      </c>
      <c r="N225" s="315"/>
      <c r="O225" s="257">
        <f>O226+O227+O228</f>
        <v>721771.91</v>
      </c>
      <c r="P225" s="418">
        <f t="shared" si="40"/>
        <v>0.3892999878642413</v>
      </c>
      <c r="Q225" s="257"/>
    </row>
    <row r="226" spans="2:19" ht="13.5" customHeight="1" x14ac:dyDescent="0.25">
      <c r="B226" s="7" t="s">
        <v>377</v>
      </c>
      <c r="C226" s="85" t="s">
        <v>1344</v>
      </c>
      <c r="D226" s="174" t="s">
        <v>272</v>
      </c>
      <c r="E226" s="243">
        <v>200053</v>
      </c>
      <c r="F226" s="243">
        <v>200053</v>
      </c>
      <c r="G226" s="16">
        <f t="shared" si="34"/>
        <v>0</v>
      </c>
      <c r="H226" s="316"/>
      <c r="I226" s="243">
        <f>ROUND(F226,0)+3703</f>
        <v>203756</v>
      </c>
      <c r="J226" s="16">
        <f t="shared" si="35"/>
        <v>3703</v>
      </c>
      <c r="K226" s="316" t="s">
        <v>1464</v>
      </c>
      <c r="L226" s="243">
        <f>ROUND(I226,0)</f>
        <v>203756</v>
      </c>
      <c r="M226" s="16">
        <f t="shared" si="36"/>
        <v>0</v>
      </c>
      <c r="N226" s="316"/>
      <c r="O226" s="252">
        <v>90347.74</v>
      </c>
      <c r="P226" s="405">
        <f t="shared" si="40"/>
        <v>0.4434114332829463</v>
      </c>
      <c r="Q226" s="252"/>
    </row>
    <row r="227" spans="2:19" ht="15.6" customHeight="1" x14ac:dyDescent="0.25">
      <c r="B227" s="7" t="s">
        <v>380</v>
      </c>
      <c r="C227" s="85" t="s">
        <v>1345</v>
      </c>
      <c r="D227" s="174" t="s">
        <v>185</v>
      </c>
      <c r="E227" s="243">
        <v>1406595</v>
      </c>
      <c r="F227" s="243">
        <v>1406595</v>
      </c>
      <c r="G227" s="16">
        <f t="shared" si="34"/>
        <v>0</v>
      </c>
      <c r="H227" s="387"/>
      <c r="I227" s="243">
        <f>ROUND(F227,0)</f>
        <v>1406595</v>
      </c>
      <c r="J227" s="16">
        <f t="shared" si="35"/>
        <v>0</v>
      </c>
      <c r="K227" s="387"/>
      <c r="L227" s="243">
        <f>ROUND(I227,0)</f>
        <v>1406595</v>
      </c>
      <c r="M227" s="16">
        <f t="shared" si="36"/>
        <v>0</v>
      </c>
      <c r="N227" s="387"/>
      <c r="O227" s="252">
        <v>528251.17000000004</v>
      </c>
      <c r="P227" s="405">
        <f t="shared" si="40"/>
        <v>0.37555314074058277</v>
      </c>
      <c r="Q227" s="252"/>
      <c r="S227" s="425"/>
    </row>
    <row r="228" spans="2:19" ht="17.399999999999999" customHeight="1" x14ac:dyDescent="0.25">
      <c r="C228" s="85" t="s">
        <v>1346</v>
      </c>
      <c r="D228" s="174" t="s">
        <v>710</v>
      </c>
      <c r="E228" s="278">
        <v>243674</v>
      </c>
      <c r="F228" s="243">
        <v>243674</v>
      </c>
      <c r="G228" s="16">
        <f t="shared" si="34"/>
        <v>0</v>
      </c>
      <c r="H228" s="388"/>
      <c r="I228" s="243">
        <f>ROUND(F228,0)</f>
        <v>243674</v>
      </c>
      <c r="J228" s="16">
        <f t="shared" si="35"/>
        <v>0</v>
      </c>
      <c r="K228" s="388"/>
      <c r="L228" s="243">
        <f>ROUND(I228,0)</f>
        <v>243674</v>
      </c>
      <c r="M228" s="16">
        <f t="shared" si="36"/>
        <v>0</v>
      </c>
      <c r="N228" s="388"/>
      <c r="O228" s="512">
        <v>103173</v>
      </c>
      <c r="P228" s="420">
        <f t="shared" si="40"/>
        <v>0.4234058619302839</v>
      </c>
      <c r="Q228" s="252"/>
    </row>
    <row r="229" spans="2:19" ht="27.6" x14ac:dyDescent="0.25">
      <c r="B229" s="7" t="s">
        <v>381</v>
      </c>
      <c r="C229" s="83" t="s">
        <v>192</v>
      </c>
      <c r="D229" s="192" t="s">
        <v>346</v>
      </c>
      <c r="E229" s="42">
        <v>1570891</v>
      </c>
      <c r="F229" s="42">
        <v>1570891</v>
      </c>
      <c r="G229" s="22">
        <f t="shared" si="34"/>
        <v>0</v>
      </c>
      <c r="H229" s="315"/>
      <c r="I229" s="42">
        <f>SUM(I230:I232)</f>
        <v>1575794</v>
      </c>
      <c r="J229" s="22">
        <f t="shared" si="35"/>
        <v>4903</v>
      </c>
      <c r="K229" s="315"/>
      <c r="L229" s="42">
        <f>SUM(L230:L232)</f>
        <v>1575794</v>
      </c>
      <c r="M229" s="22">
        <f t="shared" si="36"/>
        <v>0</v>
      </c>
      <c r="N229" s="315"/>
      <c r="O229" s="257">
        <f>SUM(O230:O232)</f>
        <v>583767.54</v>
      </c>
      <c r="P229" s="418">
        <f t="shared" si="40"/>
        <v>0.37045929861390514</v>
      </c>
      <c r="Q229" s="257"/>
    </row>
    <row r="230" spans="2:19" s="31" customFormat="1" ht="26.4" customHeight="1" x14ac:dyDescent="0.25">
      <c r="B230" s="66" t="s">
        <v>382</v>
      </c>
      <c r="C230" s="85" t="s">
        <v>1347</v>
      </c>
      <c r="D230" s="174" t="s">
        <v>272</v>
      </c>
      <c r="E230" s="243">
        <v>263376</v>
      </c>
      <c r="F230" s="243">
        <v>263376</v>
      </c>
      <c r="G230" s="18">
        <f t="shared" si="34"/>
        <v>0</v>
      </c>
      <c r="H230" s="316"/>
      <c r="I230" s="243">
        <f>ROUND(F230,0)+4903</f>
        <v>268279</v>
      </c>
      <c r="J230" s="18">
        <f t="shared" si="35"/>
        <v>4903</v>
      </c>
      <c r="K230" s="316" t="s">
        <v>1464</v>
      </c>
      <c r="L230" s="243">
        <f>ROUND(I230,0)</f>
        <v>268279</v>
      </c>
      <c r="M230" s="18">
        <f t="shared" si="36"/>
        <v>0</v>
      </c>
      <c r="N230" s="316"/>
      <c r="O230" s="252">
        <v>113934.98</v>
      </c>
      <c r="P230" s="405">
        <f t="shared" si="40"/>
        <v>0.4246884027449036</v>
      </c>
      <c r="Q230" s="252"/>
    </row>
    <row r="231" spans="2:19" s="31" customFormat="1" ht="15.6" customHeight="1" x14ac:dyDescent="0.25">
      <c r="C231" s="85" t="s">
        <v>1348</v>
      </c>
      <c r="D231" s="174" t="s">
        <v>185</v>
      </c>
      <c r="E231" s="243">
        <v>1141525</v>
      </c>
      <c r="F231" s="243">
        <v>1141525</v>
      </c>
      <c r="G231" s="389">
        <f t="shared" si="34"/>
        <v>0</v>
      </c>
      <c r="H231" s="316"/>
      <c r="I231" s="243">
        <f>ROUND(F231,0)</f>
        <v>1141525</v>
      </c>
      <c r="J231" s="389">
        <f t="shared" si="35"/>
        <v>0</v>
      </c>
      <c r="K231" s="316"/>
      <c r="L231" s="243">
        <f>ROUND(I231,0)</f>
        <v>1141525</v>
      </c>
      <c r="M231" s="389">
        <f t="shared" si="36"/>
        <v>0</v>
      </c>
      <c r="N231" s="316"/>
      <c r="O231" s="252">
        <v>399264.56</v>
      </c>
      <c r="P231" s="405">
        <f t="shared" si="40"/>
        <v>0.34976418387683145</v>
      </c>
      <c r="Q231" s="252"/>
      <c r="S231" s="478"/>
    </row>
    <row r="232" spans="2:19" s="31" customFormat="1" ht="13.95" customHeight="1" x14ac:dyDescent="0.25">
      <c r="C232" s="85" t="s">
        <v>1349</v>
      </c>
      <c r="D232" s="174" t="s">
        <v>710</v>
      </c>
      <c r="E232" s="278">
        <v>165990</v>
      </c>
      <c r="F232" s="243">
        <v>165990</v>
      </c>
      <c r="G232" s="389">
        <f t="shared" si="34"/>
        <v>0</v>
      </c>
      <c r="H232" s="321"/>
      <c r="I232" s="243">
        <f>ROUND(F232,0)</f>
        <v>165990</v>
      </c>
      <c r="J232" s="389">
        <f t="shared" si="35"/>
        <v>0</v>
      </c>
      <c r="K232" s="321"/>
      <c r="L232" s="243">
        <f>ROUND(I232,0)</f>
        <v>165990</v>
      </c>
      <c r="M232" s="389">
        <f t="shared" si="36"/>
        <v>0</v>
      </c>
      <c r="N232" s="321"/>
      <c r="O232" s="512">
        <v>70568</v>
      </c>
      <c r="P232" s="420">
        <f t="shared" si="40"/>
        <v>0.42513404421953127</v>
      </c>
      <c r="Q232" s="252"/>
    </row>
    <row r="233" spans="2:19" x14ac:dyDescent="0.25">
      <c r="C233" s="83" t="s">
        <v>194</v>
      </c>
      <c r="D233" s="192" t="s">
        <v>190</v>
      </c>
      <c r="E233" s="42">
        <v>3805461</v>
      </c>
      <c r="F233" s="42">
        <v>3797888</v>
      </c>
      <c r="G233" s="22">
        <f t="shared" si="34"/>
        <v>-7573</v>
      </c>
      <c r="H233" s="315"/>
      <c r="I233" s="42">
        <f>I234+I235+I236</f>
        <v>3797888</v>
      </c>
      <c r="J233" s="22">
        <f t="shared" si="35"/>
        <v>0</v>
      </c>
      <c r="K233" s="315"/>
      <c r="L233" s="42">
        <f>L234+L235+L236</f>
        <v>3797888</v>
      </c>
      <c r="M233" s="22">
        <f t="shared" si="36"/>
        <v>0</v>
      </c>
      <c r="N233" s="315"/>
      <c r="O233" s="257">
        <f>O234+O235+O236</f>
        <v>1463074.57</v>
      </c>
      <c r="P233" s="418">
        <f t="shared" si="40"/>
        <v>0.38523373253766308</v>
      </c>
      <c r="Q233" s="257"/>
    </row>
    <row r="234" spans="2:19" s="31" customFormat="1" ht="18.600000000000001" customHeight="1" x14ac:dyDescent="0.25">
      <c r="B234" s="66" t="s">
        <v>259</v>
      </c>
      <c r="C234" s="89" t="s">
        <v>1350</v>
      </c>
      <c r="D234" s="205" t="s">
        <v>191</v>
      </c>
      <c r="E234" s="243">
        <v>705444</v>
      </c>
      <c r="F234" s="243">
        <v>697871</v>
      </c>
      <c r="G234" s="18">
        <f t="shared" si="34"/>
        <v>-7573</v>
      </c>
      <c r="H234" s="316" t="s">
        <v>1414</v>
      </c>
      <c r="I234" s="243">
        <f>ROUND(F234,0)</f>
        <v>697871</v>
      </c>
      <c r="J234" s="18">
        <f t="shared" si="35"/>
        <v>0</v>
      </c>
      <c r="K234" s="316"/>
      <c r="L234" s="243">
        <f>ROUND(I234,0)</f>
        <v>697871</v>
      </c>
      <c r="M234" s="18">
        <f t="shared" si="36"/>
        <v>0</v>
      </c>
      <c r="N234" s="316"/>
      <c r="O234" s="252">
        <v>273112.58</v>
      </c>
      <c r="P234" s="405">
        <f t="shared" si="40"/>
        <v>0.39135109497313975</v>
      </c>
      <c r="Q234" s="252"/>
    </row>
    <row r="235" spans="2:19" s="31" customFormat="1" ht="16.2" customHeight="1" x14ac:dyDescent="0.25">
      <c r="B235" s="66" t="s">
        <v>1292</v>
      </c>
      <c r="C235" s="89" t="s">
        <v>1351</v>
      </c>
      <c r="D235" s="205" t="s">
        <v>812</v>
      </c>
      <c r="E235" s="243">
        <v>2846110</v>
      </c>
      <c r="F235" s="243">
        <v>2846110</v>
      </c>
      <c r="G235" s="18">
        <f t="shared" si="34"/>
        <v>0</v>
      </c>
      <c r="H235" s="317"/>
      <c r="I235" s="243">
        <f>ROUND(F235,0)</f>
        <v>2846110</v>
      </c>
      <c r="J235" s="18">
        <f t="shared" si="35"/>
        <v>0</v>
      </c>
      <c r="K235" s="317"/>
      <c r="L235" s="243">
        <f>ROUND(I235,0)</f>
        <v>2846110</v>
      </c>
      <c r="M235" s="18">
        <f t="shared" si="36"/>
        <v>0</v>
      </c>
      <c r="N235" s="317"/>
      <c r="O235" s="252">
        <v>1062663.43</v>
      </c>
      <c r="P235" s="405">
        <f t="shared" si="40"/>
        <v>0.37337398413975564</v>
      </c>
      <c r="Q235" s="252"/>
    </row>
    <row r="236" spans="2:19" ht="14.4" customHeight="1" x14ac:dyDescent="0.25">
      <c r="B236" s="62" t="s">
        <v>1293</v>
      </c>
      <c r="C236" s="85" t="s">
        <v>1352</v>
      </c>
      <c r="D236" s="174" t="s">
        <v>311</v>
      </c>
      <c r="E236" s="243">
        <v>253907</v>
      </c>
      <c r="F236" s="243">
        <v>253907</v>
      </c>
      <c r="G236" s="18">
        <f t="shared" si="34"/>
        <v>0</v>
      </c>
      <c r="H236" s="318"/>
      <c r="I236" s="243">
        <f>ROUND(F236,0)</f>
        <v>253907</v>
      </c>
      <c r="J236" s="18">
        <f t="shared" si="35"/>
        <v>0</v>
      </c>
      <c r="K236" s="318"/>
      <c r="L236" s="243">
        <f>ROUND(I236,0)</f>
        <v>253907</v>
      </c>
      <c r="M236" s="18">
        <f t="shared" si="36"/>
        <v>0</v>
      </c>
      <c r="N236" s="318"/>
      <c r="O236" s="252">
        <v>127298.56</v>
      </c>
      <c r="P236" s="458">
        <f t="shared" si="40"/>
        <v>0.50135900152418011</v>
      </c>
      <c r="Q236" s="252"/>
    </row>
    <row r="237" spans="2:19" s="9" customFormat="1" ht="15.75" customHeight="1" x14ac:dyDescent="0.25">
      <c r="C237" s="83" t="s">
        <v>195</v>
      </c>
      <c r="D237" s="192" t="s">
        <v>1294</v>
      </c>
      <c r="E237" s="287">
        <v>2754926</v>
      </c>
      <c r="F237" s="287">
        <v>2709458</v>
      </c>
      <c r="G237" s="28">
        <f t="shared" si="34"/>
        <v>-45468</v>
      </c>
      <c r="H237" s="319"/>
      <c r="I237" s="287">
        <f>I238+I242+I243+I244+I245+I246+I247</f>
        <v>2734011</v>
      </c>
      <c r="J237" s="28">
        <f t="shared" si="35"/>
        <v>24553</v>
      </c>
      <c r="K237" s="319"/>
      <c r="L237" s="287">
        <f>L238+L242+L243+L244+L245+L246+L247</f>
        <v>2737011</v>
      </c>
      <c r="M237" s="28">
        <f t="shared" si="36"/>
        <v>3000</v>
      </c>
      <c r="N237" s="319"/>
      <c r="O237" s="415">
        <f>O238+O242+O243+O244+O245+O246+O247</f>
        <v>1195161.5000000002</v>
      </c>
      <c r="P237" s="449">
        <f t="shared" si="40"/>
        <v>0.43666667762752881</v>
      </c>
      <c r="Q237" s="415"/>
    </row>
    <row r="238" spans="2:19" s="15" customFormat="1" ht="24.6" customHeight="1" x14ac:dyDescent="0.25">
      <c r="B238" s="64"/>
      <c r="C238" s="85" t="s">
        <v>1353</v>
      </c>
      <c r="D238" s="174" t="s">
        <v>272</v>
      </c>
      <c r="E238" s="243">
        <v>1540363</v>
      </c>
      <c r="F238" s="243">
        <v>1494895</v>
      </c>
      <c r="G238" s="16">
        <f t="shared" si="34"/>
        <v>-45468</v>
      </c>
      <c r="H238" s="316"/>
      <c r="I238" s="243">
        <f>I239+I240+I241</f>
        <v>1519448</v>
      </c>
      <c r="J238" s="16">
        <f t="shared" si="35"/>
        <v>24553</v>
      </c>
      <c r="K238" s="316"/>
      <c r="L238" s="243">
        <f>L239+L240+L241</f>
        <v>1519448</v>
      </c>
      <c r="M238" s="16">
        <f t="shared" si="36"/>
        <v>0</v>
      </c>
      <c r="N238" s="316"/>
      <c r="O238" s="252">
        <f>O239+O240+O241</f>
        <v>682318.62</v>
      </c>
      <c r="P238" s="405">
        <f t="shared" si="40"/>
        <v>0.44905690750851623</v>
      </c>
      <c r="Q238" s="252"/>
    </row>
    <row r="239" spans="2:19" s="247" customFormat="1" ht="33.75" customHeight="1" x14ac:dyDescent="0.25">
      <c r="B239" s="248" t="s">
        <v>384</v>
      </c>
      <c r="C239" s="121" t="s">
        <v>1354</v>
      </c>
      <c r="D239" s="200" t="s">
        <v>872</v>
      </c>
      <c r="E239" s="293">
        <v>1364718</v>
      </c>
      <c r="F239" s="293">
        <v>1365831</v>
      </c>
      <c r="G239" s="249">
        <f t="shared" si="34"/>
        <v>1113</v>
      </c>
      <c r="H239" s="320" t="s">
        <v>1415</v>
      </c>
      <c r="I239" s="293">
        <f t="shared" ref="I239:I247" si="41">ROUND(F239,0)</f>
        <v>1365831</v>
      </c>
      <c r="J239" s="249">
        <f t="shared" si="35"/>
        <v>0</v>
      </c>
      <c r="K239" s="320"/>
      <c r="L239" s="293">
        <f t="shared" ref="L239:L240" si="42">ROUND(I239,0)</f>
        <v>1365831</v>
      </c>
      <c r="M239" s="249">
        <f t="shared" si="36"/>
        <v>0</v>
      </c>
      <c r="N239" s="320"/>
      <c r="O239" s="249">
        <f>673887.89-O241-O242</f>
        <v>627991.38</v>
      </c>
      <c r="P239" s="405">
        <f t="shared" si="40"/>
        <v>0.4597870307527066</v>
      </c>
      <c r="Q239" s="249"/>
    </row>
    <row r="240" spans="2:19" s="247" customFormat="1" ht="29.4" customHeight="1" x14ac:dyDescent="0.25">
      <c r="B240" s="248" t="s">
        <v>876</v>
      </c>
      <c r="C240" s="121" t="s">
        <v>1355</v>
      </c>
      <c r="D240" s="200" t="s">
        <v>873</v>
      </c>
      <c r="E240" s="293">
        <v>175645</v>
      </c>
      <c r="F240" s="293">
        <v>129064</v>
      </c>
      <c r="G240" s="249">
        <f t="shared" si="34"/>
        <v>-46581</v>
      </c>
      <c r="H240" s="320" t="s">
        <v>1414</v>
      </c>
      <c r="I240" s="293">
        <f t="shared" si="41"/>
        <v>129064</v>
      </c>
      <c r="J240" s="249">
        <f t="shared" si="35"/>
        <v>0</v>
      </c>
      <c r="K240" s="320"/>
      <c r="L240" s="293">
        <f t="shared" si="42"/>
        <v>129064</v>
      </c>
      <c r="M240" s="249">
        <f t="shared" si="36"/>
        <v>0</v>
      </c>
      <c r="N240" s="320"/>
      <c r="O240" s="249">
        <v>54327.24</v>
      </c>
      <c r="P240" s="405">
        <f t="shared" si="40"/>
        <v>0.42093256059009482</v>
      </c>
      <c r="Q240" s="249"/>
    </row>
    <row r="241" spans="2:20" s="247" customFormat="1" ht="17.25" customHeight="1" x14ac:dyDescent="0.25">
      <c r="B241" s="248"/>
      <c r="C241" s="121" t="s">
        <v>1356</v>
      </c>
      <c r="D241" s="200" t="s">
        <v>874</v>
      </c>
      <c r="E241" s="293">
        <v>0</v>
      </c>
      <c r="F241" s="293">
        <v>0</v>
      </c>
      <c r="G241" s="249">
        <f t="shared" si="34"/>
        <v>0</v>
      </c>
      <c r="H241" s="320"/>
      <c r="I241" s="293">
        <f>ROUND(F241,0)+24553</f>
        <v>24553</v>
      </c>
      <c r="J241" s="249">
        <f t="shared" si="35"/>
        <v>24553</v>
      </c>
      <c r="K241" s="316" t="s">
        <v>1464</v>
      </c>
      <c r="L241" s="293">
        <f>ROUND(I241,0)</f>
        <v>24553</v>
      </c>
      <c r="M241" s="249">
        <f t="shared" si="36"/>
        <v>0</v>
      </c>
      <c r="N241" s="316"/>
      <c r="O241" s="249">
        <v>0</v>
      </c>
      <c r="P241" s="459"/>
      <c r="Q241" s="249"/>
    </row>
    <row r="242" spans="2:20" s="15" customFormat="1" x14ac:dyDescent="0.25">
      <c r="B242" s="15" t="s">
        <v>384</v>
      </c>
      <c r="C242" s="85" t="s">
        <v>1357</v>
      </c>
      <c r="D242" s="174" t="s">
        <v>314</v>
      </c>
      <c r="E242" s="309">
        <v>94076</v>
      </c>
      <c r="F242" s="309">
        <v>94076</v>
      </c>
      <c r="G242" s="16">
        <f t="shared" si="34"/>
        <v>0</v>
      </c>
      <c r="H242" s="316"/>
      <c r="I242" s="309">
        <f t="shared" si="41"/>
        <v>94076</v>
      </c>
      <c r="J242" s="16">
        <f t="shared" si="35"/>
        <v>0</v>
      </c>
      <c r="K242" s="316"/>
      <c r="L242" s="309">
        <f t="shared" ref="L242:L247" si="43">ROUND(I242,0)</f>
        <v>94076</v>
      </c>
      <c r="M242" s="16">
        <f t="shared" si="36"/>
        <v>0</v>
      </c>
      <c r="N242" s="316"/>
      <c r="O242" s="252">
        <v>45896.51</v>
      </c>
      <c r="P242" s="405">
        <f>O242/L242</f>
        <v>0.4878662995875675</v>
      </c>
      <c r="Q242" s="252"/>
    </row>
    <row r="243" spans="2:20" s="15" customFormat="1" ht="15.75" customHeight="1" x14ac:dyDescent="0.25">
      <c r="B243" s="64" t="s">
        <v>383</v>
      </c>
      <c r="C243" s="85" t="s">
        <v>1358</v>
      </c>
      <c r="D243" s="174" t="s">
        <v>185</v>
      </c>
      <c r="E243" s="243">
        <v>645648</v>
      </c>
      <c r="F243" s="243">
        <v>689772</v>
      </c>
      <c r="G243" s="16">
        <f t="shared" si="34"/>
        <v>44124</v>
      </c>
      <c r="H243" s="533" t="s">
        <v>1417</v>
      </c>
      <c r="I243" s="243">
        <f t="shared" si="41"/>
        <v>689772</v>
      </c>
      <c r="J243" s="16">
        <f t="shared" si="35"/>
        <v>0</v>
      </c>
      <c r="K243" s="533"/>
      <c r="L243" s="243">
        <f>ROUND(I243,0)+3000</f>
        <v>692772</v>
      </c>
      <c r="M243" s="16">
        <f t="shared" si="36"/>
        <v>3000</v>
      </c>
      <c r="N243" s="484" t="s">
        <v>1479</v>
      </c>
      <c r="O243" s="252">
        <v>253652.65000000002</v>
      </c>
      <c r="P243" s="405">
        <f>O243/L243</f>
        <v>0.36614160214327374</v>
      </c>
      <c r="Q243" s="252"/>
      <c r="S243" s="481"/>
    </row>
    <row r="244" spans="2:20" s="15" customFormat="1" ht="16.95" customHeight="1" x14ac:dyDescent="0.25">
      <c r="B244" s="64"/>
      <c r="C244" s="118" t="s">
        <v>1359</v>
      </c>
      <c r="D244" s="174" t="s">
        <v>710</v>
      </c>
      <c r="E244" s="278">
        <v>386671</v>
      </c>
      <c r="F244" s="243">
        <v>342547</v>
      </c>
      <c r="G244" s="16">
        <f t="shared" si="34"/>
        <v>-44124</v>
      </c>
      <c r="H244" s="534"/>
      <c r="I244" s="243">
        <f t="shared" si="41"/>
        <v>342547</v>
      </c>
      <c r="J244" s="16">
        <f t="shared" si="35"/>
        <v>0</v>
      </c>
      <c r="K244" s="534"/>
      <c r="L244" s="243">
        <f t="shared" si="43"/>
        <v>342547</v>
      </c>
      <c r="M244" s="16">
        <f t="shared" si="36"/>
        <v>0</v>
      </c>
      <c r="N244" s="388"/>
      <c r="O244" s="512">
        <v>158419</v>
      </c>
      <c r="P244" s="420">
        <f>O244/L244</f>
        <v>0.46247376272453122</v>
      </c>
      <c r="Q244" s="252"/>
    </row>
    <row r="245" spans="2:20" s="15" customFormat="1" ht="16.95" customHeight="1" x14ac:dyDescent="0.25">
      <c r="B245" s="64" t="s">
        <v>385</v>
      </c>
      <c r="C245" s="85" t="s">
        <v>1360</v>
      </c>
      <c r="D245" s="174" t="s">
        <v>306</v>
      </c>
      <c r="E245" s="243">
        <v>11200</v>
      </c>
      <c r="F245" s="243">
        <v>11200</v>
      </c>
      <c r="G245" s="16">
        <f t="shared" si="34"/>
        <v>0</v>
      </c>
      <c r="H245" s="318"/>
      <c r="I245" s="243">
        <f t="shared" si="41"/>
        <v>11200</v>
      </c>
      <c r="J245" s="16">
        <f t="shared" si="35"/>
        <v>0</v>
      </c>
      <c r="K245" s="318"/>
      <c r="L245" s="243">
        <f t="shared" si="43"/>
        <v>11200</v>
      </c>
      <c r="M245" s="16">
        <f t="shared" si="36"/>
        <v>0</v>
      </c>
      <c r="N245" s="318"/>
      <c r="O245" s="252">
        <v>4345.6000000000004</v>
      </c>
      <c r="P245" s="405">
        <f>O245/L245</f>
        <v>0.38800000000000001</v>
      </c>
      <c r="Q245" s="252"/>
    </row>
    <row r="246" spans="2:20" s="9" customFormat="1" ht="15.6" customHeight="1" x14ac:dyDescent="0.25">
      <c r="B246" s="62" t="s">
        <v>507</v>
      </c>
      <c r="C246" s="85" t="s">
        <v>1361</v>
      </c>
      <c r="D246" s="174" t="s">
        <v>826</v>
      </c>
      <c r="E246" s="243">
        <v>76968</v>
      </c>
      <c r="F246" s="243">
        <v>76968</v>
      </c>
      <c r="G246" s="16">
        <f t="shared" si="34"/>
        <v>0</v>
      </c>
      <c r="H246" s="322"/>
      <c r="I246" s="243">
        <f t="shared" si="41"/>
        <v>76968</v>
      </c>
      <c r="J246" s="16">
        <f t="shared" si="35"/>
        <v>0</v>
      </c>
      <c r="K246" s="322"/>
      <c r="L246" s="243">
        <f t="shared" si="43"/>
        <v>76968</v>
      </c>
      <c r="M246" s="16">
        <f t="shared" si="36"/>
        <v>0</v>
      </c>
      <c r="N246" s="322"/>
      <c r="O246" s="252">
        <v>50529.120000000003</v>
      </c>
      <c r="P246" s="405">
        <f>O246/L246</f>
        <v>0.65649516682257569</v>
      </c>
      <c r="Q246" s="252"/>
    </row>
    <row r="247" spans="2:20" s="9" customFormat="1" ht="15" customHeight="1" x14ac:dyDescent="0.25">
      <c r="B247" s="62" t="s">
        <v>383</v>
      </c>
      <c r="C247" s="85" t="s">
        <v>1362</v>
      </c>
      <c r="D247" s="207" t="s">
        <v>409</v>
      </c>
      <c r="E247" s="243">
        <v>0</v>
      </c>
      <c r="F247" s="243">
        <v>0</v>
      </c>
      <c r="G247" s="16">
        <f t="shared" si="34"/>
        <v>0</v>
      </c>
      <c r="H247" s="323"/>
      <c r="I247" s="243">
        <f t="shared" si="41"/>
        <v>0</v>
      </c>
      <c r="J247" s="16">
        <f t="shared" si="35"/>
        <v>0</v>
      </c>
      <c r="K247" s="323"/>
      <c r="L247" s="243">
        <f t="shared" si="43"/>
        <v>0</v>
      </c>
      <c r="M247" s="16">
        <f t="shared" si="36"/>
        <v>0</v>
      </c>
      <c r="N247" s="323"/>
      <c r="O247" s="498"/>
      <c r="P247" s="405"/>
      <c r="Q247" s="252"/>
    </row>
    <row r="248" spans="2:20" s="15" customFormat="1" ht="15.75" customHeight="1" x14ac:dyDescent="0.25">
      <c r="B248" s="64"/>
      <c r="C248" s="83" t="s">
        <v>197</v>
      </c>
      <c r="D248" s="192" t="s">
        <v>193</v>
      </c>
      <c r="E248" s="28">
        <v>8902379</v>
      </c>
      <c r="F248" s="28">
        <v>8976780</v>
      </c>
      <c r="G248" s="287">
        <f t="shared" si="34"/>
        <v>74401</v>
      </c>
      <c r="H248" s="287"/>
      <c r="I248" s="28">
        <f>I249+I253+I254+I255+I256+I257+I258+I259+I260+I261+I262</f>
        <v>9067744</v>
      </c>
      <c r="J248" s="287">
        <f t="shared" si="35"/>
        <v>90964</v>
      </c>
      <c r="K248" s="287"/>
      <c r="L248" s="28">
        <f>L249+L253+L254+L255+L256+L257+L258+L259+L260+L261+L262</f>
        <v>9068044</v>
      </c>
      <c r="M248" s="287">
        <f t="shared" si="36"/>
        <v>300</v>
      </c>
      <c r="N248" s="287"/>
      <c r="O248" s="415">
        <f>O249+O253+O254+O255+O256+O257+O258+O259+O260+O261+O262</f>
        <v>3869623.6000000006</v>
      </c>
      <c r="P248" s="449">
        <f>O248/L248</f>
        <v>0.42673189499301067</v>
      </c>
      <c r="Q248" s="415"/>
    </row>
    <row r="249" spans="2:20" s="15" customFormat="1" ht="27" customHeight="1" x14ac:dyDescent="0.25">
      <c r="B249" s="64"/>
      <c r="C249" s="85" t="s">
        <v>1363</v>
      </c>
      <c r="D249" s="174" t="s">
        <v>272</v>
      </c>
      <c r="E249" s="243">
        <v>4520522</v>
      </c>
      <c r="F249" s="243">
        <v>4589323</v>
      </c>
      <c r="G249" s="16">
        <f t="shared" si="34"/>
        <v>68801</v>
      </c>
      <c r="H249" s="316"/>
      <c r="I249" s="243">
        <f>SUM(I250:I252)</f>
        <v>4662311</v>
      </c>
      <c r="J249" s="16">
        <f t="shared" si="35"/>
        <v>72988</v>
      </c>
      <c r="K249" s="316"/>
      <c r="L249" s="243">
        <f>SUM(L250:L252)</f>
        <v>4662311</v>
      </c>
      <c r="M249" s="16">
        <f t="shared" si="36"/>
        <v>0</v>
      </c>
      <c r="N249" s="316"/>
      <c r="O249" s="252">
        <f>SUM(O250:O252)</f>
        <v>2074262.62</v>
      </c>
      <c r="P249" s="405">
        <f>O249/L249</f>
        <v>0.44490009782702183</v>
      </c>
      <c r="Q249" s="252"/>
    </row>
    <row r="250" spans="2:20" s="247" customFormat="1" ht="30.75" customHeight="1" x14ac:dyDescent="0.25">
      <c r="B250" s="248" t="s">
        <v>368</v>
      </c>
      <c r="C250" s="121" t="s">
        <v>1364</v>
      </c>
      <c r="D250" s="200" t="s">
        <v>872</v>
      </c>
      <c r="E250" s="293">
        <v>4199279</v>
      </c>
      <c r="F250" s="293">
        <v>4198166</v>
      </c>
      <c r="G250" s="249">
        <f t="shared" si="34"/>
        <v>-1113</v>
      </c>
      <c r="H250" s="320" t="s">
        <v>1418</v>
      </c>
      <c r="I250" s="293">
        <f t="shared" ref="I250:I261" si="44">ROUND(F250,0)</f>
        <v>4198166</v>
      </c>
      <c r="J250" s="249">
        <f t="shared" si="35"/>
        <v>0</v>
      </c>
      <c r="K250" s="320"/>
      <c r="L250" s="293">
        <f t="shared" ref="L250:L251" si="45">ROUND(I250,0)</f>
        <v>4198166</v>
      </c>
      <c r="M250" s="249">
        <f t="shared" si="36"/>
        <v>0</v>
      </c>
      <c r="N250" s="320"/>
      <c r="O250" s="249">
        <f>2005819.01-O252-O261</f>
        <v>1897332.33</v>
      </c>
      <c r="P250" s="405">
        <f>O250/L250</f>
        <v>0.45194314136220437</v>
      </c>
      <c r="Q250" s="249"/>
    </row>
    <row r="251" spans="2:20" s="247" customFormat="1" ht="32.4" customHeight="1" x14ac:dyDescent="0.25">
      <c r="B251" s="248" t="s">
        <v>875</v>
      </c>
      <c r="C251" s="121" t="s">
        <v>1365</v>
      </c>
      <c r="D251" s="200" t="s">
        <v>873</v>
      </c>
      <c r="E251" s="293">
        <v>321243</v>
      </c>
      <c r="F251" s="293">
        <v>391157</v>
      </c>
      <c r="G251" s="249">
        <f t="shared" si="34"/>
        <v>69914</v>
      </c>
      <c r="H251" s="320" t="s">
        <v>1414</v>
      </c>
      <c r="I251" s="293">
        <f t="shared" si="44"/>
        <v>391157</v>
      </c>
      <c r="J251" s="249">
        <f t="shared" si="35"/>
        <v>0</v>
      </c>
      <c r="K251" s="320"/>
      <c r="L251" s="293">
        <f t="shared" si="45"/>
        <v>391157</v>
      </c>
      <c r="M251" s="249">
        <f t="shared" si="36"/>
        <v>0</v>
      </c>
      <c r="N251" s="320"/>
      <c r="O251" s="249">
        <v>162470.79999999999</v>
      </c>
      <c r="P251" s="405">
        <f>O251/L251</f>
        <v>0.41535956150599374</v>
      </c>
      <c r="Q251" s="249"/>
    </row>
    <row r="252" spans="2:20" s="247" customFormat="1" ht="17.25" customHeight="1" x14ac:dyDescent="0.25">
      <c r="B252" s="248" t="s">
        <v>368</v>
      </c>
      <c r="C252" s="121" t="s">
        <v>1366</v>
      </c>
      <c r="D252" s="200" t="s">
        <v>874</v>
      </c>
      <c r="E252" s="293">
        <v>0</v>
      </c>
      <c r="F252" s="293">
        <v>0</v>
      </c>
      <c r="G252" s="249">
        <f t="shared" si="34"/>
        <v>0</v>
      </c>
      <c r="H252" s="320"/>
      <c r="I252" s="293">
        <f>ROUND(F252,0)+72988</f>
        <v>72988</v>
      </c>
      <c r="J252" s="249">
        <f t="shared" si="35"/>
        <v>72988</v>
      </c>
      <c r="K252" s="316" t="s">
        <v>1464</v>
      </c>
      <c r="L252" s="293">
        <f>ROUND(I252,0)</f>
        <v>72988</v>
      </c>
      <c r="M252" s="249">
        <f t="shared" si="36"/>
        <v>0</v>
      </c>
      <c r="N252" s="316"/>
      <c r="O252" s="249">
        <v>14459.49</v>
      </c>
      <c r="P252" s="459"/>
      <c r="Q252" s="249"/>
    </row>
    <row r="253" spans="2:20" s="15" customFormat="1" ht="31.5" customHeight="1" x14ac:dyDescent="0.25">
      <c r="B253" s="64" t="s">
        <v>257</v>
      </c>
      <c r="C253" s="85" t="s">
        <v>1367</v>
      </c>
      <c r="D253" s="174" t="s">
        <v>185</v>
      </c>
      <c r="E253" s="243">
        <v>861741</v>
      </c>
      <c r="F253" s="243">
        <v>904140</v>
      </c>
      <c r="G253" s="16">
        <f t="shared" ref="G253:G289" si="46">F253-E253</f>
        <v>42399</v>
      </c>
      <c r="H253" s="533" t="s">
        <v>1428</v>
      </c>
      <c r="I253" s="243">
        <f t="shared" si="44"/>
        <v>904140</v>
      </c>
      <c r="J253" s="16">
        <f t="shared" ref="J253:J289" si="47">I253-F253</f>
        <v>0</v>
      </c>
      <c r="K253" s="484"/>
      <c r="L253" s="243">
        <f>ROUND(I253,0)+300</f>
        <v>904440</v>
      </c>
      <c r="M253" s="16">
        <f t="shared" ref="M253:M289" si="48">L253-I253</f>
        <v>300</v>
      </c>
      <c r="N253" s="484" t="s">
        <v>1474</v>
      </c>
      <c r="O253" s="252">
        <v>331616.14000000007</v>
      </c>
      <c r="P253" s="405">
        <f t="shared" ref="P253:P289" si="49">O253/L253</f>
        <v>0.36665355358011598</v>
      </c>
      <c r="Q253" s="252"/>
      <c r="S253" s="247"/>
      <c r="T253" s="247"/>
    </row>
    <row r="254" spans="2:20" s="15" customFormat="1" ht="31.95" customHeight="1" x14ac:dyDescent="0.25">
      <c r="B254" s="64"/>
      <c r="C254" s="85" t="s">
        <v>1368</v>
      </c>
      <c r="D254" s="196" t="s">
        <v>710</v>
      </c>
      <c r="E254" s="289">
        <v>813750</v>
      </c>
      <c r="F254" s="289">
        <v>779351</v>
      </c>
      <c r="G254" s="16">
        <f t="shared" si="46"/>
        <v>-34399</v>
      </c>
      <c r="H254" s="534"/>
      <c r="I254" s="289">
        <f>ROUND(F254,0)+1321</f>
        <v>780672</v>
      </c>
      <c r="J254" s="16">
        <f t="shared" si="47"/>
        <v>1321</v>
      </c>
      <c r="K254" s="388" t="s">
        <v>1460</v>
      </c>
      <c r="L254" s="289">
        <f>ROUND(I254,0)</f>
        <v>780672</v>
      </c>
      <c r="M254" s="16">
        <f t="shared" si="48"/>
        <v>0</v>
      </c>
      <c r="N254" s="388"/>
      <c r="O254" s="512">
        <v>312166</v>
      </c>
      <c r="P254" s="405">
        <f t="shared" si="49"/>
        <v>0.39986831857681587</v>
      </c>
      <c r="Q254" s="252"/>
      <c r="S254" s="247"/>
      <c r="T254" s="247"/>
    </row>
    <row r="255" spans="2:20" s="15" customFormat="1" ht="15" customHeight="1" x14ac:dyDescent="0.25">
      <c r="B255" s="15" t="s">
        <v>369</v>
      </c>
      <c r="C255" s="85" t="s">
        <v>1369</v>
      </c>
      <c r="D255" s="174" t="s">
        <v>271</v>
      </c>
      <c r="E255" s="243">
        <v>51949</v>
      </c>
      <c r="F255" s="243">
        <v>51949</v>
      </c>
      <c r="G255" s="16">
        <f t="shared" si="46"/>
        <v>0</v>
      </c>
      <c r="H255" s="317"/>
      <c r="I255" s="243">
        <f t="shared" si="44"/>
        <v>51949</v>
      </c>
      <c r="J255" s="16">
        <f t="shared" si="47"/>
        <v>0</v>
      </c>
      <c r="K255" s="317"/>
      <c r="L255" s="243">
        <f t="shared" ref="L255:L257" si="50">ROUND(I255,0)</f>
        <v>51949</v>
      </c>
      <c r="M255" s="16">
        <f t="shared" si="48"/>
        <v>0</v>
      </c>
      <c r="N255" s="317"/>
      <c r="O255" s="252">
        <v>24871.47</v>
      </c>
      <c r="P255" s="405">
        <f t="shared" si="49"/>
        <v>0.47876706000115499</v>
      </c>
      <c r="Q255" s="252"/>
    </row>
    <row r="256" spans="2:20" s="15" customFormat="1" ht="16.2" customHeight="1" x14ac:dyDescent="0.25">
      <c r="B256" s="64" t="s">
        <v>321</v>
      </c>
      <c r="C256" s="85" t="s">
        <v>1370</v>
      </c>
      <c r="D256" s="174" t="s">
        <v>306</v>
      </c>
      <c r="E256" s="243">
        <v>41000</v>
      </c>
      <c r="F256" s="243">
        <v>41000</v>
      </c>
      <c r="G256" s="48">
        <f t="shared" si="46"/>
        <v>0</v>
      </c>
      <c r="H256" s="318"/>
      <c r="I256" s="243">
        <f t="shared" si="44"/>
        <v>41000</v>
      </c>
      <c r="J256" s="48">
        <f t="shared" si="47"/>
        <v>0</v>
      </c>
      <c r="K256" s="318"/>
      <c r="L256" s="243">
        <f t="shared" si="50"/>
        <v>41000</v>
      </c>
      <c r="M256" s="48">
        <f t="shared" si="48"/>
        <v>0</v>
      </c>
      <c r="N256" s="318"/>
      <c r="O256" s="252">
        <v>19160.21</v>
      </c>
      <c r="P256" s="405">
        <f t="shared" si="49"/>
        <v>0.46732219512195122</v>
      </c>
      <c r="Q256" s="252"/>
    </row>
    <row r="257" spans="2:19" s="10" customFormat="1" ht="30.6" customHeight="1" x14ac:dyDescent="0.25">
      <c r="B257" s="64" t="s">
        <v>257</v>
      </c>
      <c r="C257" s="85" t="s">
        <v>1371</v>
      </c>
      <c r="D257" s="174" t="s">
        <v>1299</v>
      </c>
      <c r="E257" s="243">
        <v>300000</v>
      </c>
      <c r="F257" s="243">
        <v>300000</v>
      </c>
      <c r="G257" s="57">
        <f t="shared" si="46"/>
        <v>0</v>
      </c>
      <c r="H257" s="318"/>
      <c r="I257" s="243">
        <f t="shared" si="44"/>
        <v>300000</v>
      </c>
      <c r="J257" s="57">
        <f t="shared" si="47"/>
        <v>0</v>
      </c>
      <c r="K257" s="352"/>
      <c r="L257" s="243">
        <f t="shared" si="50"/>
        <v>300000</v>
      </c>
      <c r="M257" s="57">
        <f t="shared" si="48"/>
        <v>0</v>
      </c>
      <c r="N257" s="352"/>
      <c r="O257" s="252">
        <v>0</v>
      </c>
      <c r="P257" s="405">
        <f t="shared" si="49"/>
        <v>0</v>
      </c>
      <c r="Q257" s="252"/>
    </row>
    <row r="258" spans="2:19" s="10" customFormat="1" ht="72" customHeight="1" x14ac:dyDescent="0.25">
      <c r="B258" s="64" t="s">
        <v>257</v>
      </c>
      <c r="C258" s="85" t="s">
        <v>1372</v>
      </c>
      <c r="D258" s="196" t="s">
        <v>806</v>
      </c>
      <c r="E258" s="289">
        <v>542914</v>
      </c>
      <c r="F258" s="243">
        <v>542914</v>
      </c>
      <c r="G258" s="57">
        <f t="shared" si="46"/>
        <v>0</v>
      </c>
      <c r="H258" s="423" t="s">
        <v>1426</v>
      </c>
      <c r="I258" s="243">
        <f>ROUND(F258,0)+14715</f>
        <v>557629</v>
      </c>
      <c r="J258" s="57">
        <f t="shared" si="47"/>
        <v>14715</v>
      </c>
      <c r="K258" s="352" t="s">
        <v>1459</v>
      </c>
      <c r="L258" s="243">
        <f>ROUND(I258,0)</f>
        <v>557629</v>
      </c>
      <c r="M258" s="57">
        <f t="shared" si="48"/>
        <v>0</v>
      </c>
      <c r="N258" s="513"/>
      <c r="O258" s="252">
        <v>413914.42</v>
      </c>
      <c r="P258" s="442">
        <f t="shared" si="49"/>
        <v>0.74227563487551751</v>
      </c>
      <c r="Q258" s="252"/>
    </row>
    <row r="259" spans="2:19" s="10" customFormat="1" ht="18" customHeight="1" x14ac:dyDescent="0.25">
      <c r="B259" s="63" t="s">
        <v>286</v>
      </c>
      <c r="C259" s="85" t="s">
        <v>1373</v>
      </c>
      <c r="D259" s="174" t="s">
        <v>304</v>
      </c>
      <c r="E259" s="243">
        <v>707203</v>
      </c>
      <c r="F259" s="243">
        <v>727923</v>
      </c>
      <c r="G259" s="16">
        <f t="shared" si="46"/>
        <v>20720</v>
      </c>
      <c r="H259" s="533" t="s">
        <v>1429</v>
      </c>
      <c r="I259" s="243">
        <f t="shared" si="44"/>
        <v>727923</v>
      </c>
      <c r="J259" s="16">
        <f t="shared" si="47"/>
        <v>0</v>
      </c>
      <c r="K259" s="533"/>
      <c r="L259" s="243">
        <f t="shared" ref="L259:L261" si="51">ROUND(I259,0)</f>
        <v>727923</v>
      </c>
      <c r="M259" s="16">
        <f t="shared" si="48"/>
        <v>0</v>
      </c>
      <c r="N259" s="533"/>
      <c r="O259" s="252">
        <v>285938.31</v>
      </c>
      <c r="P259" s="405">
        <f t="shared" si="49"/>
        <v>0.39281395147563686</v>
      </c>
      <c r="Q259" s="252"/>
    </row>
    <row r="260" spans="2:19" s="10" customFormat="1" ht="32.4" customHeight="1" x14ac:dyDescent="0.25">
      <c r="B260" s="63"/>
      <c r="C260" s="85" t="s">
        <v>1374</v>
      </c>
      <c r="D260" s="196" t="s">
        <v>862</v>
      </c>
      <c r="E260" s="289">
        <v>451553</v>
      </c>
      <c r="F260" s="289">
        <v>428433</v>
      </c>
      <c r="G260" s="16">
        <f t="shared" si="46"/>
        <v>-23120</v>
      </c>
      <c r="H260" s="534"/>
      <c r="I260" s="289">
        <f t="shared" si="44"/>
        <v>428433</v>
      </c>
      <c r="J260" s="16">
        <f t="shared" si="47"/>
        <v>0</v>
      </c>
      <c r="K260" s="534"/>
      <c r="L260" s="289">
        <f t="shared" si="51"/>
        <v>428433</v>
      </c>
      <c r="M260" s="16">
        <f t="shared" si="48"/>
        <v>0</v>
      </c>
      <c r="N260" s="534"/>
      <c r="O260" s="512">
        <v>190546</v>
      </c>
      <c r="P260" s="405">
        <f t="shared" si="49"/>
        <v>0.44475098790242584</v>
      </c>
      <c r="Q260" s="252"/>
      <c r="S260" s="480"/>
    </row>
    <row r="261" spans="2:19" s="10" customFormat="1" ht="15" customHeight="1" x14ac:dyDescent="0.25">
      <c r="B261" s="64" t="s">
        <v>368</v>
      </c>
      <c r="C261" s="85" t="s">
        <v>1375</v>
      </c>
      <c r="D261" s="174" t="s">
        <v>315</v>
      </c>
      <c r="E261" s="243">
        <v>263797</v>
      </c>
      <c r="F261" s="243">
        <v>263797</v>
      </c>
      <c r="G261" s="48">
        <f t="shared" si="46"/>
        <v>0</v>
      </c>
      <c r="H261" s="316"/>
      <c r="I261" s="243">
        <f t="shared" si="44"/>
        <v>263797</v>
      </c>
      <c r="J261" s="48">
        <f t="shared" si="47"/>
        <v>0</v>
      </c>
      <c r="K261" s="316"/>
      <c r="L261" s="243">
        <f t="shared" si="51"/>
        <v>263797</v>
      </c>
      <c r="M261" s="48">
        <f t="shared" si="48"/>
        <v>0</v>
      </c>
      <c r="N261" s="316"/>
      <c r="O261" s="252">
        <v>94027.19</v>
      </c>
      <c r="P261" s="405">
        <f t="shared" si="49"/>
        <v>0.3564376774565291</v>
      </c>
      <c r="Q261" s="252"/>
    </row>
    <row r="262" spans="2:19" s="92" customFormat="1" ht="13.95" customHeight="1" x14ac:dyDescent="0.25">
      <c r="B262" s="63"/>
      <c r="C262" s="93" t="s">
        <v>1376</v>
      </c>
      <c r="D262" s="206" t="s">
        <v>323</v>
      </c>
      <c r="E262" s="294">
        <v>347950</v>
      </c>
      <c r="F262" s="294">
        <v>347950</v>
      </c>
      <c r="G262" s="109">
        <f t="shared" si="46"/>
        <v>0</v>
      </c>
      <c r="H262" s="109"/>
      <c r="I262" s="294">
        <f>I263+I264+I265</f>
        <v>349890</v>
      </c>
      <c r="J262" s="109">
        <f t="shared" si="47"/>
        <v>1940</v>
      </c>
      <c r="K262" s="109"/>
      <c r="L262" s="294">
        <f>L263+L264+L265</f>
        <v>349890</v>
      </c>
      <c r="M262" s="109">
        <f t="shared" si="48"/>
        <v>0</v>
      </c>
      <c r="N262" s="109"/>
      <c r="O262" s="424">
        <f>O263+O264+O265</f>
        <v>123121.23999999999</v>
      </c>
      <c r="P262" s="468">
        <f t="shared" si="49"/>
        <v>0.35188556403441079</v>
      </c>
      <c r="Q262" s="424"/>
    </row>
    <row r="263" spans="2:19" s="10" customFormat="1" ht="12" customHeight="1" x14ac:dyDescent="0.25">
      <c r="B263" s="62" t="s">
        <v>367</v>
      </c>
      <c r="C263" s="90" t="s">
        <v>1377</v>
      </c>
      <c r="D263" s="174" t="s">
        <v>878</v>
      </c>
      <c r="E263" s="243">
        <v>100105</v>
      </c>
      <c r="F263" s="243">
        <v>100105</v>
      </c>
      <c r="G263" s="57">
        <f t="shared" si="46"/>
        <v>0</v>
      </c>
      <c r="H263" s="316"/>
      <c r="I263" s="243">
        <f>ROUND(F263,0)+1940</f>
        <v>102045</v>
      </c>
      <c r="J263" s="57">
        <f t="shared" si="47"/>
        <v>1940</v>
      </c>
      <c r="K263" s="316" t="s">
        <v>1464</v>
      </c>
      <c r="L263" s="243">
        <f>ROUND(I263,0)</f>
        <v>102045</v>
      </c>
      <c r="M263" s="57">
        <f t="shared" si="48"/>
        <v>0</v>
      </c>
      <c r="N263" s="316"/>
      <c r="O263" s="252">
        <v>44140.24</v>
      </c>
      <c r="P263" s="405">
        <f t="shared" si="49"/>
        <v>0.43255661717869565</v>
      </c>
      <c r="Q263" s="252"/>
    </row>
    <row r="264" spans="2:19" s="9" customFormat="1" ht="13.95" customHeight="1" x14ac:dyDescent="0.25">
      <c r="B264" s="63" t="s">
        <v>322</v>
      </c>
      <c r="C264" s="90" t="s">
        <v>1378</v>
      </c>
      <c r="D264" s="174" t="s">
        <v>324</v>
      </c>
      <c r="E264" s="243">
        <v>232189</v>
      </c>
      <c r="F264" s="243">
        <v>232189</v>
      </c>
      <c r="G264" s="57">
        <f t="shared" si="46"/>
        <v>0</v>
      </c>
      <c r="H264" s="335"/>
      <c r="I264" s="243">
        <f>ROUND(F264,0)</f>
        <v>232189</v>
      </c>
      <c r="J264" s="57">
        <f t="shared" si="47"/>
        <v>0</v>
      </c>
      <c r="K264" s="335"/>
      <c r="L264" s="243">
        <f>ROUND(I264,0)</f>
        <v>232189</v>
      </c>
      <c r="M264" s="57">
        <f t="shared" si="48"/>
        <v>0</v>
      </c>
      <c r="N264" s="335"/>
      <c r="O264" s="252">
        <v>72393</v>
      </c>
      <c r="P264" s="405">
        <f t="shared" si="49"/>
        <v>0.31178479600670145</v>
      </c>
      <c r="Q264" s="252"/>
      <c r="S264" s="479"/>
    </row>
    <row r="265" spans="2:19" s="9" customFormat="1" ht="13.95" customHeight="1" x14ac:dyDescent="0.25">
      <c r="B265" s="63"/>
      <c r="C265" s="90" t="s">
        <v>1379</v>
      </c>
      <c r="D265" s="196" t="s">
        <v>861</v>
      </c>
      <c r="E265" s="289">
        <v>15656</v>
      </c>
      <c r="F265" s="289">
        <v>15656</v>
      </c>
      <c r="G265" s="57">
        <f t="shared" si="46"/>
        <v>0</v>
      </c>
      <c r="H265" s="339"/>
      <c r="I265" s="289">
        <f>ROUND(F265,0)</f>
        <v>15656</v>
      </c>
      <c r="J265" s="57">
        <f t="shared" si="47"/>
        <v>0</v>
      </c>
      <c r="K265" s="339"/>
      <c r="L265" s="289">
        <f>ROUND(I265,0)</f>
        <v>15656</v>
      </c>
      <c r="M265" s="57">
        <f t="shared" si="48"/>
        <v>0</v>
      </c>
      <c r="N265" s="339"/>
      <c r="O265" s="512">
        <v>6588</v>
      </c>
      <c r="P265" s="405">
        <f t="shared" si="49"/>
        <v>0.42079713847726113</v>
      </c>
      <c r="Q265" s="252"/>
    </row>
    <row r="266" spans="2:19" ht="18" customHeight="1" x14ac:dyDescent="0.25">
      <c r="C266" s="88" t="s">
        <v>1256</v>
      </c>
      <c r="D266" s="192" t="s">
        <v>698</v>
      </c>
      <c r="E266" s="287">
        <v>1819829</v>
      </c>
      <c r="F266" s="287">
        <v>1819829</v>
      </c>
      <c r="G266" s="28">
        <f t="shared" si="46"/>
        <v>0</v>
      </c>
      <c r="H266" s="28"/>
      <c r="I266" s="287">
        <f>I267+I268</f>
        <v>1819829</v>
      </c>
      <c r="J266" s="28">
        <f t="shared" si="47"/>
        <v>0</v>
      </c>
      <c r="K266" s="28"/>
      <c r="L266" s="287">
        <f>L267+L268</f>
        <v>1819529</v>
      </c>
      <c r="M266" s="28">
        <f t="shared" si="48"/>
        <v>-300</v>
      </c>
      <c r="N266" s="28"/>
      <c r="O266" s="415">
        <f>O267+O268</f>
        <v>904975.08000000007</v>
      </c>
      <c r="P266" s="449">
        <f t="shared" si="49"/>
        <v>0.49736776935129917</v>
      </c>
      <c r="Q266" s="415"/>
    </row>
    <row r="267" spans="2:19" ht="13.5" customHeight="1" x14ac:dyDescent="0.25">
      <c r="C267" s="85" t="s">
        <v>1380</v>
      </c>
      <c r="D267" s="174" t="s">
        <v>183</v>
      </c>
      <c r="E267" s="243">
        <v>735359</v>
      </c>
      <c r="F267" s="243">
        <v>735359</v>
      </c>
      <c r="G267" s="16">
        <f t="shared" si="46"/>
        <v>0</v>
      </c>
      <c r="H267" s="316"/>
      <c r="I267" s="243">
        <f>ROUND(F267,0)</f>
        <v>735359</v>
      </c>
      <c r="J267" s="16">
        <f t="shared" si="47"/>
        <v>0</v>
      </c>
      <c r="K267" s="316"/>
      <c r="L267" s="243">
        <f>ROUND(I267,0)</f>
        <v>735359</v>
      </c>
      <c r="M267" s="16">
        <f t="shared" si="48"/>
        <v>0</v>
      </c>
      <c r="N267" s="316"/>
      <c r="O267" s="252">
        <v>410943.39</v>
      </c>
      <c r="P267" s="405">
        <f t="shared" si="49"/>
        <v>0.55883369891440782</v>
      </c>
      <c r="Q267" s="252"/>
    </row>
    <row r="268" spans="2:19" ht="25.95" customHeight="1" x14ac:dyDescent="0.25">
      <c r="C268" s="85" t="s">
        <v>1380</v>
      </c>
      <c r="D268" s="174" t="s">
        <v>185</v>
      </c>
      <c r="E268" s="243">
        <v>1084470</v>
      </c>
      <c r="F268" s="243">
        <v>1084470</v>
      </c>
      <c r="G268" s="16">
        <f t="shared" si="46"/>
        <v>0</v>
      </c>
      <c r="H268" s="390"/>
      <c r="I268" s="243">
        <f>ROUND(F268,0)</f>
        <v>1084470</v>
      </c>
      <c r="J268" s="16">
        <f t="shared" si="47"/>
        <v>0</v>
      </c>
      <c r="K268" s="390"/>
      <c r="L268" s="243">
        <f>ROUND(I268,0)-300</f>
        <v>1084170</v>
      </c>
      <c r="M268" s="16">
        <f t="shared" si="48"/>
        <v>-300</v>
      </c>
      <c r="N268" s="390" t="s">
        <v>1474</v>
      </c>
      <c r="O268" s="252">
        <v>494031.69</v>
      </c>
      <c r="P268" s="405">
        <f t="shared" si="49"/>
        <v>0.45567732920114007</v>
      </c>
      <c r="Q268" s="403"/>
    </row>
    <row r="269" spans="2:19" ht="16.2" customHeight="1" x14ac:dyDescent="0.25">
      <c r="C269" s="91" t="s">
        <v>1381</v>
      </c>
      <c r="D269" s="192" t="s">
        <v>196</v>
      </c>
      <c r="E269" s="287">
        <v>845947</v>
      </c>
      <c r="F269" s="287">
        <v>845947</v>
      </c>
      <c r="G269" s="28">
        <f t="shared" si="46"/>
        <v>0</v>
      </c>
      <c r="H269" s="319"/>
      <c r="I269" s="287">
        <f>I270+I271</f>
        <v>845947</v>
      </c>
      <c r="J269" s="28">
        <f t="shared" si="47"/>
        <v>0</v>
      </c>
      <c r="K269" s="319"/>
      <c r="L269" s="287">
        <f>L270+L271</f>
        <v>845947</v>
      </c>
      <c r="M269" s="28">
        <f t="shared" si="48"/>
        <v>0</v>
      </c>
      <c r="N269" s="319"/>
      <c r="O269" s="415">
        <f>O270+O271</f>
        <v>331626.59999999998</v>
      </c>
      <c r="P269" s="449">
        <f t="shared" si="49"/>
        <v>0.39201817607958889</v>
      </c>
      <c r="Q269" s="415"/>
    </row>
    <row r="270" spans="2:19" ht="16.5" customHeight="1" x14ac:dyDescent="0.25">
      <c r="B270" s="62" t="s">
        <v>505</v>
      </c>
      <c r="C270" s="85" t="s">
        <v>1383</v>
      </c>
      <c r="D270" s="174" t="s">
        <v>183</v>
      </c>
      <c r="E270" s="243">
        <v>313283</v>
      </c>
      <c r="F270" s="243">
        <v>313283</v>
      </c>
      <c r="G270" s="16">
        <f t="shared" si="46"/>
        <v>0</v>
      </c>
      <c r="H270" s="318"/>
      <c r="I270" s="243">
        <f t="shared" ref="I270:I279" si="52">ROUND(F270,0)</f>
        <v>313283</v>
      </c>
      <c r="J270" s="16">
        <f t="shared" si="47"/>
        <v>0</v>
      </c>
      <c r="K270" s="318"/>
      <c r="L270" s="243">
        <f t="shared" ref="L270:L271" si="53">ROUND(I270,0)</f>
        <v>313283</v>
      </c>
      <c r="M270" s="16">
        <f t="shared" si="48"/>
        <v>0</v>
      </c>
      <c r="N270" s="318"/>
      <c r="O270" s="252">
        <v>162340.89000000001</v>
      </c>
      <c r="P270" s="405">
        <f t="shared" si="49"/>
        <v>0.51819246495979676</v>
      </c>
      <c r="Q270" s="252"/>
    </row>
    <row r="271" spans="2:19" ht="16.5" customHeight="1" x14ac:dyDescent="0.25">
      <c r="B271" s="62" t="s">
        <v>258</v>
      </c>
      <c r="C271" s="85" t="s">
        <v>1382</v>
      </c>
      <c r="D271" s="174" t="s">
        <v>261</v>
      </c>
      <c r="E271" s="243">
        <v>532664</v>
      </c>
      <c r="F271" s="243">
        <v>532664</v>
      </c>
      <c r="G271" s="16">
        <f t="shared" si="46"/>
        <v>0</v>
      </c>
      <c r="H271" s="316"/>
      <c r="I271" s="243">
        <f t="shared" si="52"/>
        <v>532664</v>
      </c>
      <c r="J271" s="16">
        <f t="shared" si="47"/>
        <v>0</v>
      </c>
      <c r="K271" s="316"/>
      <c r="L271" s="243">
        <f t="shared" si="53"/>
        <v>532664</v>
      </c>
      <c r="M271" s="16">
        <f t="shared" si="48"/>
        <v>0</v>
      </c>
      <c r="N271" s="316"/>
      <c r="O271" s="252">
        <v>169285.71</v>
      </c>
      <c r="P271" s="405">
        <f t="shared" si="49"/>
        <v>0.31780955724434162</v>
      </c>
      <c r="Q271" s="403"/>
    </row>
    <row r="272" spans="2:19" ht="152.25" customHeight="1" x14ac:dyDescent="0.25">
      <c r="B272" s="62" t="s">
        <v>268</v>
      </c>
      <c r="C272" s="91" t="s">
        <v>1384</v>
      </c>
      <c r="D272" s="192" t="s">
        <v>788</v>
      </c>
      <c r="E272" s="42">
        <v>508477</v>
      </c>
      <c r="F272" s="42">
        <v>540405</v>
      </c>
      <c r="G272" s="22">
        <f t="shared" si="46"/>
        <v>31928</v>
      </c>
      <c r="H272" s="342" t="s">
        <v>1423</v>
      </c>
      <c r="I272" s="42">
        <f>ROUND(F272,0)+4455</f>
        <v>544860</v>
      </c>
      <c r="J272" s="22">
        <f t="shared" si="47"/>
        <v>4455</v>
      </c>
      <c r="K272" s="342" t="s">
        <v>1468</v>
      </c>
      <c r="L272" s="42">
        <f>ROUND(I272,0)+44477+8781+38003+5643</f>
        <v>641764</v>
      </c>
      <c r="M272" s="22">
        <f t="shared" si="48"/>
        <v>96904</v>
      </c>
      <c r="N272" s="342" t="s">
        <v>1481</v>
      </c>
      <c r="O272" s="257">
        <v>168480.97999999998</v>
      </c>
      <c r="P272" s="418">
        <f t="shared" si="49"/>
        <v>0.26252793861918083</v>
      </c>
      <c r="Q272" s="257" t="s">
        <v>768</v>
      </c>
      <c r="S272" s="425"/>
    </row>
    <row r="273" spans="2:18" ht="25.95" customHeight="1" x14ac:dyDescent="0.25">
      <c r="B273" s="62"/>
      <c r="C273" s="91" t="s">
        <v>1385</v>
      </c>
      <c r="D273" s="192" t="s">
        <v>787</v>
      </c>
      <c r="E273" s="291">
        <v>3000</v>
      </c>
      <c r="F273" s="42">
        <v>3000</v>
      </c>
      <c r="G273" s="22">
        <f t="shared" si="46"/>
        <v>0</v>
      </c>
      <c r="H273" s="369"/>
      <c r="I273" s="42">
        <f t="shared" si="52"/>
        <v>3000</v>
      </c>
      <c r="J273" s="22">
        <f t="shared" si="47"/>
        <v>0</v>
      </c>
      <c r="K273" s="369"/>
      <c r="L273" s="42">
        <f t="shared" ref="L273:L279" si="54">ROUND(I273,0)</f>
        <v>3000</v>
      </c>
      <c r="M273" s="22">
        <f t="shared" si="48"/>
        <v>0</v>
      </c>
      <c r="N273" s="369"/>
      <c r="O273" s="257">
        <v>0</v>
      </c>
      <c r="P273" s="456">
        <f t="shared" si="49"/>
        <v>0</v>
      </c>
      <c r="Q273" s="257"/>
    </row>
    <row r="274" spans="2:18" ht="31.95" hidden="1" customHeight="1" outlineLevel="1" x14ac:dyDescent="0.25">
      <c r="B274" s="62" t="s">
        <v>387</v>
      </c>
      <c r="C274" s="91" t="s">
        <v>1386</v>
      </c>
      <c r="D274" s="269" t="s">
        <v>823</v>
      </c>
      <c r="E274" s="42">
        <v>0</v>
      </c>
      <c r="F274" s="42">
        <v>0</v>
      </c>
      <c r="G274" s="367">
        <f t="shared" si="46"/>
        <v>0</v>
      </c>
      <c r="H274" s="368" t="s">
        <v>709</v>
      </c>
      <c r="I274" s="42">
        <f t="shared" si="52"/>
        <v>0</v>
      </c>
      <c r="J274" s="367">
        <f t="shared" si="47"/>
        <v>0</v>
      </c>
      <c r="K274" s="368" t="s">
        <v>709</v>
      </c>
      <c r="L274" s="42">
        <f t="shared" si="54"/>
        <v>0</v>
      </c>
      <c r="M274" s="367">
        <f t="shared" si="48"/>
        <v>0</v>
      </c>
      <c r="N274" s="368" t="s">
        <v>709</v>
      </c>
      <c r="O274" s="501">
        <v>0</v>
      </c>
      <c r="P274" s="418" t="e">
        <f t="shared" si="49"/>
        <v>#DIV/0!</v>
      </c>
      <c r="Q274" s="257" t="s">
        <v>880</v>
      </c>
    </row>
    <row r="275" spans="2:18" ht="27" hidden="1" customHeight="1" outlineLevel="1" x14ac:dyDescent="0.25">
      <c r="B275" s="62" t="s">
        <v>386</v>
      </c>
      <c r="C275" s="91" t="s">
        <v>1387</v>
      </c>
      <c r="D275" s="269" t="s">
        <v>349</v>
      </c>
      <c r="E275" s="42">
        <v>0</v>
      </c>
      <c r="F275" s="42">
        <v>0</v>
      </c>
      <c r="G275" s="367">
        <f t="shared" si="46"/>
        <v>0</v>
      </c>
      <c r="H275" s="368"/>
      <c r="I275" s="42">
        <f t="shared" si="52"/>
        <v>0</v>
      </c>
      <c r="J275" s="367">
        <f t="shared" si="47"/>
        <v>0</v>
      </c>
      <c r="K275" s="368"/>
      <c r="L275" s="42">
        <f t="shared" si="54"/>
        <v>0</v>
      </c>
      <c r="M275" s="367">
        <f t="shared" si="48"/>
        <v>0</v>
      </c>
      <c r="N275" s="368"/>
      <c r="O275" s="501">
        <v>0</v>
      </c>
      <c r="P275" s="418" t="e">
        <f t="shared" si="49"/>
        <v>#DIV/0!</v>
      </c>
      <c r="Q275" s="257" t="s">
        <v>880</v>
      </c>
    </row>
    <row r="276" spans="2:18" ht="57.6" hidden="1" customHeight="1" outlineLevel="1" x14ac:dyDescent="0.25">
      <c r="B276" s="62" t="s">
        <v>503</v>
      </c>
      <c r="C276" s="91" t="s">
        <v>1388</v>
      </c>
      <c r="D276" s="270" t="s">
        <v>681</v>
      </c>
      <c r="E276" s="42">
        <v>0</v>
      </c>
      <c r="F276" s="42">
        <v>0</v>
      </c>
      <c r="G276" s="97">
        <f t="shared" si="46"/>
        <v>0</v>
      </c>
      <c r="H276" s="369"/>
      <c r="I276" s="42">
        <f t="shared" si="52"/>
        <v>0</v>
      </c>
      <c r="J276" s="97">
        <f t="shared" si="47"/>
        <v>0</v>
      </c>
      <c r="K276" s="369"/>
      <c r="L276" s="42">
        <f t="shared" si="54"/>
        <v>0</v>
      </c>
      <c r="M276" s="97">
        <f t="shared" si="48"/>
        <v>0</v>
      </c>
      <c r="N276" s="369"/>
      <c r="O276" s="501">
        <v>0</v>
      </c>
      <c r="P276" s="418" t="e">
        <f t="shared" si="49"/>
        <v>#DIV/0!</v>
      </c>
      <c r="Q276" s="257" t="s">
        <v>880</v>
      </c>
    </row>
    <row r="277" spans="2:18" ht="30.6" customHeight="1" collapsed="1" x14ac:dyDescent="0.25">
      <c r="B277" s="62" t="s">
        <v>868</v>
      </c>
      <c r="C277" s="88" t="s">
        <v>1386</v>
      </c>
      <c r="D277" s="493" t="s">
        <v>866</v>
      </c>
      <c r="E277" s="312">
        <v>5600179</v>
      </c>
      <c r="F277" s="42">
        <v>5600179</v>
      </c>
      <c r="G277" s="97">
        <f t="shared" si="46"/>
        <v>0</v>
      </c>
      <c r="H277" s="391"/>
      <c r="I277" s="42">
        <f t="shared" si="52"/>
        <v>5600179</v>
      </c>
      <c r="J277" s="97">
        <f t="shared" si="47"/>
        <v>0</v>
      </c>
      <c r="K277" s="391"/>
      <c r="L277" s="42">
        <f t="shared" si="54"/>
        <v>5600179</v>
      </c>
      <c r="M277" s="97">
        <f t="shared" si="48"/>
        <v>0</v>
      </c>
      <c r="N277" s="391"/>
      <c r="O277" s="257">
        <v>0</v>
      </c>
      <c r="P277" s="469">
        <f t="shared" si="49"/>
        <v>0</v>
      </c>
      <c r="Q277" s="257" t="s">
        <v>1288</v>
      </c>
    </row>
    <row r="278" spans="2:18" ht="55.2" customHeight="1" x14ac:dyDescent="0.25">
      <c r="B278" s="62" t="s">
        <v>1302</v>
      </c>
      <c r="C278" s="88" t="s">
        <v>1387</v>
      </c>
      <c r="D278" s="265" t="s">
        <v>1395</v>
      </c>
      <c r="E278" s="301">
        <v>267067</v>
      </c>
      <c r="F278" s="301">
        <v>267067</v>
      </c>
      <c r="G278" s="97">
        <f t="shared" si="46"/>
        <v>0</v>
      </c>
      <c r="H278" s="392"/>
      <c r="I278" s="301">
        <f t="shared" si="52"/>
        <v>267067</v>
      </c>
      <c r="J278" s="97">
        <f t="shared" si="47"/>
        <v>0</v>
      </c>
      <c r="K278" s="392"/>
      <c r="L278" s="301">
        <f t="shared" si="54"/>
        <v>267067</v>
      </c>
      <c r="M278" s="97">
        <f t="shared" si="48"/>
        <v>0</v>
      </c>
      <c r="N278" s="392"/>
      <c r="O278" s="257">
        <v>0</v>
      </c>
      <c r="P278" s="447">
        <f t="shared" si="49"/>
        <v>0</v>
      </c>
      <c r="Q278" s="257"/>
    </row>
    <row r="279" spans="2:18" ht="31.5" customHeight="1" thickBot="1" x14ac:dyDescent="0.3">
      <c r="B279" s="274" t="s">
        <v>1410</v>
      </c>
      <c r="C279" s="88" t="s">
        <v>1388</v>
      </c>
      <c r="D279" s="265" t="s">
        <v>1398</v>
      </c>
      <c r="E279" s="301">
        <v>285277</v>
      </c>
      <c r="F279" s="301">
        <v>285277</v>
      </c>
      <c r="G279" s="97">
        <f t="shared" si="46"/>
        <v>0</v>
      </c>
      <c r="H279" s="392"/>
      <c r="I279" s="301">
        <f t="shared" si="52"/>
        <v>285277</v>
      </c>
      <c r="J279" s="97">
        <f t="shared" si="47"/>
        <v>0</v>
      </c>
      <c r="K279" s="392"/>
      <c r="L279" s="301">
        <f t="shared" si="54"/>
        <v>285277</v>
      </c>
      <c r="M279" s="97">
        <f t="shared" si="48"/>
        <v>0</v>
      </c>
      <c r="N279" s="392"/>
      <c r="O279" s="257">
        <f>5783.57-770</f>
        <v>5013.57</v>
      </c>
      <c r="P279" s="447">
        <f t="shared" si="49"/>
        <v>1.7574392607886367E-2</v>
      </c>
      <c r="Q279" s="257"/>
    </row>
    <row r="280" spans="2:18" ht="27" hidden="1" customHeight="1" outlineLevel="1" x14ac:dyDescent="0.25">
      <c r="C280" s="88" t="s">
        <v>1392</v>
      </c>
      <c r="D280" s="192" t="s">
        <v>294</v>
      </c>
      <c r="E280" s="290">
        <v>0</v>
      </c>
      <c r="F280" s="290">
        <v>0</v>
      </c>
      <c r="G280" s="22">
        <f t="shared" si="46"/>
        <v>0</v>
      </c>
      <c r="H280" s="393"/>
      <c r="I280" s="290">
        <f>I281+I282</f>
        <v>0</v>
      </c>
      <c r="J280" s="22">
        <f t="shared" si="47"/>
        <v>0</v>
      </c>
      <c r="K280" s="393"/>
      <c r="L280" s="290">
        <f>L281+L282</f>
        <v>0</v>
      </c>
      <c r="M280" s="22">
        <f t="shared" si="48"/>
        <v>0</v>
      </c>
      <c r="N280" s="393"/>
      <c r="O280" s="500">
        <f>O281+O282</f>
        <v>0</v>
      </c>
      <c r="P280" s="439" t="e">
        <f t="shared" si="49"/>
        <v>#DIV/0!</v>
      </c>
      <c r="Q280" s="262"/>
    </row>
    <row r="281" spans="2:18" ht="14.4" hidden="1" customHeight="1" outlineLevel="1" x14ac:dyDescent="0.25">
      <c r="B281" s="62" t="s">
        <v>298</v>
      </c>
      <c r="C281" s="29" t="s">
        <v>1393</v>
      </c>
      <c r="D281" s="26" t="s">
        <v>362</v>
      </c>
      <c r="E281" s="282"/>
      <c r="F281" s="282">
        <v>0</v>
      </c>
      <c r="G281" s="57">
        <f t="shared" si="46"/>
        <v>0</v>
      </c>
      <c r="H281" s="352" t="s">
        <v>709</v>
      </c>
      <c r="I281" s="282">
        <f>ROUND(G281,0)</f>
        <v>0</v>
      </c>
      <c r="J281" s="57">
        <f t="shared" si="47"/>
        <v>0</v>
      </c>
      <c r="K281" s="352" t="s">
        <v>709</v>
      </c>
      <c r="L281" s="282">
        <f>ROUND(J281,0)</f>
        <v>0</v>
      </c>
      <c r="M281" s="57">
        <f t="shared" si="48"/>
        <v>0</v>
      </c>
      <c r="N281" s="352" t="s">
        <v>709</v>
      </c>
      <c r="O281" s="498">
        <v>0</v>
      </c>
      <c r="P281" s="407" t="e">
        <f t="shared" si="49"/>
        <v>#DIV/0!</v>
      </c>
      <c r="Q281" s="57"/>
    </row>
    <row r="282" spans="2:18" s="9" customFormat="1" ht="15" hidden="1" customHeight="1" outlineLevel="1" x14ac:dyDescent="0.25">
      <c r="B282" s="62" t="s">
        <v>372</v>
      </c>
      <c r="C282" s="29" t="s">
        <v>1394</v>
      </c>
      <c r="D282" s="26" t="s">
        <v>344</v>
      </c>
      <c r="E282" s="282"/>
      <c r="F282" s="282">
        <v>0</v>
      </c>
      <c r="G282" s="57">
        <f t="shared" si="46"/>
        <v>0</v>
      </c>
      <c r="H282" s="352"/>
      <c r="I282" s="282">
        <f>ROUND(G282,0)</f>
        <v>0</v>
      </c>
      <c r="J282" s="57">
        <f t="shared" si="47"/>
        <v>0</v>
      </c>
      <c r="K282" s="352"/>
      <c r="L282" s="282">
        <f>ROUND(J282,0)</f>
        <v>0</v>
      </c>
      <c r="M282" s="57">
        <f t="shared" si="48"/>
        <v>0</v>
      </c>
      <c r="N282" s="352"/>
      <c r="O282" s="498">
        <v>0</v>
      </c>
      <c r="P282" s="407" t="e">
        <f t="shared" si="49"/>
        <v>#DIV/0!</v>
      </c>
      <c r="Q282" s="57"/>
    </row>
    <row r="283" spans="2:18" s="9" customFormat="1" ht="17.399999999999999" hidden="1" customHeight="1" outlineLevel="1" x14ac:dyDescent="0.25">
      <c r="C283" s="84" t="s">
        <v>82</v>
      </c>
      <c r="D283" s="187" t="s">
        <v>198</v>
      </c>
      <c r="E283" s="277">
        <v>0</v>
      </c>
      <c r="F283" s="277">
        <v>0</v>
      </c>
      <c r="G283" s="17">
        <f t="shared" si="46"/>
        <v>0</v>
      </c>
      <c r="H283" s="329"/>
      <c r="I283" s="277">
        <f>SUM(I284:I285)</f>
        <v>0</v>
      </c>
      <c r="J283" s="17">
        <f t="shared" si="47"/>
        <v>0</v>
      </c>
      <c r="K283" s="329"/>
      <c r="L283" s="277">
        <f>SUM(L284:L285)</f>
        <v>0</v>
      </c>
      <c r="M283" s="17">
        <f t="shared" si="48"/>
        <v>0</v>
      </c>
      <c r="N283" s="329"/>
      <c r="O283" s="499">
        <f>SUM(O284:O285)</f>
        <v>0</v>
      </c>
      <c r="P283" s="432" t="e">
        <f t="shared" si="49"/>
        <v>#DIV/0!</v>
      </c>
      <c r="Q283" s="17"/>
    </row>
    <row r="284" spans="2:18" ht="17.25" hidden="1" customHeight="1" outlineLevel="1" x14ac:dyDescent="0.25">
      <c r="C284" s="83" t="s">
        <v>84</v>
      </c>
      <c r="D284" s="178" t="s">
        <v>199</v>
      </c>
      <c r="E284" s="42"/>
      <c r="F284" s="42"/>
      <c r="G284" s="22">
        <f t="shared" si="46"/>
        <v>0</v>
      </c>
      <c r="H284" s="342"/>
      <c r="I284" s="42"/>
      <c r="J284" s="22">
        <f t="shared" si="47"/>
        <v>0</v>
      </c>
      <c r="K284" s="342"/>
      <c r="L284" s="42"/>
      <c r="M284" s="22">
        <f t="shared" si="48"/>
        <v>0</v>
      </c>
      <c r="N284" s="342"/>
      <c r="O284" s="501"/>
      <c r="P284" s="418" t="e">
        <f t="shared" si="49"/>
        <v>#DIV/0!</v>
      </c>
      <c r="Q284" s="22"/>
    </row>
    <row r="285" spans="2:18" ht="14.4" hidden="1" outlineLevel="1" thickBot="1" x14ac:dyDescent="0.3">
      <c r="C285" s="83" t="s">
        <v>85</v>
      </c>
      <c r="D285" s="178" t="s">
        <v>200</v>
      </c>
      <c r="E285" s="42"/>
      <c r="F285" s="42"/>
      <c r="G285" s="22">
        <f t="shared" si="46"/>
        <v>0</v>
      </c>
      <c r="H285" s="342"/>
      <c r="I285" s="42"/>
      <c r="J285" s="22">
        <f t="shared" si="47"/>
        <v>0</v>
      </c>
      <c r="K285" s="342"/>
      <c r="L285" s="42"/>
      <c r="M285" s="22">
        <f t="shared" si="48"/>
        <v>0</v>
      </c>
      <c r="N285" s="342"/>
      <c r="O285" s="501"/>
      <c r="P285" s="418" t="e">
        <f t="shared" si="49"/>
        <v>#DIV/0!</v>
      </c>
      <c r="Q285" s="22"/>
    </row>
    <row r="286" spans="2:18" s="9" customFormat="1" ht="30" customHeight="1" collapsed="1" thickBot="1" x14ac:dyDescent="0.3">
      <c r="C286" s="32"/>
      <c r="D286" s="208" t="s">
        <v>201</v>
      </c>
      <c r="E286" s="33">
        <v>71564822</v>
      </c>
      <c r="F286" s="33">
        <v>71620010</v>
      </c>
      <c r="G286" s="295">
        <f t="shared" si="46"/>
        <v>55188</v>
      </c>
      <c r="H286" s="295"/>
      <c r="I286" s="33">
        <f>I125+I135+I136+I141+I143+I180+I195+I215+I283</f>
        <v>71626326</v>
      </c>
      <c r="J286" s="295">
        <f t="shared" si="47"/>
        <v>6316</v>
      </c>
      <c r="K286" s="295"/>
      <c r="L286" s="33">
        <f>L125+L135+L136+L141+L143+L180+L195+L215+L283</f>
        <v>71734530</v>
      </c>
      <c r="M286" s="295">
        <f t="shared" si="48"/>
        <v>108204</v>
      </c>
      <c r="N286" s="295"/>
      <c r="O286" s="33">
        <f>O125+O135+O136+O141+O143+O180+O195+O215+O283</f>
        <v>23191281.310000002</v>
      </c>
      <c r="P286" s="470">
        <f t="shared" si="49"/>
        <v>0.32329313804662835</v>
      </c>
      <c r="Q286" s="33"/>
      <c r="R286" s="37"/>
    </row>
    <row r="287" spans="2:18" s="15" customFormat="1" ht="42.6" customHeight="1" thickBot="1" x14ac:dyDescent="0.3">
      <c r="C287" s="84" t="s">
        <v>107</v>
      </c>
      <c r="D287" s="187" t="s">
        <v>202</v>
      </c>
      <c r="E287" s="277">
        <v>3467034</v>
      </c>
      <c r="F287" s="277">
        <v>3467034</v>
      </c>
      <c r="G287" s="17">
        <f t="shared" si="46"/>
        <v>0</v>
      </c>
      <c r="H287" s="316"/>
      <c r="I287" s="277">
        <f>ROUND(F287,0)+191255</f>
        <v>3658289</v>
      </c>
      <c r="J287" s="17">
        <f t="shared" si="47"/>
        <v>191255</v>
      </c>
      <c r="K287" s="483" t="s">
        <v>1456</v>
      </c>
      <c r="L287" s="277">
        <f>ROUND(I287,0)+38052+6396</f>
        <v>3702737</v>
      </c>
      <c r="M287" s="17">
        <f t="shared" si="48"/>
        <v>44448</v>
      </c>
      <c r="N287" s="483" t="s">
        <v>1485</v>
      </c>
      <c r="O287" s="17">
        <v>1952271.76</v>
      </c>
      <c r="P287" s="432">
        <f t="shared" si="49"/>
        <v>0.5272509929816781</v>
      </c>
      <c r="Q287" s="17"/>
    </row>
    <row r="288" spans="2:18" ht="14.4" thickBot="1" x14ac:dyDescent="0.3">
      <c r="C288" s="32"/>
      <c r="D288" s="208" t="s">
        <v>203</v>
      </c>
      <c r="E288" s="296">
        <v>75031856</v>
      </c>
      <c r="F288" s="296">
        <v>75087044</v>
      </c>
      <c r="G288" s="34">
        <f t="shared" si="46"/>
        <v>55188</v>
      </c>
      <c r="H288" s="394"/>
      <c r="I288" s="296">
        <f>I286+I287</f>
        <v>75284615</v>
      </c>
      <c r="J288" s="34">
        <f t="shared" si="47"/>
        <v>197571</v>
      </c>
      <c r="K288" s="394"/>
      <c r="L288" s="296">
        <f>L286+L287</f>
        <v>75437267</v>
      </c>
      <c r="M288" s="34">
        <f t="shared" si="48"/>
        <v>152652</v>
      </c>
      <c r="N288" s="394"/>
      <c r="O288" s="34">
        <f>O286+O287</f>
        <v>25143553.070000004</v>
      </c>
      <c r="P288" s="471">
        <f t="shared" si="49"/>
        <v>0.33330413560713967</v>
      </c>
      <c r="Q288" s="34"/>
    </row>
    <row r="289" spans="3:17" ht="15" thickTop="1" thickBot="1" x14ac:dyDescent="0.3">
      <c r="C289" s="35" t="s">
        <v>204</v>
      </c>
      <c r="D289" s="209" t="s">
        <v>205</v>
      </c>
      <c r="E289" s="297">
        <v>64907.20000000298</v>
      </c>
      <c r="F289" s="297">
        <v>64906.8</v>
      </c>
      <c r="G289" s="36">
        <f t="shared" si="46"/>
        <v>-0.40000000297732186</v>
      </c>
      <c r="H289" s="395"/>
      <c r="I289" s="297">
        <f>I119-I288-0.2</f>
        <v>64906.8</v>
      </c>
      <c r="J289" s="36">
        <f t="shared" si="47"/>
        <v>0</v>
      </c>
      <c r="K289" s="395"/>
      <c r="L289" s="297">
        <f>L119-L288-0.2</f>
        <v>64673.8</v>
      </c>
      <c r="M289" s="36">
        <f t="shared" si="48"/>
        <v>-233</v>
      </c>
      <c r="N289" s="395"/>
      <c r="O289" s="36">
        <f>O119-O288-0.2</f>
        <v>10334202.759999983</v>
      </c>
      <c r="P289" s="472">
        <f t="shared" si="49"/>
        <v>159.78963289616479</v>
      </c>
      <c r="Q289" s="36"/>
    </row>
    <row r="290" spans="3:17" x14ac:dyDescent="0.25">
      <c r="O290" s="263"/>
    </row>
    <row r="291" spans="3:17" x14ac:dyDescent="0.25">
      <c r="H291" s="426" t="s">
        <v>341</v>
      </c>
      <c r="K291" s="426" t="s">
        <v>341</v>
      </c>
      <c r="N291" s="426"/>
      <c r="O291" s="503"/>
    </row>
    <row r="292" spans="3:17" x14ac:dyDescent="0.25">
      <c r="O292" s="514"/>
    </row>
    <row r="294" spans="3:17" x14ac:dyDescent="0.25">
      <c r="O294" s="99"/>
    </row>
    <row r="296" spans="3:17" x14ac:dyDescent="0.25">
      <c r="O296" s="515"/>
    </row>
    <row r="297" spans="3:17" x14ac:dyDescent="0.25">
      <c r="O297" s="515"/>
    </row>
  </sheetData>
  <mergeCells count="24">
    <mergeCell ref="N219:N220"/>
    <mergeCell ref="N259:N260"/>
    <mergeCell ref="P55:P56"/>
    <mergeCell ref="P150:P151"/>
    <mergeCell ref="O52:O53"/>
    <mergeCell ref="P52:P53"/>
    <mergeCell ref="O55:O56"/>
    <mergeCell ref="O150:O151"/>
    <mergeCell ref="C122:D122"/>
    <mergeCell ref="C123:D123"/>
    <mergeCell ref="N138:N139"/>
    <mergeCell ref="C2:D2"/>
    <mergeCell ref="C3:D3"/>
    <mergeCell ref="K259:K260"/>
    <mergeCell ref="K171:K172"/>
    <mergeCell ref="K219:K220"/>
    <mergeCell ref="K243:K244"/>
    <mergeCell ref="K138:K139"/>
    <mergeCell ref="H171:H172"/>
    <mergeCell ref="H253:H254"/>
    <mergeCell ref="H259:H260"/>
    <mergeCell ref="H243:H244"/>
    <mergeCell ref="H219:H220"/>
    <mergeCell ref="H191:H192"/>
  </mergeCells>
  <phoneticPr fontId="71" type="noConversion"/>
  <conditionalFormatting sqref="E289:G289">
    <cfRule type="cellIs" dxfId="5" priority="19" operator="lessThan">
      <formula>0</formula>
    </cfRule>
  </conditionalFormatting>
  <conditionalFormatting sqref="I289:J289">
    <cfRule type="cellIs" dxfId="4" priority="2" operator="lessThan">
      <formula>0</formula>
    </cfRule>
  </conditionalFormatting>
  <conditionalFormatting sqref="L289:M289">
    <cfRule type="cellIs" dxfId="3" priority="1" operator="lessThan">
      <formula>0</formula>
    </cfRule>
  </conditionalFormatting>
  <conditionalFormatting sqref="O289:Q289">
    <cfRule type="cellIs" dxfId="2" priority="8"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EA7-5A2B-4644-8D40-B5EFC535D84E}">
  <sheetPr codeName="Lapa26">
    <tabColor rgb="FFC4EB35"/>
    <pageSetUpPr fitToPage="1"/>
  </sheetPr>
  <dimension ref="A1:R130"/>
  <sheetViews>
    <sheetView tabSelected="1" zoomScale="90" zoomScaleNormal="90" workbookViewId="0">
      <selection activeCell="A81" sqref="A81"/>
    </sheetView>
  </sheetViews>
  <sheetFormatPr defaultColWidth="9" defaultRowHeight="13.2" outlineLevelRow="1" x14ac:dyDescent="0.25"/>
  <cols>
    <col min="1" max="1" width="59.875" style="128" customWidth="1"/>
    <col min="2" max="3" width="14.375" style="128" customWidth="1"/>
    <col min="4" max="4" width="14.875" style="128" customWidth="1"/>
    <col min="5" max="5" width="16.125" style="128" customWidth="1"/>
    <col min="6" max="6" width="9" style="128"/>
    <col min="7" max="7" width="15.25" style="128" customWidth="1"/>
    <col min="8" max="17" width="9" style="128"/>
    <col min="18" max="18" width="12" style="128" customWidth="1"/>
    <col min="19" max="19" width="54.625" style="128" customWidth="1"/>
    <col min="20" max="16384" width="9" style="128"/>
  </cols>
  <sheetData>
    <row r="1" spans="1:4" s="129" customFormat="1" x14ac:dyDescent="0.25"/>
    <row r="2" spans="1:4" s="129" customFormat="1" ht="13.8" thickBot="1" x14ac:dyDescent="0.3">
      <c r="B2" s="130" t="s">
        <v>739</v>
      </c>
      <c r="C2" s="131" t="s">
        <v>1492</v>
      </c>
      <c r="D2" s="131"/>
    </row>
    <row r="3" spans="1:4" s="129" customFormat="1" x14ac:dyDescent="0.25"/>
    <row r="5" spans="1:4" ht="57.6" customHeight="1" x14ac:dyDescent="0.25">
      <c r="A5" s="132" t="s">
        <v>740</v>
      </c>
      <c r="B5" s="133" t="s">
        <v>1471</v>
      </c>
      <c r="C5" s="133" t="str">
        <f>"Izpilde"&amp;" "&amp;$C$2</f>
        <v>Izpilde 2025.g. 1. pusgads</v>
      </c>
      <c r="D5" s="133" t="str">
        <f>"Ieņēmumu izpilde, %,"&amp;" "&amp;$C$2</f>
        <v>Ieņēmumu izpilde, %, 2025.g. 1. pusgads</v>
      </c>
    </row>
    <row r="6" spans="1:4" x14ac:dyDescent="0.25">
      <c r="A6" s="127" t="s">
        <v>741</v>
      </c>
      <c r="B6" s="134">
        <f>SUM(B7,B11:B15,B18:B19)</f>
        <v>62139592</v>
      </c>
      <c r="C6" s="134">
        <f>SUM(C7,C11:C15,C18:C19)</f>
        <v>28436356.659999993</v>
      </c>
      <c r="D6" s="135">
        <f t="shared" ref="D6:D19" si="0">C6/B6</f>
        <v>0.45762058849694398</v>
      </c>
    </row>
    <row r="7" spans="1:4" x14ac:dyDescent="0.25">
      <c r="A7" s="128" t="s">
        <v>742</v>
      </c>
      <c r="B7" s="136">
        <f>'2025.gada budzeta plans_apvieno'!L6</f>
        <v>41763189</v>
      </c>
      <c r="C7" s="136">
        <f>'2025.gada budzeta plans_apvieno'!O6</f>
        <v>19982339</v>
      </c>
      <c r="D7" s="137">
        <f t="shared" si="0"/>
        <v>0.4784677482363715</v>
      </c>
    </row>
    <row r="8" spans="1:4" outlineLevel="1" x14ac:dyDescent="0.25">
      <c r="A8" s="138" t="s">
        <v>743</v>
      </c>
      <c r="B8" s="139">
        <f>'2025.gada budzeta plans_apvieno'!L7</f>
        <v>38486849</v>
      </c>
      <c r="C8" s="139">
        <f>'2025.gada budzeta plans_apvieno'!O7</f>
        <v>17319085.059999999</v>
      </c>
      <c r="D8" s="140">
        <f t="shared" si="0"/>
        <v>0.45000007820853294</v>
      </c>
    </row>
    <row r="9" spans="1:4" outlineLevel="1" x14ac:dyDescent="0.25">
      <c r="A9" s="138" t="s">
        <v>744</v>
      </c>
      <c r="B9" s="139">
        <f>'2025.gada budzeta plans_apvieno'!L9</f>
        <v>3211340</v>
      </c>
      <c r="C9" s="139">
        <f>'2025.gada budzeta plans_apvieno'!O9</f>
        <v>2609119.04</v>
      </c>
      <c r="D9" s="140">
        <f t="shared" si="0"/>
        <v>0.81247050763855588</v>
      </c>
    </row>
    <row r="10" spans="1:4" outlineLevel="1" x14ac:dyDescent="0.25">
      <c r="A10" s="138" t="s">
        <v>1435</v>
      </c>
      <c r="B10" s="139">
        <f>'2025.gada budzeta plans_apvieno'!L19</f>
        <v>65000</v>
      </c>
      <c r="C10" s="139">
        <f>'2025.gada budzeta plans_apvieno'!O19</f>
        <v>54135.27</v>
      </c>
      <c r="D10" s="140">
        <f t="shared" si="0"/>
        <v>0.83285030769230761</v>
      </c>
    </row>
    <row r="11" spans="1:4" x14ac:dyDescent="0.25">
      <c r="A11" s="141" t="s">
        <v>745</v>
      </c>
      <c r="B11" s="136">
        <f>'2025.gada budzeta plans_apvieno'!L22</f>
        <v>144060</v>
      </c>
      <c r="C11" s="136">
        <f>'2025.gada budzeta plans_apvieno'!O22</f>
        <v>79197.97</v>
      </c>
      <c r="D11" s="137">
        <f t="shared" si="0"/>
        <v>0.54975683742884907</v>
      </c>
    </row>
    <row r="12" spans="1:4" x14ac:dyDescent="0.25">
      <c r="A12" s="141" t="s">
        <v>746</v>
      </c>
      <c r="B12" s="136">
        <f>'2025.gada budzeta plans_apvieno'!L34</f>
        <v>130000</v>
      </c>
      <c r="C12" s="136">
        <f>'2025.gada budzeta plans_apvieno'!O34</f>
        <v>80655.09</v>
      </c>
      <c r="D12" s="137">
        <f t="shared" si="0"/>
        <v>0.62042376923076925</v>
      </c>
    </row>
    <row r="13" spans="1:4" x14ac:dyDescent="0.25">
      <c r="A13" s="141" t="s">
        <v>747</v>
      </c>
      <c r="B13" s="136">
        <f>'2025.gada budzeta plans_apvieno'!L37</f>
        <v>35728</v>
      </c>
      <c r="C13" s="136">
        <f>'2025.gada budzeta plans_apvieno'!O37</f>
        <v>51366.770000000004</v>
      </c>
      <c r="D13" s="137">
        <f t="shared" si="0"/>
        <v>1.4377174764890284</v>
      </c>
    </row>
    <row r="14" spans="1:4" x14ac:dyDescent="0.25">
      <c r="A14" s="141" t="s">
        <v>748</v>
      </c>
      <c r="B14" s="136">
        <f>'2025.gada budzeta plans_apvieno'!L41</f>
        <v>0</v>
      </c>
      <c r="C14" s="136">
        <f>'2025.gada budzeta plans_apvieno'!O41</f>
        <v>159278.32999999999</v>
      </c>
      <c r="D14" s="137"/>
    </row>
    <row r="15" spans="1:4" x14ac:dyDescent="0.25">
      <c r="A15" s="141" t="s">
        <v>749</v>
      </c>
      <c r="B15" s="136">
        <f>'2025.gada budzeta plans_apvieno'!L42</f>
        <v>18904660</v>
      </c>
      <c r="C15" s="136">
        <f>'2025.gada budzeta plans_apvieno'!O42</f>
        <v>7400899.9699999997</v>
      </c>
      <c r="D15" s="137">
        <f t="shared" si="0"/>
        <v>0.39148548400235705</v>
      </c>
    </row>
    <row r="16" spans="1:4" outlineLevel="1" x14ac:dyDescent="0.25">
      <c r="A16" s="142" t="s">
        <v>750</v>
      </c>
      <c r="B16" s="139">
        <f>'2025.gada budzeta plans_apvieno'!L43</f>
        <v>10023614</v>
      </c>
      <c r="C16" s="139">
        <f>'2025.gada budzeta plans_apvieno'!O43</f>
        <v>6502618.4199999999</v>
      </c>
      <c r="D16" s="140">
        <f t="shared" si="0"/>
        <v>0.64872993114060462</v>
      </c>
    </row>
    <row r="17" spans="1:4" outlineLevel="1" x14ac:dyDescent="0.25">
      <c r="A17" s="142" t="s">
        <v>773</v>
      </c>
      <c r="B17" s="139">
        <f>'2025.gada budzeta plans_apvieno'!L66</f>
        <v>7928777</v>
      </c>
      <c r="C17" s="139">
        <f>'2025.gada budzeta plans_apvieno'!O66</f>
        <v>422145.55</v>
      </c>
      <c r="D17" s="140">
        <f t="shared" si="0"/>
        <v>5.3242202422895735E-2</v>
      </c>
    </row>
    <row r="18" spans="1:4" x14ac:dyDescent="0.25">
      <c r="A18" s="141" t="s">
        <v>751</v>
      </c>
      <c r="B18" s="136">
        <f>'2025.gada budzeta plans_apvieno'!L86</f>
        <v>350000</v>
      </c>
      <c r="C18" s="136">
        <f>'2025.gada budzeta plans_apvieno'!O86</f>
        <v>118603.2</v>
      </c>
      <c r="D18" s="137">
        <f t="shared" si="0"/>
        <v>0.33886628571428573</v>
      </c>
    </row>
    <row r="19" spans="1:4" x14ac:dyDescent="0.25">
      <c r="A19" s="141" t="s">
        <v>752</v>
      </c>
      <c r="B19" s="136">
        <f>'2025.gada budzeta plans_apvieno'!L89</f>
        <v>811955</v>
      </c>
      <c r="C19" s="136">
        <f>'2025.gada budzeta plans_apvieno'!O89</f>
        <v>564016.32999999996</v>
      </c>
      <c r="D19" s="137">
        <f t="shared" si="0"/>
        <v>0.69463988767850426</v>
      </c>
    </row>
    <row r="20" spans="1:4" outlineLevel="1" x14ac:dyDescent="0.25">
      <c r="A20" s="142" t="s">
        <v>1289</v>
      </c>
      <c r="B20" s="139">
        <f>B19-B21-B22</f>
        <v>418773</v>
      </c>
      <c r="C20" s="139">
        <f>C19-C21-C22</f>
        <v>302663.73</v>
      </c>
      <c r="D20" s="140">
        <f>C20/B20</f>
        <v>0.72273935998739169</v>
      </c>
    </row>
    <row r="21" spans="1:4" outlineLevel="1" x14ac:dyDescent="0.25">
      <c r="A21" s="142" t="s">
        <v>774</v>
      </c>
      <c r="B21" s="139">
        <f>'2025.gada budzeta plans_apvieno'!L96</f>
        <v>332370</v>
      </c>
      <c r="C21" s="139">
        <f>'2025.gada budzeta plans_apvieno'!O96</f>
        <v>199398.59999999998</v>
      </c>
      <c r="D21" s="140">
        <f>C21/B21</f>
        <v>0.59992959653398314</v>
      </c>
    </row>
    <row r="22" spans="1:4" outlineLevel="1" x14ac:dyDescent="0.25">
      <c r="A22" s="142" t="s">
        <v>1436</v>
      </c>
      <c r="B22" s="139">
        <f>'2025.gada budzeta plans_apvieno'!L93</f>
        <v>60812</v>
      </c>
      <c r="C22" s="139">
        <f>'2025.gada budzeta plans_apvieno'!O93</f>
        <v>61954</v>
      </c>
      <c r="D22" s="140">
        <f>C22/B22</f>
        <v>1.0187791883180952</v>
      </c>
    </row>
    <row r="23" spans="1:4" x14ac:dyDescent="0.25">
      <c r="A23" s="141"/>
    </row>
    <row r="25" spans="1:4" x14ac:dyDescent="0.25">
      <c r="A25" s="143"/>
      <c r="B25" s="136">
        <f>B6-'2025.gada budzeta plans_apvieno'!L104</f>
        <v>0</v>
      </c>
      <c r="C25" s="136">
        <f>C6-'2025.gada budzeta plans_apvieno'!O104</f>
        <v>-0.36999999731779099</v>
      </c>
      <c r="D25" s="137"/>
    </row>
    <row r="26" spans="1:4" x14ac:dyDescent="0.25">
      <c r="A26" s="143"/>
      <c r="B26" s="136"/>
      <c r="C26" s="136"/>
      <c r="D26" s="137"/>
    </row>
    <row r="27" spans="1:4" x14ac:dyDescent="0.25">
      <c r="A27" s="143"/>
      <c r="B27" s="136"/>
      <c r="C27" s="136"/>
      <c r="D27" s="137"/>
    </row>
    <row r="28" spans="1:4" x14ac:dyDescent="0.25">
      <c r="A28" s="144"/>
      <c r="B28" s="136"/>
      <c r="C28" s="136"/>
      <c r="D28" s="137"/>
    </row>
    <row r="29" spans="1:4" s="148" customFormat="1" hidden="1" outlineLevel="1" x14ac:dyDescent="0.25">
      <c r="A29" s="254" t="s">
        <v>3</v>
      </c>
      <c r="B29" s="139"/>
      <c r="C29" s="139"/>
      <c r="D29" s="140"/>
    </row>
    <row r="30" spans="1:4" s="148" customFormat="1" hidden="1" outlineLevel="1" x14ac:dyDescent="0.25">
      <c r="A30" s="428" t="s">
        <v>1495</v>
      </c>
      <c r="B30" s="139"/>
      <c r="C30" s="139"/>
      <c r="D30" s="140"/>
    </row>
    <row r="31" spans="1:4" s="428" customFormat="1" hidden="1" outlineLevel="1" x14ac:dyDescent="0.25">
      <c r="A31" s="428" t="s">
        <v>1439</v>
      </c>
      <c r="B31" s="437"/>
      <c r="C31" s="437"/>
      <c r="D31" s="438"/>
    </row>
    <row r="32" spans="1:4" s="428" customFormat="1" hidden="1" outlineLevel="1" x14ac:dyDescent="0.25">
      <c r="A32" s="142" t="s">
        <v>1440</v>
      </c>
      <c r="B32" s="437"/>
      <c r="C32" s="437"/>
      <c r="D32" s="438"/>
    </row>
    <row r="33" spans="1:11" s="428" customFormat="1" hidden="1" outlineLevel="1" x14ac:dyDescent="0.25">
      <c r="A33" s="142" t="s">
        <v>1496</v>
      </c>
      <c r="B33" s="437"/>
      <c r="C33" s="437"/>
      <c r="D33" s="438"/>
    </row>
    <row r="34" spans="1:11" s="428" customFormat="1" hidden="1" outlineLevel="1" x14ac:dyDescent="0.25">
      <c r="A34" s="142" t="s">
        <v>1497</v>
      </c>
      <c r="B34" s="437"/>
      <c r="C34" s="437"/>
      <c r="D34" s="438"/>
    </row>
    <row r="35" spans="1:11" s="428" customFormat="1" hidden="1" outlineLevel="1" x14ac:dyDescent="0.25">
      <c r="A35" s="142" t="s">
        <v>1498</v>
      </c>
      <c r="B35" s="437"/>
      <c r="C35" s="437"/>
      <c r="D35" s="438"/>
    </row>
    <row r="36" spans="1:11" s="148" customFormat="1" hidden="1" outlineLevel="1" x14ac:dyDescent="0.25">
      <c r="A36" s="428" t="s">
        <v>1290</v>
      </c>
      <c r="B36" s="139"/>
      <c r="C36" s="139"/>
      <c r="D36" s="140"/>
    </row>
    <row r="37" spans="1:11" s="148" customFormat="1" hidden="1" outlineLevel="1" x14ac:dyDescent="0.25">
      <c r="A37" s="428" t="s">
        <v>1499</v>
      </c>
      <c r="B37" s="139"/>
      <c r="C37" s="139"/>
      <c r="D37" s="140"/>
    </row>
    <row r="38" spans="1:11" s="148" customFormat="1" hidden="1" outlineLevel="1" x14ac:dyDescent="0.25">
      <c r="A38" s="428" t="s">
        <v>1500</v>
      </c>
      <c r="B38" s="139"/>
      <c r="C38" s="139"/>
      <c r="D38" s="140"/>
    </row>
    <row r="39" spans="1:11" s="148" customFormat="1" hidden="1" outlineLevel="1" x14ac:dyDescent="0.25">
      <c r="A39" s="428" t="s">
        <v>1501</v>
      </c>
      <c r="B39" s="139"/>
      <c r="C39" s="139"/>
      <c r="D39" s="140"/>
    </row>
    <row r="40" spans="1:11" s="148" customFormat="1" hidden="1" outlineLevel="1" x14ac:dyDescent="0.25">
      <c r="A40" s="428" t="s">
        <v>1502</v>
      </c>
      <c r="B40" s="139"/>
      <c r="C40" s="139"/>
      <c r="D40" s="140"/>
    </row>
    <row r="41" spans="1:11" s="148" customFormat="1" hidden="1" outlineLevel="1" x14ac:dyDescent="0.25">
      <c r="A41" s="428" t="s">
        <v>1503</v>
      </c>
      <c r="B41" s="139"/>
      <c r="C41" s="139"/>
      <c r="D41" s="140"/>
      <c r="K41" s="525">
        <f>80823+26020+66800</f>
        <v>173643</v>
      </c>
    </row>
    <row r="42" spans="1:11" s="148" customFormat="1" hidden="1" outlineLevel="1" x14ac:dyDescent="0.25">
      <c r="A42" s="428" t="s">
        <v>1504</v>
      </c>
      <c r="B42" s="139"/>
      <c r="C42" s="139"/>
      <c r="D42" s="140"/>
    </row>
    <row r="43" spans="1:11" s="148" customFormat="1" hidden="1" outlineLevel="1" x14ac:dyDescent="0.25">
      <c r="A43" s="428" t="s">
        <v>1505</v>
      </c>
      <c r="B43" s="139"/>
      <c r="C43" s="139"/>
      <c r="D43" s="140"/>
    </row>
    <row r="44" spans="1:11" s="428" customFormat="1" ht="15" hidden="1" customHeight="1" outlineLevel="1" x14ac:dyDescent="0.25">
      <c r="A44" s="142" t="s">
        <v>1506</v>
      </c>
      <c r="B44" s="437"/>
      <c r="C44" s="437"/>
      <c r="D44" s="438"/>
    </row>
    <row r="45" spans="1:11" s="148" customFormat="1" hidden="1" outlineLevel="1" x14ac:dyDescent="0.25">
      <c r="A45" s="142" t="s">
        <v>1507</v>
      </c>
      <c r="B45" s="139"/>
      <c r="C45" s="139"/>
      <c r="D45" s="140"/>
    </row>
    <row r="46" spans="1:11" s="148" customFormat="1" hidden="1" outlineLevel="1" x14ac:dyDescent="0.25">
      <c r="A46" s="142" t="s">
        <v>1508</v>
      </c>
      <c r="B46" s="139"/>
      <c r="C46" s="139"/>
      <c r="D46" s="140"/>
    </row>
    <row r="47" spans="1:11" s="148" customFormat="1" hidden="1" outlineLevel="1" x14ac:dyDescent="0.25">
      <c r="A47" s="428" t="s">
        <v>1443</v>
      </c>
      <c r="B47" s="139"/>
      <c r="C47" s="139"/>
      <c r="D47" s="140"/>
    </row>
    <row r="48" spans="1:11" s="138" customFormat="1" hidden="1" outlineLevel="1" x14ac:dyDescent="0.25">
      <c r="A48" s="428" t="s">
        <v>1509</v>
      </c>
      <c r="B48" s="149"/>
      <c r="C48" s="149"/>
      <c r="D48" s="150"/>
    </row>
    <row r="49" spans="1:6" s="138" customFormat="1" hidden="1" outlineLevel="1" x14ac:dyDescent="0.25">
      <c r="A49" s="428" t="s">
        <v>1510</v>
      </c>
      <c r="B49" s="149"/>
      <c r="C49" s="149"/>
      <c r="D49" s="150"/>
    </row>
    <row r="50" spans="1:6" collapsed="1" x14ac:dyDescent="0.25">
      <c r="A50" s="143"/>
      <c r="B50" s="136"/>
      <c r="C50" s="136"/>
      <c r="D50" s="137"/>
    </row>
    <row r="51" spans="1:6" x14ac:dyDescent="0.25">
      <c r="A51" s="143"/>
      <c r="B51" s="136"/>
      <c r="C51" s="136"/>
      <c r="D51" s="137"/>
    </row>
    <row r="54" spans="1:6" x14ac:dyDescent="0.25">
      <c r="C54" s="151"/>
    </row>
    <row r="56" spans="1:6" ht="57.6" customHeight="1" x14ac:dyDescent="0.25">
      <c r="A56" s="132" t="s">
        <v>753</v>
      </c>
      <c r="B56" s="133" t="str">
        <f>B5</f>
        <v>26.06.2025. grozījumi</v>
      </c>
      <c r="C56" s="133" t="str">
        <f>"Izpilde"&amp;" "&amp;$C$2</f>
        <v>Izpilde 2025.g. 1. pusgads</v>
      </c>
      <c r="D56" s="133" t="str">
        <f>"Izdevumu izpilde, %,"&amp;" "&amp;$C$2</f>
        <v>Izdevumu izpilde, %, 2025.g. 1. pusgads</v>
      </c>
    </row>
    <row r="57" spans="1:6" ht="12.75" customHeight="1" x14ac:dyDescent="0.25">
      <c r="A57" s="127" t="s">
        <v>754</v>
      </c>
      <c r="B57" s="145">
        <f>SUM(B58,B62:B66,B71:B73,B86)</f>
        <v>75437267</v>
      </c>
      <c r="C57" s="145">
        <f>SUM(C58,C62:C66,C71:C73,C86)</f>
        <v>25143553.070000004</v>
      </c>
      <c r="D57" s="137">
        <f t="shared" ref="D57:D77" si="1">C57/B57</f>
        <v>0.33330413560713967</v>
      </c>
    </row>
    <row r="58" spans="1:6" ht="12.75" customHeight="1" x14ac:dyDescent="0.25">
      <c r="A58" s="128" t="s">
        <v>755</v>
      </c>
      <c r="B58" s="136">
        <f>'2025.gada budzeta plans_apvieno'!L125</f>
        <v>12213884</v>
      </c>
      <c r="C58" s="136">
        <f>'2025.gada budzeta plans_apvieno'!O125</f>
        <v>5363227.6599999992</v>
      </c>
      <c r="D58" s="137">
        <f t="shared" si="1"/>
        <v>0.43910910403275477</v>
      </c>
      <c r="E58" s="137"/>
      <c r="F58" s="146"/>
    </row>
    <row r="59" spans="1:6" ht="12.75" customHeight="1" outlineLevel="1" x14ac:dyDescent="0.25">
      <c r="A59" s="138" t="s">
        <v>769</v>
      </c>
      <c r="B59" s="139">
        <f>'2025.gada budzeta plans_apvieno'!L126+'2025.gada budzeta plans_apvieno'!L127+'2025.gada budzeta plans_apvieno'!L128+'2025.gada budzeta plans_apvieno'!L129+'2025.gada budzeta plans_apvieno'!L130+'2025.gada budzeta plans_apvieno'!L131+'2025.gada budzeta plans_apvieno'!L134</f>
        <v>3243729</v>
      </c>
      <c r="C59" s="139">
        <f>'2025.gada budzeta plans_apvieno'!O126+'2025.gada budzeta plans_apvieno'!O127+'2025.gada budzeta plans_apvieno'!O128+'2025.gada budzeta plans_apvieno'!O129+'2025.gada budzeta plans_apvieno'!O130+'2025.gada budzeta plans_apvieno'!O131+'2025.gada budzeta plans_apvieno'!O134</f>
        <v>1305497.2800000003</v>
      </c>
      <c r="D59" s="140">
        <f t="shared" si="1"/>
        <v>0.40246804834805877</v>
      </c>
      <c r="E59" s="137"/>
      <c r="F59" s="146"/>
    </row>
    <row r="60" spans="1:6" ht="12.75" customHeight="1" outlineLevel="1" x14ac:dyDescent="0.25">
      <c r="A60" s="138" t="s">
        <v>770</v>
      </c>
      <c r="B60" s="139">
        <f>'2025.gada budzeta plans_apvieno'!L132</f>
        <v>2052431</v>
      </c>
      <c r="C60" s="139">
        <f>'2025.gada budzeta plans_apvieno'!O132</f>
        <v>944754.58</v>
      </c>
      <c r="D60" s="140">
        <f t="shared" si="1"/>
        <v>0.46031003234700701</v>
      </c>
      <c r="E60" s="137"/>
      <c r="F60" s="146"/>
    </row>
    <row r="61" spans="1:6" ht="12.75" customHeight="1" outlineLevel="1" x14ac:dyDescent="0.25">
      <c r="A61" s="138" t="s">
        <v>771</v>
      </c>
      <c r="B61" s="139">
        <f>'2025.gada budzeta plans_apvieno'!L133</f>
        <v>6917724</v>
      </c>
      <c r="C61" s="139">
        <f>'2025.gada budzeta plans_apvieno'!O133</f>
        <v>3112975.8</v>
      </c>
      <c r="D61" s="140">
        <f t="shared" si="1"/>
        <v>0.44999999999999996</v>
      </c>
      <c r="E61" s="137"/>
      <c r="F61" s="146"/>
    </row>
    <row r="62" spans="1:6" ht="12.75" customHeight="1" x14ac:dyDescent="0.25">
      <c r="A62" s="128" t="s">
        <v>756</v>
      </c>
      <c r="B62" s="136">
        <f>'2025.gada budzeta plans_apvieno'!L135</f>
        <v>1129824</v>
      </c>
      <c r="C62" s="136">
        <f>'2025.gada budzeta plans_apvieno'!O135</f>
        <v>436277.61</v>
      </c>
      <c r="D62" s="137">
        <f t="shared" si="1"/>
        <v>0.38614652370634717</v>
      </c>
      <c r="E62" s="137"/>
      <c r="F62" s="146"/>
    </row>
    <row r="63" spans="1:6" ht="12.75" customHeight="1" x14ac:dyDescent="0.25">
      <c r="A63" s="128" t="s">
        <v>757</v>
      </c>
      <c r="B63" s="136">
        <f>'2025.gada budzeta plans_apvieno'!L137</f>
        <v>200531</v>
      </c>
      <c r="C63" s="136">
        <f>'2025.gada budzeta plans_apvieno'!O137</f>
        <v>79828.11</v>
      </c>
      <c r="D63" s="137">
        <f t="shared" si="1"/>
        <v>0.39808363794126594</v>
      </c>
      <c r="E63" s="137"/>
      <c r="F63" s="146"/>
    </row>
    <row r="64" spans="1:6" ht="12.75" customHeight="1" x14ac:dyDescent="0.25">
      <c r="A64" s="128" t="s">
        <v>758</v>
      </c>
      <c r="B64" s="136">
        <f>'2025.gada budzeta plans_apvieno'!L140</f>
        <v>445527</v>
      </c>
      <c r="C64" s="136">
        <f>'2025.gada budzeta plans_apvieno'!O140</f>
        <v>219761</v>
      </c>
      <c r="D64" s="137">
        <f t="shared" si="1"/>
        <v>0.49326079003068274</v>
      </c>
      <c r="E64" s="137"/>
      <c r="F64" s="146"/>
    </row>
    <row r="65" spans="1:6" ht="12.75" customHeight="1" x14ac:dyDescent="0.25">
      <c r="A65" s="128" t="s">
        <v>759</v>
      </c>
      <c r="B65" s="136">
        <f>'2025.gada budzeta plans_apvieno'!L141</f>
        <v>225687</v>
      </c>
      <c r="C65" s="136">
        <f>'2025.gada budzeta plans_apvieno'!O141</f>
        <v>10833.68</v>
      </c>
      <c r="D65" s="137">
        <f t="shared" si="1"/>
        <v>4.8003119364429497E-2</v>
      </c>
      <c r="E65" s="137"/>
      <c r="F65" s="146"/>
    </row>
    <row r="66" spans="1:6" ht="12.75" customHeight="1" x14ac:dyDescent="0.25">
      <c r="A66" s="128" t="s">
        <v>760</v>
      </c>
      <c r="B66" s="136">
        <f>'2025.gada budzeta plans_apvieno'!L143</f>
        <v>18000055</v>
      </c>
      <c r="C66" s="136">
        <f>'2025.gada budzeta plans_apvieno'!O143</f>
        <v>3141399.7199999997</v>
      </c>
      <c r="D66" s="137">
        <f t="shared" si="1"/>
        <v>0.17452167340599792</v>
      </c>
      <c r="E66" s="137"/>
      <c r="F66" s="146"/>
    </row>
    <row r="67" spans="1:6" ht="12.75" customHeight="1" outlineLevel="1" x14ac:dyDescent="0.25">
      <c r="A67" s="138" t="s">
        <v>775</v>
      </c>
      <c r="B67" s="139">
        <f>SUM('2025.gada budzeta plans_apvieno'!L163,'2025.gada budzeta plans_apvieno'!L149,'2025.gada budzeta plans_apvieno'!L147,'2025.gada budzeta plans_apvieno'!L146)-31000-29687</f>
        <v>1371910</v>
      </c>
      <c r="C67" s="139">
        <f>SUM('2025.gada budzeta plans_apvieno'!O163,'2025.gada budzeta plans_apvieno'!O149,'2025.gada budzeta plans_apvieno'!O147,'2025.gada budzeta plans_apvieno'!O146)</f>
        <v>527084.12</v>
      </c>
      <c r="D67" s="140">
        <f t="shared" si="1"/>
        <v>0.38419730157226056</v>
      </c>
      <c r="E67" s="137"/>
      <c r="F67" s="146"/>
    </row>
    <row r="68" spans="1:6" ht="12.75" customHeight="1" outlineLevel="1" x14ac:dyDescent="0.25">
      <c r="A68" s="138" t="s">
        <v>1437</v>
      </c>
      <c r="B68" s="139">
        <f>'2025.gada budzeta plans_apvieno'!L166</f>
        <v>5774573</v>
      </c>
      <c r="C68" s="139">
        <f>'2025.gada budzeta plans_apvieno'!O166</f>
        <v>2208534</v>
      </c>
      <c r="D68" s="140">
        <f t="shared" si="1"/>
        <v>0.38245840861306973</v>
      </c>
      <c r="E68" s="137"/>
      <c r="F68" s="146"/>
    </row>
    <row r="69" spans="1:6" ht="12.75" customHeight="1" outlineLevel="1" x14ac:dyDescent="0.25">
      <c r="A69" s="427" t="s">
        <v>1438</v>
      </c>
      <c r="B69" s="139">
        <f>'2025.gada budzeta plans_apvieno'!L144+'2025.gada budzeta plans_apvieno'!L145</f>
        <v>122568</v>
      </c>
      <c r="C69" s="139">
        <f>'2025.gada budzeta plans_apvieno'!O144+'2025.gada budzeta plans_apvieno'!O145</f>
        <v>0</v>
      </c>
      <c r="D69" s="140">
        <f t="shared" si="1"/>
        <v>0</v>
      </c>
      <c r="E69" s="137"/>
      <c r="F69" s="146"/>
    </row>
    <row r="70" spans="1:6" ht="12.75" customHeight="1" outlineLevel="1" x14ac:dyDescent="0.25">
      <c r="A70" s="138" t="s">
        <v>772</v>
      </c>
      <c r="B70" s="139">
        <f>B66-B67-B69-B68</f>
        <v>10731004</v>
      </c>
      <c r="C70" s="139">
        <f>C66-C67-C69-C68</f>
        <v>405781.59999999963</v>
      </c>
      <c r="D70" s="140">
        <f t="shared" si="1"/>
        <v>3.7813945461207511E-2</v>
      </c>
      <c r="E70" s="137"/>
      <c r="F70" s="146"/>
    </row>
    <row r="71" spans="1:6" ht="12.75" customHeight="1" x14ac:dyDescent="0.25">
      <c r="A71" s="128" t="s">
        <v>761</v>
      </c>
      <c r="B71" s="136">
        <f>'2025.gada budzeta plans_apvieno'!L180</f>
        <v>2587421</v>
      </c>
      <c r="C71" s="136">
        <f>'2025.gada budzeta plans_apvieno'!O180</f>
        <v>1107127.4000000001</v>
      </c>
      <c r="D71" s="137">
        <f t="shared" si="1"/>
        <v>0.42788838770343141</v>
      </c>
      <c r="E71" s="137"/>
      <c r="F71" s="146"/>
    </row>
    <row r="72" spans="1:6" ht="12.75" customHeight="1" x14ac:dyDescent="0.25">
      <c r="A72" s="128" t="s">
        <v>762</v>
      </c>
      <c r="B72" s="136">
        <f>'2025.gada budzeta plans_apvieno'!L195</f>
        <v>3546428</v>
      </c>
      <c r="C72" s="136">
        <f>'2025.gada budzeta plans_apvieno'!O195</f>
        <v>1440300.2400000002</v>
      </c>
      <c r="D72" s="137">
        <f t="shared" si="1"/>
        <v>0.40612702132963091</v>
      </c>
      <c r="E72" s="137"/>
      <c r="F72" s="146"/>
    </row>
    <row r="73" spans="1:6" ht="12.75" customHeight="1" x14ac:dyDescent="0.25">
      <c r="A73" s="128" t="s">
        <v>763</v>
      </c>
      <c r="B73" s="136">
        <f>'2025.gada budzeta plans_apvieno'!L215</f>
        <v>33385173</v>
      </c>
      <c r="C73" s="136">
        <f>'2025.gada budzeta plans_apvieno'!O215</f>
        <v>11392525.890000001</v>
      </c>
      <c r="D73" s="137">
        <f t="shared" si="1"/>
        <v>0.34124507577061231</v>
      </c>
      <c r="E73" s="147"/>
      <c r="F73" s="146"/>
    </row>
    <row r="74" spans="1:6" ht="12.75" customHeight="1" outlineLevel="1" x14ac:dyDescent="0.25">
      <c r="A74" s="138" t="s">
        <v>786</v>
      </c>
      <c r="B74" s="139">
        <f>'2025.gada budzeta plans_apvieno'!L216</f>
        <v>851975</v>
      </c>
      <c r="C74" s="139">
        <f>'2025.gada budzeta plans_apvieno'!O216</f>
        <v>457481.2</v>
      </c>
      <c r="D74" s="140">
        <f t="shared" si="1"/>
        <v>0.53696552128877018</v>
      </c>
      <c r="E74" s="147"/>
      <c r="F74" s="146"/>
    </row>
    <row r="75" spans="1:6" ht="12.75" customHeight="1" outlineLevel="1" x14ac:dyDescent="0.25">
      <c r="A75" s="138" t="s">
        <v>782</v>
      </c>
      <c r="B75" s="139">
        <f>'2025.gada budzeta plans_apvieno'!L217</f>
        <v>2535967</v>
      </c>
      <c r="C75" s="139">
        <f>'2025.gada budzeta plans_apvieno'!O217</f>
        <v>1055392.8</v>
      </c>
      <c r="D75" s="140">
        <f t="shared" si="1"/>
        <v>0.41616976877065043</v>
      </c>
      <c r="E75" s="137"/>
      <c r="F75" s="146"/>
    </row>
    <row r="76" spans="1:6" ht="12.75" customHeight="1" outlineLevel="1" x14ac:dyDescent="0.25">
      <c r="A76" s="138" t="s">
        <v>783</v>
      </c>
      <c r="B76" s="139">
        <f>'2025.gada budzeta plans_apvieno'!L221</f>
        <v>1501706</v>
      </c>
      <c r="C76" s="139">
        <f>'2025.gada budzeta plans_apvieno'!O221</f>
        <v>636156.54</v>
      </c>
      <c r="D76" s="140">
        <f t="shared" si="1"/>
        <v>0.42362255994182618</v>
      </c>
      <c r="E76" s="137"/>
      <c r="F76" s="146"/>
    </row>
    <row r="77" spans="1:6" ht="12.75" customHeight="1" outlineLevel="1" x14ac:dyDescent="0.25">
      <c r="A77" s="138" t="s">
        <v>784</v>
      </c>
      <c r="B77" s="139">
        <f>'2025.gada budzeta plans_apvieno'!L225</f>
        <v>1854025</v>
      </c>
      <c r="C77" s="139">
        <f>'2025.gada budzeta plans_apvieno'!O225</f>
        <v>721771.91</v>
      </c>
      <c r="D77" s="140">
        <f t="shared" si="1"/>
        <v>0.3892999878642413</v>
      </c>
      <c r="E77" s="137"/>
      <c r="F77" s="146"/>
    </row>
    <row r="78" spans="1:6" ht="12.75" customHeight="1" outlineLevel="1" x14ac:dyDescent="0.25">
      <c r="A78" s="138" t="s">
        <v>785</v>
      </c>
      <c r="B78" s="139">
        <f>'2025.gada budzeta plans_apvieno'!L229</f>
        <v>1575794</v>
      </c>
      <c r="C78" s="139">
        <f>'2025.gada budzeta plans_apvieno'!O229</f>
        <v>583767.54</v>
      </c>
      <c r="D78" s="140">
        <f t="shared" ref="D78:D85" si="2">C78/B78</f>
        <v>0.37045929861390514</v>
      </c>
      <c r="E78" s="137"/>
      <c r="F78" s="146"/>
    </row>
    <row r="79" spans="1:6" ht="12.75" customHeight="1" outlineLevel="1" x14ac:dyDescent="0.25">
      <c r="A79" s="138" t="s">
        <v>776</v>
      </c>
      <c r="B79" s="139">
        <f>'2025.gada budzeta plans_apvieno'!L233</f>
        <v>3797888</v>
      </c>
      <c r="C79" s="139">
        <f>'2025.gada budzeta plans_apvieno'!O233</f>
        <v>1463074.57</v>
      </c>
      <c r="D79" s="140">
        <f t="shared" si="2"/>
        <v>0.38523373253766308</v>
      </c>
      <c r="E79" s="137"/>
      <c r="F79" s="146"/>
    </row>
    <row r="80" spans="1:6" ht="12.75" customHeight="1" outlineLevel="1" x14ac:dyDescent="0.25">
      <c r="A80" s="138" t="s">
        <v>1530</v>
      </c>
      <c r="B80" s="139">
        <f>'2025.gada budzeta plans_apvieno'!L237</f>
        <v>2737011</v>
      </c>
      <c r="C80" s="139">
        <f>'2025.gada budzeta plans_apvieno'!O237</f>
        <v>1195161.5000000002</v>
      </c>
      <c r="D80" s="140">
        <f t="shared" si="2"/>
        <v>0.43666667762752881</v>
      </c>
      <c r="E80" s="137"/>
      <c r="F80" s="146"/>
    </row>
    <row r="81" spans="1:18" ht="12.75" customHeight="1" outlineLevel="1" x14ac:dyDescent="0.25">
      <c r="A81" s="138" t="s">
        <v>777</v>
      </c>
      <c r="B81" s="139">
        <f>'2025.gada budzeta plans_apvieno'!L248</f>
        <v>9068044</v>
      </c>
      <c r="C81" s="139">
        <f>'2025.gada budzeta plans_apvieno'!O248</f>
        <v>3869623.6000000006</v>
      </c>
      <c r="D81" s="140">
        <f t="shared" si="2"/>
        <v>0.42673189499301067</v>
      </c>
      <c r="E81" s="137"/>
      <c r="F81" s="146"/>
    </row>
    <row r="82" spans="1:18" ht="12.75" customHeight="1" outlineLevel="1" x14ac:dyDescent="0.25">
      <c r="A82" s="138" t="s">
        <v>778</v>
      </c>
      <c r="B82" s="139">
        <f>'2025.gada budzeta plans_apvieno'!L266</f>
        <v>1819529</v>
      </c>
      <c r="C82" s="139">
        <f>'2025.gada budzeta plans_apvieno'!O266</f>
        <v>904975.08000000007</v>
      </c>
      <c r="D82" s="140">
        <f t="shared" si="2"/>
        <v>0.49736776935129917</v>
      </c>
      <c r="E82" s="137"/>
      <c r="F82" s="146"/>
    </row>
    <row r="83" spans="1:18" ht="12.75" customHeight="1" outlineLevel="1" x14ac:dyDescent="0.25">
      <c r="A83" s="138" t="s">
        <v>779</v>
      </c>
      <c r="B83" s="139">
        <f>'2025.gada budzeta plans_apvieno'!L269</f>
        <v>845947</v>
      </c>
      <c r="C83" s="139">
        <f>'2025.gada budzeta plans_apvieno'!O269</f>
        <v>331626.59999999998</v>
      </c>
      <c r="D83" s="140">
        <f t="shared" si="2"/>
        <v>0.39201817607958889</v>
      </c>
      <c r="E83" s="137"/>
      <c r="F83" s="146"/>
    </row>
    <row r="84" spans="1:18" ht="12.75" customHeight="1" outlineLevel="1" x14ac:dyDescent="0.25">
      <c r="A84" s="138" t="s">
        <v>780</v>
      </c>
      <c r="B84" s="139">
        <f>'2025.gada budzeta plans_apvieno'!L272+'2025.gada budzeta plans_apvieno'!L273</f>
        <v>644764</v>
      </c>
      <c r="C84" s="139">
        <f>'2025.gada budzeta plans_apvieno'!O272</f>
        <v>168480.97999999998</v>
      </c>
      <c r="D84" s="140">
        <f t="shared" si="2"/>
        <v>0.26130643150051797</v>
      </c>
      <c r="E84" s="137"/>
      <c r="F84" s="146"/>
    </row>
    <row r="85" spans="1:18" ht="12.75" customHeight="1" outlineLevel="1" x14ac:dyDescent="0.25">
      <c r="A85" s="138" t="s">
        <v>781</v>
      </c>
      <c r="B85" s="139">
        <f>B73-SUM(B74:B84)</f>
        <v>6152523</v>
      </c>
      <c r="C85" s="139">
        <f>C73-SUM(C74:C84)</f>
        <v>5013.570000000298</v>
      </c>
      <c r="D85" s="140">
        <f t="shared" si="2"/>
        <v>8.1488033445796103E-4</v>
      </c>
      <c r="E85" s="137"/>
      <c r="F85" s="146"/>
    </row>
    <row r="86" spans="1:18" ht="12.75" customHeight="1" x14ac:dyDescent="0.25">
      <c r="A86" s="128" t="s">
        <v>764</v>
      </c>
      <c r="B86" s="136">
        <f>'2025.gada budzeta plans_apvieno'!L287</f>
        <v>3702737</v>
      </c>
      <c r="C86" s="136">
        <f>'2025.gada budzeta plans_apvieno'!O287</f>
        <v>1952271.76</v>
      </c>
      <c r="D86" s="137">
        <f>C86/B86</f>
        <v>0.5272509929816781</v>
      </c>
      <c r="E86" s="137"/>
      <c r="F86" s="146"/>
    </row>
    <row r="87" spans="1:18" x14ac:dyDescent="0.25">
      <c r="B87" s="136"/>
      <c r="C87" s="136"/>
      <c r="E87" s="137"/>
      <c r="F87" s="146"/>
    </row>
    <row r="88" spans="1:18" x14ac:dyDescent="0.25">
      <c r="B88" s="136">
        <f>B57-'2025.gada budzeta plans_apvieno'!L288</f>
        <v>0</v>
      </c>
      <c r="C88" s="128">
        <f>C57-'2025.gada budzeta plans_apvieno'!O288</f>
        <v>0</v>
      </c>
    </row>
    <row r="89" spans="1:18" x14ac:dyDescent="0.25">
      <c r="B89" s="137">
        <f>(B70+B85)/B57</f>
        <v>0.22380883708313559</v>
      </c>
    </row>
    <row r="90" spans="1:18" x14ac:dyDescent="0.25">
      <c r="B90" s="137">
        <f>B85/B73</f>
        <v>0.18428908545718783</v>
      </c>
    </row>
    <row r="91" spans="1:18" ht="32.25" customHeight="1" x14ac:dyDescent="0.25"/>
    <row r="92" spans="1:18" x14ac:dyDescent="0.25">
      <c r="B92" s="136"/>
      <c r="C92" s="136"/>
    </row>
    <row r="93" spans="1:18" s="148" customFormat="1" hidden="1" outlineLevel="1" x14ac:dyDescent="0.25">
      <c r="A93" s="254" t="s">
        <v>3</v>
      </c>
      <c r="B93" s="139"/>
      <c r="C93" s="139"/>
      <c r="D93" s="140"/>
    </row>
    <row r="94" spans="1:18" s="148" customFormat="1" hidden="1" outlineLevel="1" x14ac:dyDescent="0.25">
      <c r="A94" s="526" t="s">
        <v>1511</v>
      </c>
      <c r="B94" s="516"/>
      <c r="C94" s="516"/>
      <c r="D94" s="516"/>
      <c r="E94" s="517"/>
      <c r="F94" s="517"/>
      <c r="G94" s="517"/>
      <c r="H94" s="517"/>
      <c r="I94" s="517"/>
      <c r="J94" s="517"/>
      <c r="K94" s="517"/>
      <c r="L94" s="517"/>
      <c r="M94" s="517"/>
      <c r="N94" s="517"/>
      <c r="O94" s="517"/>
      <c r="P94" s="517"/>
      <c r="Q94" s="517"/>
      <c r="R94" s="517"/>
    </row>
    <row r="95" spans="1:18" s="148" customFormat="1" ht="17.399999999999999" hidden="1" customHeight="1" outlineLevel="1" x14ac:dyDescent="0.25">
      <c r="A95" s="142" t="s">
        <v>1512</v>
      </c>
      <c r="B95" s="518"/>
      <c r="C95" s="519"/>
      <c r="D95" s="518"/>
      <c r="E95" s="516"/>
      <c r="F95" s="516"/>
      <c r="G95" s="516"/>
      <c r="H95" s="516"/>
      <c r="I95" s="516"/>
      <c r="J95" s="516"/>
      <c r="K95" s="516"/>
      <c r="L95" s="516"/>
      <c r="M95" s="516"/>
      <c r="N95" s="516"/>
      <c r="O95" s="516"/>
      <c r="P95" s="516"/>
      <c r="Q95" s="516"/>
      <c r="R95" s="516"/>
    </row>
    <row r="96" spans="1:18" s="138" customFormat="1" hidden="1" outlineLevel="1" x14ac:dyDescent="0.25">
      <c r="A96" s="142" t="s">
        <v>1513</v>
      </c>
      <c r="B96" s="518"/>
      <c r="C96" s="519"/>
      <c r="D96" s="518"/>
      <c r="E96" s="518"/>
      <c r="F96" s="518"/>
      <c r="G96" s="518"/>
      <c r="H96" s="518"/>
      <c r="I96" s="518"/>
      <c r="J96" s="518"/>
      <c r="K96" s="518"/>
      <c r="L96" s="518"/>
      <c r="M96" s="518"/>
      <c r="N96" s="518"/>
      <c r="O96" s="518"/>
      <c r="P96" s="518"/>
      <c r="Q96" s="518"/>
      <c r="R96" s="518"/>
    </row>
    <row r="97" spans="1:18" s="138" customFormat="1" hidden="1" outlineLevel="1" x14ac:dyDescent="0.25">
      <c r="A97" s="142" t="s">
        <v>883</v>
      </c>
      <c r="B97" s="518"/>
      <c r="C97" s="519"/>
      <c r="D97" s="518"/>
      <c r="E97" s="518"/>
      <c r="F97" s="518"/>
      <c r="G97" s="518"/>
      <c r="H97" s="518"/>
      <c r="I97" s="518"/>
      <c r="J97" s="518"/>
      <c r="K97" s="518"/>
      <c r="L97" s="518"/>
      <c r="M97" s="518"/>
      <c r="N97" s="518"/>
      <c r="O97" s="518"/>
      <c r="P97" s="518"/>
      <c r="Q97" s="518"/>
      <c r="R97" s="518"/>
    </row>
    <row r="98" spans="1:18" s="138" customFormat="1" hidden="1" outlineLevel="1" x14ac:dyDescent="0.25">
      <c r="A98" s="428" t="s">
        <v>1514</v>
      </c>
      <c r="B98" s="517"/>
      <c r="C98" s="520"/>
      <c r="D98" s="517"/>
      <c r="E98" s="518"/>
      <c r="F98" s="518"/>
      <c r="G98" s="518"/>
      <c r="H98" s="518"/>
      <c r="I98" s="518"/>
      <c r="J98" s="518"/>
      <c r="K98" s="518"/>
      <c r="L98" s="518"/>
      <c r="M98" s="518"/>
      <c r="N98" s="518"/>
      <c r="O98" s="518"/>
      <c r="P98" s="518"/>
      <c r="Q98" s="518"/>
      <c r="R98" s="518"/>
    </row>
    <row r="99" spans="1:18" s="148" customFormat="1" hidden="1" outlineLevel="1" x14ac:dyDescent="0.25">
      <c r="A99" s="428" t="s">
        <v>1515</v>
      </c>
      <c r="B99" s="517"/>
      <c r="C99" s="520"/>
      <c r="D99" s="517"/>
      <c r="E99" s="517"/>
      <c r="F99" s="517"/>
      <c r="G99" s="517"/>
      <c r="H99" s="517"/>
      <c r="I99" s="517"/>
      <c r="J99" s="517"/>
      <c r="K99" s="517"/>
      <c r="L99" s="517"/>
      <c r="M99" s="517"/>
      <c r="N99" s="517"/>
      <c r="O99" s="517"/>
      <c r="P99" s="517"/>
      <c r="Q99" s="517"/>
      <c r="R99" s="517"/>
    </row>
    <row r="100" spans="1:18" s="148" customFormat="1" hidden="1" outlineLevel="1" x14ac:dyDescent="0.25">
      <c r="A100" s="428" t="s">
        <v>1444</v>
      </c>
      <c r="B100" s="517"/>
      <c r="C100" s="520"/>
      <c r="D100" s="517"/>
      <c r="E100" s="517"/>
      <c r="F100" s="517"/>
      <c r="G100" s="517"/>
      <c r="H100" s="517"/>
      <c r="I100" s="517"/>
      <c r="J100" s="517"/>
      <c r="K100" s="517"/>
      <c r="L100" s="517"/>
      <c r="M100" s="517"/>
      <c r="N100" s="517"/>
      <c r="O100" s="517"/>
      <c r="P100" s="517"/>
      <c r="Q100" s="517"/>
      <c r="R100" s="517"/>
    </row>
    <row r="101" spans="1:18" s="148" customFormat="1" ht="15" hidden="1" customHeight="1" outlineLevel="1" x14ac:dyDescent="0.25">
      <c r="A101" s="428" t="s">
        <v>1445</v>
      </c>
      <c r="B101" s="517"/>
      <c r="C101" s="520"/>
      <c r="D101" s="517"/>
      <c r="E101" s="517"/>
      <c r="F101" s="517"/>
      <c r="G101" s="517"/>
      <c r="H101" s="517"/>
      <c r="I101" s="517"/>
      <c r="J101" s="517"/>
      <c r="K101" s="517"/>
      <c r="L101" s="517"/>
      <c r="M101" s="517"/>
      <c r="N101" s="517"/>
      <c r="O101" s="517"/>
      <c r="P101" s="517"/>
      <c r="Q101" s="517"/>
      <c r="R101" s="517"/>
    </row>
    <row r="102" spans="1:18" s="148" customFormat="1" hidden="1" outlineLevel="1" x14ac:dyDescent="0.25">
      <c r="A102" s="428" t="s">
        <v>1516</v>
      </c>
      <c r="B102" s="517"/>
      <c r="C102" s="520"/>
      <c r="D102" s="517"/>
      <c r="E102" s="517"/>
      <c r="F102" s="517"/>
      <c r="G102" s="517"/>
      <c r="H102" s="517"/>
      <c r="I102" s="517"/>
      <c r="J102" s="517"/>
      <c r="K102" s="517"/>
      <c r="L102" s="517"/>
      <c r="M102" s="517"/>
      <c r="N102" s="517"/>
      <c r="O102" s="517"/>
      <c r="P102" s="517"/>
      <c r="Q102" s="517"/>
      <c r="R102" s="517"/>
    </row>
    <row r="103" spans="1:18" s="148" customFormat="1" ht="15" hidden="1" customHeight="1" outlineLevel="1" x14ac:dyDescent="0.25">
      <c r="A103" s="552" t="s">
        <v>1517</v>
      </c>
      <c r="B103" s="552"/>
      <c r="C103" s="552"/>
      <c r="D103" s="552"/>
      <c r="E103" s="552"/>
      <c r="F103" s="552"/>
      <c r="G103" s="552"/>
      <c r="H103" s="552"/>
      <c r="I103" s="552"/>
      <c r="J103" s="552"/>
      <c r="K103" s="552"/>
      <c r="L103" s="552"/>
      <c r="M103" s="552"/>
      <c r="N103" s="552"/>
      <c r="O103" s="552"/>
      <c r="P103" s="552"/>
      <c r="Q103" s="552"/>
      <c r="R103" s="552"/>
    </row>
    <row r="104" spans="1:18" s="148" customFormat="1" ht="15" hidden="1" customHeight="1" outlineLevel="1" x14ac:dyDescent="0.25">
      <c r="A104" s="142" t="s">
        <v>1446</v>
      </c>
      <c r="B104" s="517"/>
      <c r="C104" s="517"/>
      <c r="D104" s="517"/>
      <c r="E104" s="521"/>
      <c r="F104" s="521"/>
      <c r="G104" s="521"/>
      <c r="H104" s="521"/>
      <c r="I104" s="521"/>
      <c r="J104" s="521"/>
      <c r="K104" s="521"/>
      <c r="L104" s="521"/>
      <c r="M104" s="521"/>
      <c r="N104" s="521"/>
      <c r="O104" s="521"/>
      <c r="P104" s="521"/>
      <c r="Q104" s="521"/>
      <c r="R104" s="521"/>
    </row>
    <row r="105" spans="1:18" s="148" customFormat="1" hidden="1" outlineLevel="1" x14ac:dyDescent="0.25">
      <c r="A105" s="142" t="s">
        <v>1518</v>
      </c>
      <c r="B105" s="517"/>
      <c r="C105" s="517"/>
      <c r="D105" s="517"/>
      <c r="E105" s="517"/>
      <c r="F105" s="517"/>
      <c r="G105" s="517"/>
      <c r="H105" s="517"/>
      <c r="I105" s="517"/>
      <c r="J105" s="517"/>
      <c r="K105" s="517"/>
      <c r="L105" s="517"/>
      <c r="M105" s="517"/>
      <c r="N105" s="517"/>
      <c r="O105" s="517"/>
      <c r="P105" s="517"/>
      <c r="Q105" s="517"/>
      <c r="R105" s="517"/>
    </row>
    <row r="106" spans="1:18" s="148" customFormat="1" hidden="1" outlineLevel="1" x14ac:dyDescent="0.25">
      <c r="A106" s="142" t="s">
        <v>1447</v>
      </c>
      <c r="B106" s="517"/>
      <c r="C106" s="517"/>
      <c r="D106" s="517"/>
      <c r="E106" s="517"/>
      <c r="F106" s="517"/>
      <c r="G106" s="517"/>
      <c r="H106" s="517"/>
      <c r="I106" s="517"/>
      <c r="J106" s="517"/>
      <c r="K106" s="517"/>
      <c r="L106" s="517"/>
      <c r="M106" s="517"/>
      <c r="N106" s="517"/>
      <c r="O106" s="517"/>
      <c r="P106" s="517"/>
      <c r="Q106" s="517"/>
      <c r="R106" s="517"/>
    </row>
    <row r="107" spans="1:18" s="148" customFormat="1" ht="30" hidden="1" customHeight="1" outlineLevel="1" x14ac:dyDescent="0.25">
      <c r="A107" s="553" t="s">
        <v>1519</v>
      </c>
      <c r="B107" s="553"/>
      <c r="C107" s="553"/>
      <c r="D107" s="553"/>
      <c r="E107" s="553"/>
      <c r="F107" s="553"/>
      <c r="G107" s="553"/>
      <c r="H107" s="553"/>
      <c r="I107" s="553"/>
      <c r="J107" s="553"/>
      <c r="K107" s="553"/>
      <c r="L107" s="553"/>
      <c r="M107" s="553"/>
      <c r="N107" s="553"/>
      <c r="O107" s="553"/>
      <c r="P107" s="553"/>
      <c r="Q107" s="553"/>
      <c r="R107" s="553"/>
    </row>
    <row r="108" spans="1:18" s="148" customFormat="1" ht="19.5" hidden="1" customHeight="1" outlineLevel="1" x14ac:dyDescent="0.25">
      <c r="A108" s="527" t="s">
        <v>1520</v>
      </c>
      <c r="B108" s="523"/>
      <c r="C108" s="523"/>
      <c r="D108" s="523"/>
      <c r="E108" s="522"/>
      <c r="F108" s="522"/>
      <c r="G108" s="522"/>
      <c r="H108" s="522"/>
      <c r="I108" s="522"/>
      <c r="J108" s="522"/>
      <c r="K108" s="522"/>
      <c r="L108" s="522"/>
      <c r="M108" s="517"/>
      <c r="N108" s="517"/>
      <c r="O108" s="517"/>
      <c r="P108" s="517"/>
      <c r="Q108" s="517"/>
      <c r="R108" s="517"/>
    </row>
    <row r="109" spans="1:18" s="148" customFormat="1" ht="13.5" hidden="1" customHeight="1" outlineLevel="1" x14ac:dyDescent="0.25">
      <c r="A109" s="553" t="s">
        <v>1521</v>
      </c>
      <c r="B109" s="553"/>
      <c r="C109" s="553"/>
      <c r="D109" s="553"/>
      <c r="E109" s="553"/>
      <c r="F109" s="553"/>
      <c r="G109" s="553"/>
      <c r="H109" s="553"/>
      <c r="I109" s="553"/>
      <c r="J109" s="553"/>
      <c r="K109" s="553"/>
      <c r="L109" s="553"/>
      <c r="M109" s="553"/>
      <c r="N109" s="553"/>
      <c r="O109" s="553"/>
      <c r="P109" s="553"/>
      <c r="Q109" s="553"/>
      <c r="R109" s="517"/>
    </row>
    <row r="110" spans="1:18" s="148" customFormat="1" hidden="1" outlineLevel="1" x14ac:dyDescent="0.25">
      <c r="A110" s="527" t="s">
        <v>1522</v>
      </c>
      <c r="B110" s="522"/>
      <c r="C110" s="522"/>
      <c r="D110" s="522"/>
      <c r="E110" s="517"/>
      <c r="F110" s="517"/>
      <c r="G110" s="517"/>
      <c r="H110" s="517"/>
      <c r="I110" s="517"/>
      <c r="J110" s="517"/>
      <c r="K110" s="517"/>
      <c r="L110" s="517"/>
      <c r="M110" s="517"/>
      <c r="N110" s="517"/>
      <c r="O110" s="517"/>
      <c r="P110" s="517"/>
      <c r="Q110" s="517"/>
      <c r="R110" s="517"/>
    </row>
    <row r="111" spans="1:18" s="138" customFormat="1" ht="12.75" hidden="1" customHeight="1" outlineLevel="1" x14ac:dyDescent="0.25">
      <c r="A111" s="142" t="s">
        <v>1523</v>
      </c>
      <c r="B111" s="517"/>
      <c r="C111" s="517"/>
      <c r="D111" s="517"/>
      <c r="E111" s="522"/>
      <c r="F111" s="522"/>
      <c r="G111" s="522"/>
      <c r="H111" s="522"/>
      <c r="I111" s="522"/>
      <c r="J111" s="522"/>
      <c r="K111" s="522"/>
      <c r="L111" s="522"/>
      <c r="M111" s="517"/>
      <c r="N111" s="517"/>
      <c r="O111" s="517"/>
      <c r="P111" s="517"/>
      <c r="Q111" s="517"/>
      <c r="R111" s="517"/>
    </row>
    <row r="112" spans="1:18" s="138" customFormat="1" hidden="1" outlineLevel="1" x14ac:dyDescent="0.25">
      <c r="A112" s="142" t="s">
        <v>1524</v>
      </c>
      <c r="B112" s="517"/>
      <c r="C112" s="517"/>
      <c r="D112" s="517"/>
      <c r="E112" s="517"/>
      <c r="F112" s="517"/>
      <c r="G112" s="517"/>
      <c r="H112" s="517"/>
      <c r="I112" s="517"/>
      <c r="J112" s="517"/>
      <c r="K112" s="517"/>
      <c r="L112" s="517"/>
      <c r="M112" s="517"/>
      <c r="N112" s="517"/>
      <c r="O112" s="517"/>
      <c r="P112" s="517"/>
      <c r="Q112" s="517"/>
      <c r="R112" s="517"/>
    </row>
    <row r="113" spans="1:18" s="138" customFormat="1" hidden="1" outlineLevel="1" x14ac:dyDescent="0.25">
      <c r="A113" s="142" t="s">
        <v>1525</v>
      </c>
      <c r="B113" s="517"/>
      <c r="C113" s="517"/>
      <c r="D113" s="517"/>
      <c r="E113" s="517"/>
      <c r="F113" s="517"/>
      <c r="G113" s="517"/>
      <c r="H113" s="517"/>
      <c r="I113" s="517"/>
      <c r="J113" s="517"/>
      <c r="K113" s="517"/>
      <c r="L113" s="517"/>
      <c r="M113" s="517"/>
      <c r="N113" s="517"/>
      <c r="O113" s="517"/>
      <c r="P113" s="517"/>
      <c r="Q113" s="517"/>
      <c r="R113" s="517"/>
    </row>
    <row r="114" spans="1:18" s="138" customFormat="1" hidden="1" outlineLevel="1" x14ac:dyDescent="0.25">
      <c r="A114" s="142" t="s">
        <v>1529</v>
      </c>
      <c r="B114" s="518"/>
      <c r="C114" s="518"/>
      <c r="D114" s="518"/>
      <c r="E114" s="517"/>
      <c r="F114" s="517"/>
      <c r="G114" s="517"/>
      <c r="H114" s="517"/>
      <c r="I114" s="517"/>
      <c r="J114" s="517"/>
      <c r="K114" s="517"/>
      <c r="L114" s="517"/>
      <c r="M114" s="517"/>
      <c r="N114" s="517"/>
      <c r="O114" s="517"/>
      <c r="P114" s="517"/>
      <c r="Q114" s="517"/>
      <c r="R114" s="517"/>
    </row>
    <row r="115" spans="1:18" s="138" customFormat="1" hidden="1" outlineLevel="1" x14ac:dyDescent="0.25">
      <c r="A115" s="142" t="s">
        <v>1526</v>
      </c>
      <c r="B115" s="518"/>
      <c r="C115" s="518"/>
      <c r="D115" s="518"/>
      <c r="E115" s="517"/>
      <c r="F115" s="517"/>
      <c r="G115" s="517"/>
      <c r="H115" s="517"/>
      <c r="I115" s="517"/>
      <c r="J115" s="517"/>
      <c r="K115" s="517"/>
      <c r="L115" s="517"/>
      <c r="M115" s="517"/>
      <c r="N115" s="517"/>
      <c r="O115" s="517"/>
      <c r="P115" s="517"/>
      <c r="Q115" s="517"/>
      <c r="R115" s="517"/>
    </row>
    <row r="116" spans="1:18" s="148" customFormat="1" hidden="1" outlineLevel="1" x14ac:dyDescent="0.25">
      <c r="A116" s="142" t="s">
        <v>1527</v>
      </c>
      <c r="B116" s="518"/>
      <c r="C116" s="518"/>
      <c r="D116" s="518"/>
      <c r="E116" s="518"/>
      <c r="F116" s="518"/>
      <c r="G116" s="518"/>
      <c r="H116" s="518"/>
      <c r="I116" s="518"/>
      <c r="J116" s="518"/>
      <c r="K116" s="518"/>
      <c r="L116" s="518"/>
      <c r="M116" s="518"/>
      <c r="N116" s="518"/>
      <c r="O116" s="518"/>
      <c r="P116" s="518"/>
      <c r="Q116" s="518"/>
      <c r="R116" s="518"/>
    </row>
    <row r="117" spans="1:18" s="148" customFormat="1" hidden="1" outlineLevel="1" x14ac:dyDescent="0.25">
      <c r="A117" s="142" t="s">
        <v>1528</v>
      </c>
      <c r="B117" s="518"/>
      <c r="C117" s="518"/>
      <c r="D117" s="518"/>
      <c r="E117" s="518"/>
      <c r="F117" s="518"/>
      <c r="G117" s="518"/>
      <c r="H117" s="518"/>
      <c r="I117" s="518"/>
      <c r="J117" s="518"/>
      <c r="K117" s="518"/>
      <c r="L117" s="518"/>
      <c r="M117" s="518"/>
      <c r="N117" s="518"/>
      <c r="O117" s="518"/>
      <c r="P117" s="518"/>
      <c r="Q117" s="518"/>
      <c r="R117" s="518"/>
    </row>
    <row r="118" spans="1:18" s="148" customFormat="1" hidden="1" outlineLevel="1" x14ac:dyDescent="0.25">
      <c r="A118" s="527" t="s">
        <v>1448</v>
      </c>
      <c r="B118" s="522"/>
      <c r="C118" s="522"/>
      <c r="D118" s="522"/>
      <c r="E118" s="518"/>
      <c r="F118" s="518"/>
      <c r="G118" s="518"/>
      <c r="H118" s="518"/>
      <c r="I118" s="518"/>
      <c r="J118" s="518"/>
      <c r="K118" s="518"/>
      <c r="L118" s="518"/>
      <c r="M118" s="518"/>
      <c r="N118" s="518"/>
      <c r="O118" s="518"/>
      <c r="P118" s="518"/>
      <c r="Q118" s="518"/>
      <c r="R118" s="518"/>
    </row>
    <row r="119" spans="1:18" s="148" customFormat="1" ht="12.75" hidden="1" customHeight="1" outlineLevel="1" x14ac:dyDescent="0.25">
      <c r="A119" s="428" t="s">
        <v>1449</v>
      </c>
      <c r="B119" s="517"/>
      <c r="C119" s="517"/>
      <c r="D119" s="517"/>
      <c r="E119" s="522"/>
      <c r="F119" s="522"/>
      <c r="G119" s="522"/>
      <c r="H119" s="522"/>
      <c r="I119" s="522"/>
      <c r="J119" s="522"/>
      <c r="K119" s="522"/>
      <c r="L119" s="522"/>
      <c r="M119" s="518"/>
      <c r="N119" s="518"/>
      <c r="O119" s="518"/>
      <c r="P119" s="518"/>
      <c r="Q119" s="518"/>
      <c r="R119" s="518"/>
    </row>
    <row r="120" spans="1:18" s="148" customFormat="1" hidden="1" outlineLevel="1" x14ac:dyDescent="0.25">
      <c r="E120" s="253"/>
      <c r="F120" s="253"/>
      <c r="G120" s="253"/>
      <c r="H120" s="253"/>
      <c r="I120" s="253"/>
      <c r="J120" s="253"/>
      <c r="K120" s="253"/>
      <c r="L120" s="253"/>
      <c r="M120" s="253"/>
      <c r="N120" s="253"/>
      <c r="O120" s="253"/>
      <c r="P120" s="253"/>
      <c r="Q120" s="253"/>
      <c r="R120" s="253"/>
    </row>
    <row r="121" spans="1:18" s="148" customFormat="1" hidden="1" outlineLevel="1" x14ac:dyDescent="0.25">
      <c r="A121" s="128"/>
      <c r="B121" s="128"/>
      <c r="C121" s="128"/>
      <c r="D121" s="128"/>
    </row>
    <row r="122" spans="1:18" collapsed="1" x14ac:dyDescent="0.25"/>
    <row r="123" spans="1:18" ht="15.6" customHeight="1" x14ac:dyDescent="0.25"/>
    <row r="124" spans="1:18" x14ac:dyDescent="0.25">
      <c r="A124" s="144"/>
      <c r="B124" s="144"/>
      <c r="C124" s="144"/>
      <c r="D124" s="144"/>
      <c r="E124" s="144"/>
    </row>
    <row r="125" spans="1:18" x14ac:dyDescent="0.25">
      <c r="A125" s="144"/>
      <c r="B125" s="144"/>
      <c r="C125" s="144"/>
      <c r="D125" s="144"/>
      <c r="E125" s="144"/>
    </row>
    <row r="126" spans="1:18" x14ac:dyDescent="0.25">
      <c r="A126" s="144"/>
      <c r="B126" s="144"/>
      <c r="C126" s="144"/>
      <c r="D126" s="144"/>
      <c r="E126" s="144"/>
    </row>
    <row r="127" spans="1:18" x14ac:dyDescent="0.25">
      <c r="A127" s="144"/>
      <c r="B127" s="144"/>
      <c r="C127" s="144"/>
      <c r="D127" s="144"/>
      <c r="E127" s="144"/>
    </row>
    <row r="128" spans="1:18" x14ac:dyDescent="0.25">
      <c r="A128" s="144"/>
      <c r="B128" s="144"/>
      <c r="C128" s="144"/>
      <c r="D128" s="144"/>
      <c r="E128" s="144"/>
    </row>
    <row r="129" spans="1:5" x14ac:dyDescent="0.25">
      <c r="A129" s="144"/>
      <c r="B129" s="144"/>
      <c r="C129" s="144"/>
      <c r="D129" s="144"/>
      <c r="E129" s="144"/>
    </row>
    <row r="130" spans="1:5" x14ac:dyDescent="0.25">
      <c r="A130" s="144"/>
      <c r="B130" s="144"/>
      <c r="C130" s="144"/>
      <c r="D130" s="144"/>
      <c r="E130" s="144"/>
    </row>
  </sheetData>
  <mergeCells count="3">
    <mergeCell ref="A103:R103"/>
    <mergeCell ref="A107:R107"/>
    <mergeCell ref="A109:Q109"/>
  </mergeCells>
  <conditionalFormatting sqref="B25:C25">
    <cfRule type="expression" dxfId="1" priority="2">
      <formula>$B$25=0</formula>
    </cfRule>
  </conditionalFormatting>
  <conditionalFormatting sqref="B88:C88">
    <cfRule type="expression" dxfId="0" priority="1">
      <formula>$B$88=0</formula>
    </cfRule>
  </conditionalFormatting>
  <pageMargins left="0.7" right="0.7" top="0.75" bottom="0.75" header="0.3" footer="0.3"/>
  <pageSetup paperSize="9" scale="3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check</vt:lpstr>
      <vt:lpstr>IIN_PFIF</vt:lpstr>
      <vt:lpstr>2025.gada budzeta plans_apvieno</vt:lpstr>
      <vt:lpstr>Grafiki_budžeta_izpilde</vt:lpstr>
      <vt:lpstr>'2025.gada budzeta plans_apvieno'!Print_Area</vt:lpstr>
      <vt:lpstr>'2025.gada budzeta plans_apvieno'!Print_Titles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cp:lastPrinted>2025-01-15T14:12:04Z</cp:lastPrinted>
  <dcterms:created xsi:type="dcterms:W3CDTF">2015-07-17T07:55:13Z</dcterms:created>
  <dcterms:modified xsi:type="dcterms:W3CDTF">2025-07-26T18:09:06Z</dcterms:modified>
</cp:coreProperties>
</file>