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ndadminadazi-my.sharepoint.com/personal/sintijat_adazi_lv/Documents/Desktop/"/>
    </mc:Choice>
  </mc:AlternateContent>
  <xr:revisionPtr revIDLastSave="0" documentId="8_{5C62D08D-F5B2-431D-9F87-D8701D0EF8FF}" xr6:coauthVersionLast="47" xr6:coauthVersionMax="47" xr10:uidLastSave="{00000000-0000-0000-0000-000000000000}"/>
  <bookViews>
    <workbookView xWindow="-108" yWindow="-108" windowWidth="23256" windowHeight="12456" xr2:uid="{947FA737-D7C8-4DCB-B473-596F972024DE}"/>
  </bookViews>
  <sheets>
    <sheet name="2025.gada budzeta plans_apvieno" sheetId="1" r:id="rId1"/>
    <sheet name="Līgumu saraksts_29052025" sheetId="2" r:id="rId2"/>
  </sheets>
  <externalReferences>
    <externalReference r:id="rId3"/>
  </externalReferences>
  <definedNames>
    <definedName name="_0812">#REF!</definedName>
    <definedName name="_xlnm._FilterDatabase" localSheetId="0" hidden="1">'2025.gada budzeta plans_apvieno'!#REF!</definedName>
    <definedName name="_xlnm._FilterDatabase" localSheetId="1" hidden="1">'Līgumu saraksts_29052025'!$A$3:$AZ$144</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plans_apvieno'!$A$1:$L$289</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60" i="2" l="1"/>
  <c r="AN155" i="2"/>
  <c r="AM155" i="2"/>
  <c r="AB155" i="2"/>
  <c r="AA155" i="2"/>
  <c r="N155" i="2"/>
  <c r="AL155" i="2" s="1"/>
  <c r="AC154" i="2"/>
  <c r="AB154" i="2"/>
  <c r="AA154" i="2"/>
  <c r="Z154" i="2"/>
  <c r="Y154" i="2"/>
  <c r="AW154" i="2" s="1"/>
  <c r="X154" i="2"/>
  <c r="W154" i="2"/>
  <c r="V154" i="2"/>
  <c r="U154" i="2"/>
  <c r="T154" i="2"/>
  <c r="AU154" i="2" s="1"/>
  <c r="AN153" i="2"/>
  <c r="AN156" i="2" s="1"/>
  <c r="AN162" i="2" s="1"/>
  <c r="AM153" i="2"/>
  <c r="AM156" i="2" s="1"/>
  <c r="AM162" i="2" s="1"/>
  <c r="AB153" i="2"/>
  <c r="AB156" i="2" s="1"/>
  <c r="AB162" i="2" s="1"/>
  <c r="AA153" i="2"/>
  <c r="AA156" i="2" s="1"/>
  <c r="AA162" i="2" s="1"/>
  <c r="N153" i="2"/>
  <c r="AL153" i="2" s="1"/>
  <c r="AX152" i="2"/>
  <c r="AZ152" i="2" s="1"/>
  <c r="AW152" i="2"/>
  <c r="AU152" i="2"/>
  <c r="V151" i="2"/>
  <c r="U151" i="2"/>
  <c r="T151" i="2"/>
  <c r="N151" i="2"/>
  <c r="S151" i="2" s="1"/>
  <c r="AX150" i="2"/>
  <c r="AZ150" i="2" s="1"/>
  <c r="AW150" i="2"/>
  <c r="AU150" i="2"/>
  <c r="AT143" i="2"/>
  <c r="AT161" i="2" s="1"/>
  <c r="AS143" i="2"/>
  <c r="AS161" i="2" s="1"/>
  <c r="AT142" i="2"/>
  <c r="AT144" i="2" s="1"/>
  <c r="AS142" i="2"/>
  <c r="AS144" i="2" s="1"/>
  <c r="AR142" i="2"/>
  <c r="AQ142" i="2"/>
  <c r="AP142" i="2"/>
  <c r="AP160" i="2" s="1"/>
  <c r="AO142" i="2"/>
  <c r="AO160" i="2" s="1"/>
  <c r="AN142" i="2"/>
  <c r="AN160" i="2" s="1"/>
  <c r="AM142" i="2"/>
  <c r="AM160" i="2" s="1"/>
  <c r="K142" i="2"/>
  <c r="AX141" i="2"/>
  <c r="AW141" i="2"/>
  <c r="AV141" i="2"/>
  <c r="J141" i="2"/>
  <c r="AZ140" i="2"/>
  <c r="AX140" i="2"/>
  <c r="AW140" i="2"/>
  <c r="AV140" i="2"/>
  <c r="AI139" i="2"/>
  <c r="AH139" i="2"/>
  <c r="AG139" i="2"/>
  <c r="AF139" i="2"/>
  <c r="AE139" i="2"/>
  <c r="W139" i="2"/>
  <c r="P139" i="2"/>
  <c r="O139" i="2"/>
  <c r="N139" i="2"/>
  <c r="AC139" i="2" s="1"/>
  <c r="AW138" i="2"/>
  <c r="AD138" i="2"/>
  <c r="AD139" i="2" s="1"/>
  <c r="AC138" i="2"/>
  <c r="AB138" i="2"/>
  <c r="AA138" i="2"/>
  <c r="Z138" i="2"/>
  <c r="Y138" i="2"/>
  <c r="X138" i="2"/>
  <c r="W138" i="2"/>
  <c r="V138" i="2"/>
  <c r="V139" i="2" s="1"/>
  <c r="U138" i="2"/>
  <c r="U139" i="2" s="1"/>
  <c r="T138" i="2"/>
  <c r="T139" i="2" s="1"/>
  <c r="AW137" i="2"/>
  <c r="P137" i="2"/>
  <c r="O137" i="2"/>
  <c r="N137" i="2" s="1"/>
  <c r="BA136" i="2"/>
  <c r="AX136" i="2"/>
  <c r="AW136" i="2"/>
  <c r="U136" i="2"/>
  <c r="AU136" i="2" s="1"/>
  <c r="AZ136" i="2" s="1"/>
  <c r="T136" i="2"/>
  <c r="S136" i="2"/>
  <c r="P135" i="2"/>
  <c r="O135" i="2"/>
  <c r="N135" i="2" s="1"/>
  <c r="AB134" i="2"/>
  <c r="AA134" i="2"/>
  <c r="Z134" i="2"/>
  <c r="Y134" i="2"/>
  <c r="AW134" i="2" s="1"/>
  <c r="X134" i="2"/>
  <c r="W134" i="2"/>
  <c r="V134" i="2"/>
  <c r="U134" i="2"/>
  <c r="T134" i="2"/>
  <c r="S134" i="2"/>
  <c r="AX134" i="2" s="1"/>
  <c r="BA134" i="2" s="1"/>
  <c r="P133" i="2"/>
  <c r="O133" i="2"/>
  <c r="N133" i="2" s="1"/>
  <c r="AB132" i="2"/>
  <c r="AA132" i="2"/>
  <c r="Z132" i="2"/>
  <c r="Y132" i="2"/>
  <c r="AW132" i="2" s="1"/>
  <c r="X132" i="2"/>
  <c r="W132" i="2"/>
  <c r="V132" i="2"/>
  <c r="U132" i="2"/>
  <c r="T132" i="2"/>
  <c r="S132" i="2"/>
  <c r="AX132" i="2" s="1"/>
  <c r="BA132" i="2" s="1"/>
  <c r="AW131" i="2"/>
  <c r="P131" i="2"/>
  <c r="O131" i="2"/>
  <c r="N131" i="2" s="1"/>
  <c r="AZ130" i="2"/>
  <c r="AY130" i="2"/>
  <c r="AX130" i="2"/>
  <c r="BA130" i="2" s="1"/>
  <c r="AW130" i="2"/>
  <c r="AU130" i="2"/>
  <c r="W130" i="2"/>
  <c r="V130" i="2"/>
  <c r="U130" i="2"/>
  <c r="T130" i="2"/>
  <c r="S130" i="2"/>
  <c r="P129" i="2"/>
  <c r="O129" i="2"/>
  <c r="N129" i="2" s="1"/>
  <c r="AU128" i="2"/>
  <c r="AB128" i="2"/>
  <c r="AA128" i="2"/>
  <c r="Z128" i="2"/>
  <c r="Y128" i="2"/>
  <c r="AW128" i="2" s="1"/>
  <c r="X128" i="2"/>
  <c r="W128" i="2"/>
  <c r="V128" i="2"/>
  <c r="U128" i="2"/>
  <c r="T128" i="2"/>
  <c r="P127" i="2"/>
  <c r="O127" i="2"/>
  <c r="N127" i="2" s="1"/>
  <c r="AL126" i="2"/>
  <c r="AL142" i="2" s="1"/>
  <c r="AK126" i="2"/>
  <c r="AK142" i="2" s="1"/>
  <c r="AJ126" i="2"/>
  <c r="AJ142" i="2" s="1"/>
  <c r="AI126" i="2"/>
  <c r="AI142" i="2" s="1"/>
  <c r="AH126" i="2"/>
  <c r="AG126" i="2"/>
  <c r="AF126" i="2"/>
  <c r="AE126" i="2"/>
  <c r="AD126" i="2"/>
  <c r="AC126" i="2"/>
  <c r="AB126" i="2"/>
  <c r="AA126" i="2"/>
  <c r="AW126" i="2" s="1"/>
  <c r="Z126" i="2"/>
  <c r="Y126" i="2"/>
  <c r="X126" i="2"/>
  <c r="W126" i="2"/>
  <c r="V126" i="2"/>
  <c r="U126" i="2"/>
  <c r="T126" i="2"/>
  <c r="AX126" i="2" s="1"/>
  <c r="BA126" i="2" s="1"/>
  <c r="P125" i="2"/>
  <c r="N125" i="2" s="1"/>
  <c r="O125" i="2"/>
  <c r="AH124" i="2"/>
  <c r="AH142" i="2" s="1"/>
  <c r="AG124" i="2"/>
  <c r="AG142" i="2" s="1"/>
  <c r="AF124" i="2"/>
  <c r="AF142" i="2" s="1"/>
  <c r="AE124" i="2"/>
  <c r="AE142" i="2" s="1"/>
  <c r="AD124" i="2"/>
  <c r="AD142" i="2" s="1"/>
  <c r="AC124" i="2"/>
  <c r="AC142" i="2" s="1"/>
  <c r="AB124" i="2"/>
  <c r="AA124" i="2"/>
  <c r="Z124" i="2"/>
  <c r="Y124" i="2"/>
  <c r="AW124" i="2" s="1"/>
  <c r="X124" i="2"/>
  <c r="W124" i="2"/>
  <c r="AU124" i="2" s="1"/>
  <c r="V124" i="2"/>
  <c r="U124" i="2"/>
  <c r="T124" i="2"/>
  <c r="AX124" i="2" s="1"/>
  <c r="BA124" i="2" s="1"/>
  <c r="AW123" i="2"/>
  <c r="P123" i="2"/>
  <c r="N123" i="2" s="1"/>
  <c r="O123" i="2"/>
  <c r="AW122" i="2"/>
  <c r="W122" i="2"/>
  <c r="V122" i="2"/>
  <c r="U122" i="2"/>
  <c r="T122" i="2"/>
  <c r="S122" i="2"/>
  <c r="AW121" i="2"/>
  <c r="S121" i="2"/>
  <c r="R121" i="2"/>
  <c r="P121" i="2"/>
  <c r="N121" i="2" s="1"/>
  <c r="AW120" i="2"/>
  <c r="V120" i="2"/>
  <c r="U120" i="2"/>
  <c r="T121" i="2" s="1"/>
  <c r="T120" i="2"/>
  <c r="S120" i="2"/>
  <c r="R120" i="2"/>
  <c r="X119" i="2"/>
  <c r="P119" i="2"/>
  <c r="N119" i="2" s="1"/>
  <c r="AX118" i="2"/>
  <c r="BA118" i="2" s="1"/>
  <c r="AW118" i="2"/>
  <c r="Z118" i="2"/>
  <c r="Y118" i="2"/>
  <c r="X118" i="2"/>
  <c r="W118" i="2"/>
  <c r="V118" i="2"/>
  <c r="U118" i="2"/>
  <c r="T118" i="2"/>
  <c r="S118" i="2"/>
  <c r="R118" i="2"/>
  <c r="AU118" i="2" s="1"/>
  <c r="V117" i="2"/>
  <c r="N117" i="2"/>
  <c r="AB117" i="2" s="1"/>
  <c r="AB116" i="2"/>
  <c r="AB142" i="2" s="1"/>
  <c r="AA116" i="2"/>
  <c r="Z116" i="2"/>
  <c r="Y116" i="2"/>
  <c r="X116" i="2"/>
  <c r="X142" i="2" s="1"/>
  <c r="W116" i="2"/>
  <c r="V116" i="2"/>
  <c r="U116" i="2"/>
  <c r="T116" i="2"/>
  <c r="T142" i="2" s="1"/>
  <c r="S116" i="2"/>
  <c r="R116" i="2"/>
  <c r="AW115" i="2"/>
  <c r="T115" i="2"/>
  <c r="P115" i="2"/>
  <c r="N115" i="2"/>
  <c r="S115" i="2" s="1"/>
  <c r="AW114" i="2"/>
  <c r="AU114" i="2"/>
  <c r="V114" i="2"/>
  <c r="V142" i="2" s="1"/>
  <c r="AE113" i="2"/>
  <c r="AB113" i="2"/>
  <c r="AA113" i="2"/>
  <c r="Z113" i="2"/>
  <c r="Y113" i="2"/>
  <c r="X113" i="2"/>
  <c r="W113" i="2"/>
  <c r="V113" i="2"/>
  <c r="U113" i="2"/>
  <c r="T113" i="2"/>
  <c r="S113" i="2"/>
  <c r="P113" i="2"/>
  <c r="N113" i="2"/>
  <c r="AD113" i="2" s="1"/>
  <c r="AZ112" i="2"/>
  <c r="AX112" i="2"/>
  <c r="BA112" i="2" s="1"/>
  <c r="AW112" i="2"/>
  <c r="AU112" i="2"/>
  <c r="AV112" i="2" s="1"/>
  <c r="P111" i="2"/>
  <c r="N111" i="2"/>
  <c r="BA110" i="2"/>
  <c r="AZ110" i="2"/>
  <c r="AX110" i="2"/>
  <c r="AW110" i="2"/>
  <c r="AA110" i="2"/>
  <c r="AU110" i="2" s="1"/>
  <c r="AV110" i="2" s="1"/>
  <c r="Y109" i="2"/>
  <c r="AW109" i="2" s="1"/>
  <c r="P109" i="2"/>
  <c r="N109" i="2" s="1"/>
  <c r="AW108" i="2"/>
  <c r="AX108" i="2" s="1"/>
  <c r="BA108" i="2" s="1"/>
  <c r="AV108" i="2"/>
  <c r="AU108" i="2"/>
  <c r="AZ108" i="2" s="1"/>
  <c r="Y107" i="2"/>
  <c r="P107" i="2"/>
  <c r="N107" i="2" s="1"/>
  <c r="AZ106" i="2"/>
  <c r="AX106" i="2"/>
  <c r="BA106" i="2" s="1"/>
  <c r="AW106" i="2"/>
  <c r="AV106" i="2"/>
  <c r="AU106" i="2"/>
  <c r="AW105" i="2"/>
  <c r="S105" i="2"/>
  <c r="P105" i="2"/>
  <c r="N105" i="2" s="1"/>
  <c r="BA104" i="2"/>
  <c r="AZ104" i="2"/>
  <c r="AX104" i="2"/>
  <c r="AW104" i="2"/>
  <c r="AV104" i="2"/>
  <c r="AU104" i="2"/>
  <c r="AW103" i="2"/>
  <c r="AU103" i="2"/>
  <c r="Y103" i="2"/>
  <c r="X103" i="2"/>
  <c r="W103" i="2"/>
  <c r="V103" i="2"/>
  <c r="U103" i="2"/>
  <c r="T103" i="2"/>
  <c r="S103" i="2"/>
  <c r="AX103" i="2" s="1"/>
  <c r="P103" i="2"/>
  <c r="N103" i="2"/>
  <c r="AX102" i="2"/>
  <c r="AZ102" i="2" s="1"/>
  <c r="AW102" i="2"/>
  <c r="AU102" i="2"/>
  <c r="AV102" i="2" s="1"/>
  <c r="AW101" i="2"/>
  <c r="P101" i="2"/>
  <c r="N101" i="2" s="1"/>
  <c r="AX100" i="2"/>
  <c r="BA100" i="2" s="1"/>
  <c r="AW100" i="2"/>
  <c r="AU100" i="2"/>
  <c r="AZ100" i="2" s="1"/>
  <c r="AW99" i="2"/>
  <c r="AU99" i="2"/>
  <c r="T99" i="2"/>
  <c r="P99" i="2"/>
  <c r="N99" i="2"/>
  <c r="S99" i="2" s="1"/>
  <c r="AX99" i="2" s="1"/>
  <c r="AX98" i="2"/>
  <c r="BA98" i="2" s="1"/>
  <c r="AW98" i="2"/>
  <c r="AU98" i="2"/>
  <c r="AZ98" i="2" s="1"/>
  <c r="U97" i="2"/>
  <c r="P97" i="2"/>
  <c r="N97" i="2" s="1"/>
  <c r="AU96" i="2"/>
  <c r="AA96" i="2"/>
  <c r="S96" i="2"/>
  <c r="S142" i="2" s="1"/>
  <c r="R96" i="2"/>
  <c r="R142" i="2" s="1"/>
  <c r="AW95" i="2"/>
  <c r="U95" i="2"/>
  <c r="S95" i="2"/>
  <c r="P95" i="2"/>
  <c r="N95" i="2" s="1"/>
  <c r="BA94" i="2"/>
  <c r="AW94" i="2"/>
  <c r="AX94" i="2" s="1"/>
  <c r="AZ94" i="2" s="1"/>
  <c r="AV94" i="2"/>
  <c r="AU94" i="2"/>
  <c r="AW93" i="2"/>
  <c r="S93" i="2"/>
  <c r="P93" i="2"/>
  <c r="N93" i="2" s="1"/>
  <c r="T93" i="2" s="1"/>
  <c r="BA92" i="2"/>
  <c r="AX92" i="2"/>
  <c r="AW92" i="2"/>
  <c r="AU92" i="2"/>
  <c r="AZ92" i="2" s="1"/>
  <c r="AW91" i="2"/>
  <c r="P91" i="2"/>
  <c r="N91" i="2" s="1"/>
  <c r="AX90" i="2"/>
  <c r="BA90" i="2" s="1"/>
  <c r="AW90" i="2"/>
  <c r="AU90" i="2"/>
  <c r="AW89" i="2"/>
  <c r="X89" i="2"/>
  <c r="U89" i="2"/>
  <c r="P89" i="2"/>
  <c r="N89" i="2" s="1"/>
  <c r="AW88" i="2"/>
  <c r="AX88" i="2" s="1"/>
  <c r="BA88" i="2" s="1"/>
  <c r="AV88" i="2"/>
  <c r="AU88" i="2"/>
  <c r="AB87" i="2"/>
  <c r="V87" i="2"/>
  <c r="P87" i="2"/>
  <c r="N87" i="2"/>
  <c r="Y87" i="2" s="1"/>
  <c r="AW86" i="2"/>
  <c r="U86" i="2"/>
  <c r="AW85" i="2"/>
  <c r="P85" i="2"/>
  <c r="N85" i="2"/>
  <c r="S85" i="2" s="1"/>
  <c r="BA84" i="2"/>
  <c r="AW84" i="2"/>
  <c r="AX84" i="2" s="1"/>
  <c r="AZ84" i="2" s="1"/>
  <c r="AV84" i="2"/>
  <c r="AU84" i="2"/>
  <c r="AG83" i="2"/>
  <c r="AD83" i="2"/>
  <c r="X83" i="2"/>
  <c r="U83" i="2"/>
  <c r="P83" i="2"/>
  <c r="N83" i="2" s="1"/>
  <c r="AW82" i="2"/>
  <c r="AX82" i="2" s="1"/>
  <c r="BA82" i="2" s="1"/>
  <c r="AU82" i="2"/>
  <c r="AC81" i="2"/>
  <c r="AA81" i="2"/>
  <c r="P81" i="2"/>
  <c r="N81" i="2"/>
  <c r="AX80" i="2"/>
  <c r="BA80" i="2" s="1"/>
  <c r="AW80" i="2"/>
  <c r="AU80" i="2"/>
  <c r="AV80" i="2" s="1"/>
  <c r="AR79" i="2"/>
  <c r="AO79" i="2"/>
  <c r="AG79" i="2"/>
  <c r="AF79" i="2"/>
  <c r="V79" i="2"/>
  <c r="T79" i="2"/>
  <c r="P79" i="2"/>
  <c r="N79" i="2"/>
  <c r="AH79" i="2" s="1"/>
  <c r="AW78" i="2"/>
  <c r="AX78" i="2" s="1"/>
  <c r="BA78" i="2" s="1"/>
  <c r="AU78" i="2"/>
  <c r="AV78" i="2" s="1"/>
  <c r="AE77" i="2"/>
  <c r="V77" i="2"/>
  <c r="U77" i="2"/>
  <c r="P77" i="2"/>
  <c r="N77" i="2"/>
  <c r="AC77" i="2" s="1"/>
  <c r="AX76" i="2"/>
  <c r="BA76" i="2" s="1"/>
  <c r="AW76" i="2"/>
  <c r="AU76" i="2"/>
  <c r="AV76" i="2" s="1"/>
  <c r="P75" i="2"/>
  <c r="N75" i="2" s="1"/>
  <c r="AW74" i="2"/>
  <c r="AX74" i="2" s="1"/>
  <c r="AV74" i="2"/>
  <c r="AU74" i="2"/>
  <c r="AR73" i="2"/>
  <c r="AQ73" i="2"/>
  <c r="AP73" i="2"/>
  <c r="AO73" i="2"/>
  <c r="AN73" i="2"/>
  <c r="AM73" i="2"/>
  <c r="AL73" i="2"/>
  <c r="AK73" i="2"/>
  <c r="AI73" i="2"/>
  <c r="AG73" i="2"/>
  <c r="AD73" i="2"/>
  <c r="AC73" i="2"/>
  <c r="AB73" i="2"/>
  <c r="AA73" i="2"/>
  <c r="Z73" i="2"/>
  <c r="Y73" i="2"/>
  <c r="W73" i="2"/>
  <c r="U73" i="2"/>
  <c r="T73" i="2"/>
  <c r="S73" i="2"/>
  <c r="P73" i="2"/>
  <c r="N73" i="2"/>
  <c r="AW72" i="2"/>
  <c r="AX72" i="2" s="1"/>
  <c r="AU72" i="2"/>
  <c r="AV72" i="2" s="1"/>
  <c r="AW71" i="2"/>
  <c r="U71" i="2"/>
  <c r="T71" i="2"/>
  <c r="P71" i="2"/>
  <c r="N71" i="2"/>
  <c r="X71" i="2" s="1"/>
  <c r="AX70" i="2"/>
  <c r="BA70" i="2" s="1"/>
  <c r="AW70" i="2"/>
  <c r="AV70" i="2"/>
  <c r="AU70" i="2"/>
  <c r="AR69" i="2"/>
  <c r="AN69" i="2"/>
  <c r="AL69" i="2"/>
  <c r="AD69" i="2"/>
  <c r="AC69" i="2"/>
  <c r="Y69" i="2"/>
  <c r="V69" i="2"/>
  <c r="P69" i="2"/>
  <c r="N69" i="2"/>
  <c r="AE69" i="2" s="1"/>
  <c r="AX68" i="2"/>
  <c r="BA68" i="2" s="1"/>
  <c r="AW68" i="2"/>
  <c r="AV68" i="2"/>
  <c r="AU68" i="2"/>
  <c r="AW67" i="2"/>
  <c r="AX67" i="2" s="1"/>
  <c r="AU67" i="2"/>
  <c r="AV67" i="2" s="1"/>
  <c r="P67" i="2"/>
  <c r="N67" i="2"/>
  <c r="AW66" i="2"/>
  <c r="AX66" i="2" s="1"/>
  <c r="BA66" i="2" s="1"/>
  <c r="AU66" i="2"/>
  <c r="AV66" i="2" s="1"/>
  <c r="AX65" i="2"/>
  <c r="AW65" i="2"/>
  <c r="AV65" i="2"/>
  <c r="AU65" i="2"/>
  <c r="P65" i="2"/>
  <c r="N65" i="2" s="1"/>
  <c r="AZ64" i="2"/>
  <c r="AX64" i="2"/>
  <c r="BA64" i="2" s="1"/>
  <c r="AW64" i="2"/>
  <c r="AV64" i="2"/>
  <c r="AU64" i="2"/>
  <c r="Y63" i="2"/>
  <c r="P63" i="2"/>
  <c r="N63" i="2" s="1"/>
  <c r="AF63" i="2" s="1"/>
  <c r="AW62" i="2"/>
  <c r="AX62" i="2" s="1"/>
  <c r="BA62" i="2" s="1"/>
  <c r="AU62" i="2"/>
  <c r="AM61" i="2"/>
  <c r="AG61" i="2"/>
  <c r="X61" i="2"/>
  <c r="P61" i="2"/>
  <c r="N61" i="2" s="1"/>
  <c r="AW60" i="2"/>
  <c r="AX60" i="2" s="1"/>
  <c r="BA60" i="2" s="1"/>
  <c r="AU60" i="2"/>
  <c r="Y59" i="2"/>
  <c r="W59" i="2"/>
  <c r="P59" i="2"/>
  <c r="N59" i="2"/>
  <c r="T59" i="2" s="1"/>
  <c r="AW58" i="2"/>
  <c r="AX58" i="2" s="1"/>
  <c r="AV58" i="2"/>
  <c r="AU58" i="2"/>
  <c r="AL57" i="2"/>
  <c r="AE57" i="2"/>
  <c r="W57" i="2"/>
  <c r="P57" i="2"/>
  <c r="N57" i="2"/>
  <c r="AW56" i="2"/>
  <c r="AX56" i="2" s="1"/>
  <c r="AU56" i="2"/>
  <c r="AV56" i="2" s="1"/>
  <c r="AD55" i="2"/>
  <c r="AC55" i="2"/>
  <c r="AB55" i="2"/>
  <c r="AA55" i="2"/>
  <c r="Z55" i="2"/>
  <c r="Y55" i="2"/>
  <c r="X55" i="2"/>
  <c r="W55" i="2"/>
  <c r="V55" i="2"/>
  <c r="T55" i="2"/>
  <c r="P55" i="2"/>
  <c r="N55" i="2" s="1"/>
  <c r="AW54" i="2"/>
  <c r="AX54" i="2" s="1"/>
  <c r="AV54" i="2"/>
  <c r="AU54" i="2"/>
  <c r="P53" i="2"/>
  <c r="N53" i="2" s="1"/>
  <c r="AA53" i="2" s="1"/>
  <c r="AW52" i="2"/>
  <c r="AX52" i="2" s="1"/>
  <c r="AV52" i="2"/>
  <c r="AU52" i="2"/>
  <c r="AN51" i="2"/>
  <c r="Y51" i="2"/>
  <c r="P51" i="2"/>
  <c r="N51" i="2"/>
  <c r="AE51" i="2" s="1"/>
  <c r="AX50" i="2"/>
  <c r="BA50" i="2" s="1"/>
  <c r="AW50" i="2"/>
  <c r="AU50" i="2"/>
  <c r="AZ50" i="2" s="1"/>
  <c r="AW49" i="2"/>
  <c r="R49" i="2"/>
  <c r="P49" i="2"/>
  <c r="N49" i="2" s="1"/>
  <c r="BA48" i="2"/>
  <c r="AZ48" i="2"/>
  <c r="AW48" i="2"/>
  <c r="AX48" i="2" s="1"/>
  <c r="AU48" i="2"/>
  <c r="AV48" i="2" s="1"/>
  <c r="P47" i="2"/>
  <c r="N47" i="2" s="1"/>
  <c r="AX46" i="2"/>
  <c r="BA46" i="2" s="1"/>
  <c r="AW46" i="2"/>
  <c r="AV46" i="2"/>
  <c r="AU46" i="2"/>
  <c r="P45" i="2"/>
  <c r="N45" i="2" s="1"/>
  <c r="BA44" i="2"/>
  <c r="AX44" i="2"/>
  <c r="AW44" i="2"/>
  <c r="AU44" i="2"/>
  <c r="AZ44" i="2" s="1"/>
  <c r="AE43" i="2"/>
  <c r="AD43" i="2"/>
  <c r="AB43" i="2"/>
  <c r="Z43" i="2"/>
  <c r="Y43" i="2"/>
  <c r="X43" i="2"/>
  <c r="W43" i="2"/>
  <c r="V43" i="2"/>
  <c r="U43" i="2"/>
  <c r="T43" i="2"/>
  <c r="S43" i="2"/>
  <c r="P43" i="2"/>
  <c r="N43" i="2" s="1"/>
  <c r="AX42" i="2"/>
  <c r="BA42" i="2" s="1"/>
  <c r="AW42" i="2"/>
  <c r="AV42" i="2"/>
  <c r="AU42" i="2"/>
  <c r="AW41" i="2"/>
  <c r="P41" i="2"/>
  <c r="N41" i="2"/>
  <c r="BA40" i="2"/>
  <c r="AX40" i="2"/>
  <c r="AW40" i="2"/>
  <c r="AV40" i="2"/>
  <c r="AU40" i="2"/>
  <c r="AZ40" i="2" s="1"/>
  <c r="Z39" i="2"/>
  <c r="W39" i="2"/>
  <c r="V39" i="2"/>
  <c r="T39" i="2"/>
  <c r="S39" i="2"/>
  <c r="P39" i="2"/>
  <c r="N39" i="2"/>
  <c r="Y39" i="2" s="1"/>
  <c r="AW39" i="2" s="1"/>
  <c r="AW38" i="2"/>
  <c r="AX38" i="2" s="1"/>
  <c r="AU38" i="2"/>
  <c r="AV38" i="2" s="1"/>
  <c r="AB37" i="2"/>
  <c r="Z37" i="2"/>
  <c r="V37" i="2"/>
  <c r="S37" i="2"/>
  <c r="R37" i="2"/>
  <c r="P37" i="2"/>
  <c r="N37" i="2"/>
  <c r="AC37" i="2" s="1"/>
  <c r="AW36" i="2"/>
  <c r="AX36" i="2" s="1"/>
  <c r="AU36" i="2"/>
  <c r="AV36" i="2" s="1"/>
  <c r="P35" i="2"/>
  <c r="N35" i="2" s="1"/>
  <c r="AW34" i="2"/>
  <c r="AX34" i="2" s="1"/>
  <c r="AV34" i="2"/>
  <c r="AU34" i="2"/>
  <c r="AN33" i="2"/>
  <c r="AL33" i="2"/>
  <c r="AK33" i="2"/>
  <c r="AD33" i="2"/>
  <c r="AB33" i="2"/>
  <c r="Y33" i="2"/>
  <c r="V33" i="2"/>
  <c r="T33" i="2"/>
  <c r="P33" i="2"/>
  <c r="N33" i="2" s="1"/>
  <c r="AF33" i="2" s="1"/>
  <c r="AW32" i="2"/>
  <c r="AX32" i="2" s="1"/>
  <c r="AV32" i="2"/>
  <c r="AU32" i="2"/>
  <c r="P31" i="2"/>
  <c r="N31" i="2" s="1"/>
  <c r="AW30" i="2"/>
  <c r="AX30" i="2" s="1"/>
  <c r="AV30" i="2"/>
  <c r="AU30" i="2"/>
  <c r="AW29" i="2"/>
  <c r="P29" i="2"/>
  <c r="N29" i="2" s="1"/>
  <c r="BA28" i="2"/>
  <c r="AX28" i="2"/>
  <c r="AW28" i="2"/>
  <c r="AV28" i="2"/>
  <c r="AU28" i="2"/>
  <c r="AZ28" i="2" s="1"/>
  <c r="AE27" i="2"/>
  <c r="AD27" i="2"/>
  <c r="AB27" i="2"/>
  <c r="Y27" i="2"/>
  <c r="X27" i="2"/>
  <c r="W27" i="2"/>
  <c r="V27" i="2"/>
  <c r="U27" i="2"/>
  <c r="T27" i="2"/>
  <c r="S27" i="2"/>
  <c r="P27" i="2"/>
  <c r="N27" i="2" s="1"/>
  <c r="AX26" i="2"/>
  <c r="BA26" i="2" s="1"/>
  <c r="AW26" i="2"/>
  <c r="AU26" i="2"/>
  <c r="R25" i="2"/>
  <c r="P25" i="2"/>
  <c r="N25" i="2"/>
  <c r="U25" i="2" s="1"/>
  <c r="AX24" i="2"/>
  <c r="BA24" i="2" s="1"/>
  <c r="AW24" i="2"/>
  <c r="AV24" i="2"/>
  <c r="AU24" i="2"/>
  <c r="AW23" i="2"/>
  <c r="AX23" i="2" s="1"/>
  <c r="AZ23" i="2" s="1"/>
  <c r="AU23" i="2"/>
  <c r="AV23" i="2" s="1"/>
  <c r="P23" i="2"/>
  <c r="N23" i="2"/>
  <c r="AZ22" i="2"/>
  <c r="AW22" i="2"/>
  <c r="AX22" i="2" s="1"/>
  <c r="BA22" i="2" s="1"/>
  <c r="AV22" i="2"/>
  <c r="AU22" i="2"/>
  <c r="AC21" i="2"/>
  <c r="AA21" i="2"/>
  <c r="Z21" i="2"/>
  <c r="Y21" i="2"/>
  <c r="X21" i="2"/>
  <c r="W21" i="2"/>
  <c r="V21" i="2"/>
  <c r="U21" i="2"/>
  <c r="T21" i="2"/>
  <c r="S21" i="2"/>
  <c r="R21" i="2"/>
  <c r="P21" i="2"/>
  <c r="N21" i="2" s="1"/>
  <c r="AW20" i="2"/>
  <c r="AX20" i="2" s="1"/>
  <c r="BA20" i="2" s="1"/>
  <c r="AU20" i="2"/>
  <c r="AV20" i="2" s="1"/>
  <c r="AA19" i="2"/>
  <c r="Y19" i="2"/>
  <c r="X19" i="2"/>
  <c r="V19" i="2"/>
  <c r="R19" i="2"/>
  <c r="P19" i="2"/>
  <c r="N19" i="2" s="1"/>
  <c r="AC19" i="2" s="1"/>
  <c r="AW18" i="2"/>
  <c r="AX18" i="2" s="1"/>
  <c r="BA18" i="2" s="1"/>
  <c r="AU18" i="2"/>
  <c r="R17" i="2"/>
  <c r="P17" i="2"/>
  <c r="N17" i="2" s="1"/>
  <c r="AW16" i="2"/>
  <c r="AX16" i="2" s="1"/>
  <c r="AV16" i="2"/>
  <c r="AU16" i="2"/>
  <c r="AW15" i="2"/>
  <c r="Y15" i="2"/>
  <c r="X15" i="2"/>
  <c r="W15" i="2"/>
  <c r="V15" i="2"/>
  <c r="U15" i="2"/>
  <c r="T15" i="2"/>
  <c r="AU15" i="2" s="1"/>
  <c r="P15" i="2"/>
  <c r="N15" i="2" s="1"/>
  <c r="S15" i="2" s="1"/>
  <c r="AX14" i="2"/>
  <c r="BA14" i="2" s="1"/>
  <c r="AW14" i="2"/>
  <c r="AU14" i="2"/>
  <c r="AZ14" i="2" s="1"/>
  <c r="U13" i="2"/>
  <c r="S13" i="2"/>
  <c r="R13" i="2"/>
  <c r="P13" i="2"/>
  <c r="N13" i="2"/>
  <c r="AW12" i="2"/>
  <c r="AX12" i="2" s="1"/>
  <c r="BA12" i="2" s="1"/>
  <c r="AV12" i="2"/>
  <c r="AU12" i="2"/>
  <c r="AZ12" i="2" s="1"/>
  <c r="AW11" i="2"/>
  <c r="R11" i="2"/>
  <c r="P11" i="2"/>
  <c r="N11" i="2"/>
  <c r="AW10" i="2"/>
  <c r="AX10" i="2" s="1"/>
  <c r="AV10" i="2"/>
  <c r="AU10" i="2"/>
  <c r="P9" i="2"/>
  <c r="N9" i="2" s="1"/>
  <c r="X9" i="2" s="1"/>
  <c r="AZ8" i="2"/>
  <c r="AW8" i="2"/>
  <c r="AX8" i="2" s="1"/>
  <c r="BA8" i="2" s="1"/>
  <c r="AV8" i="2"/>
  <c r="AU8" i="2"/>
  <c r="AC7" i="2"/>
  <c r="AA7" i="2"/>
  <c r="V7" i="2"/>
  <c r="T7" i="2"/>
  <c r="P7" i="2"/>
  <c r="N7" i="2"/>
  <c r="AW6" i="2"/>
  <c r="AX6" i="2" s="1"/>
  <c r="BA6" i="2" s="1"/>
  <c r="AV6" i="2"/>
  <c r="AU6" i="2"/>
  <c r="J167" i="1"/>
  <c r="J163" i="1"/>
  <c r="J272" i="1"/>
  <c r="J65" i="1"/>
  <c r="J153" i="1"/>
  <c r="J117" i="1"/>
  <c r="J47" i="1"/>
  <c r="G85" i="1"/>
  <c r="G287" i="1"/>
  <c r="H287" i="1" s="1"/>
  <c r="K285" i="1"/>
  <c r="H285" i="1"/>
  <c r="K284" i="1"/>
  <c r="H284" i="1"/>
  <c r="J283" i="1"/>
  <c r="G283" i="1"/>
  <c r="G282" i="1"/>
  <c r="G281" i="1"/>
  <c r="G279" i="1"/>
  <c r="G278" i="1"/>
  <c r="G277" i="1"/>
  <c r="G276" i="1"/>
  <c r="G275" i="1"/>
  <c r="G274" i="1"/>
  <c r="G273" i="1"/>
  <c r="G272" i="1"/>
  <c r="G271" i="1"/>
  <c r="H271" i="1" s="1"/>
  <c r="G270" i="1"/>
  <c r="G268" i="1"/>
  <c r="J268" i="1" s="1"/>
  <c r="K268" i="1" s="1"/>
  <c r="G267" i="1"/>
  <c r="G265" i="1"/>
  <c r="G264" i="1"/>
  <c r="J264" i="1" s="1"/>
  <c r="G263" i="1"/>
  <c r="G261" i="1"/>
  <c r="G260" i="1"/>
  <c r="H260" i="1" s="1"/>
  <c r="G259" i="1"/>
  <c r="G258" i="1"/>
  <c r="H258" i="1" s="1"/>
  <c r="G257" i="1"/>
  <c r="H257" i="1" s="1"/>
  <c r="G256" i="1"/>
  <c r="G255" i="1"/>
  <c r="G254" i="1"/>
  <c r="H254" i="1" s="1"/>
  <c r="G253" i="1"/>
  <c r="J253" i="1" s="1"/>
  <c r="K253" i="1" s="1"/>
  <c r="G252" i="1"/>
  <c r="J252" i="1" s="1"/>
  <c r="K252" i="1" s="1"/>
  <c r="G251" i="1"/>
  <c r="G250" i="1"/>
  <c r="J250" i="1" s="1"/>
  <c r="K250" i="1" s="1"/>
  <c r="G247" i="1"/>
  <c r="H247" i="1" s="1"/>
  <c r="G246" i="1"/>
  <c r="J246" i="1" s="1"/>
  <c r="K246" i="1" s="1"/>
  <c r="G245" i="1"/>
  <c r="J245" i="1" s="1"/>
  <c r="K245" i="1" s="1"/>
  <c r="G244" i="1"/>
  <c r="J244" i="1" s="1"/>
  <c r="K244" i="1" s="1"/>
  <c r="G243" i="1"/>
  <c r="J243" i="1" s="1"/>
  <c r="G242" i="1"/>
  <c r="G241" i="1"/>
  <c r="H241" i="1" s="1"/>
  <c r="G240" i="1"/>
  <c r="J240" i="1" s="1"/>
  <c r="K240" i="1" s="1"/>
  <c r="G239" i="1"/>
  <c r="G236" i="1"/>
  <c r="G235" i="1"/>
  <c r="G234" i="1"/>
  <c r="G232" i="1"/>
  <c r="G231" i="1"/>
  <c r="G230" i="1"/>
  <c r="G228" i="1"/>
  <c r="G227" i="1"/>
  <c r="G226" i="1"/>
  <c r="G224" i="1"/>
  <c r="H224" i="1" s="1"/>
  <c r="G223" i="1"/>
  <c r="G222" i="1"/>
  <c r="G220" i="1"/>
  <c r="G219" i="1"/>
  <c r="G218" i="1"/>
  <c r="J218" i="1" s="1"/>
  <c r="K218" i="1" s="1"/>
  <c r="G216" i="1"/>
  <c r="J216" i="1" s="1"/>
  <c r="K216" i="1" s="1"/>
  <c r="G214" i="1"/>
  <c r="J214" i="1" s="1"/>
  <c r="K214" i="1" s="1"/>
  <c r="G213" i="1"/>
  <c r="G212" i="1"/>
  <c r="J212" i="1" s="1"/>
  <c r="K212" i="1" s="1"/>
  <c r="G211" i="1"/>
  <c r="G210" i="1"/>
  <c r="H210" i="1" s="1"/>
  <c r="G209" i="1"/>
  <c r="H209" i="1" s="1"/>
  <c r="G208" i="1"/>
  <c r="H208" i="1" s="1"/>
  <c r="G207" i="1"/>
  <c r="H207" i="1" s="1"/>
  <c r="G206" i="1"/>
  <c r="J206" i="1" s="1"/>
  <c r="K206" i="1" s="1"/>
  <c r="G204" i="1"/>
  <c r="J204" i="1" s="1"/>
  <c r="K204" i="1" s="1"/>
  <c r="G203" i="1"/>
  <c r="G201" i="1"/>
  <c r="G200" i="1"/>
  <c r="G199" i="1"/>
  <c r="J199" i="1" s="1"/>
  <c r="K199" i="1" s="1"/>
  <c r="G198" i="1"/>
  <c r="H198" i="1" s="1"/>
  <c r="G197" i="1"/>
  <c r="J197" i="1" s="1"/>
  <c r="G194" i="1"/>
  <c r="J194" i="1" s="1"/>
  <c r="K194" i="1" s="1"/>
  <c r="G193" i="1"/>
  <c r="G192" i="1"/>
  <c r="G191" i="1"/>
  <c r="H191" i="1" s="1"/>
  <c r="G189" i="1"/>
  <c r="H189" i="1" s="1"/>
  <c r="G188" i="1"/>
  <c r="J188" i="1" s="1"/>
  <c r="K188" i="1" s="1"/>
  <c r="G187" i="1"/>
  <c r="H187" i="1" s="1"/>
  <c r="G186" i="1"/>
  <c r="G185" i="1"/>
  <c r="G184" i="1"/>
  <c r="H184" i="1" s="1"/>
  <c r="G183" i="1"/>
  <c r="G182" i="1"/>
  <c r="L181" i="1"/>
  <c r="I181" i="1"/>
  <c r="G179" i="1"/>
  <c r="G178" i="1"/>
  <c r="G177" i="1"/>
  <c r="G176" i="1"/>
  <c r="G175" i="1"/>
  <c r="G174" i="1"/>
  <c r="G173" i="1"/>
  <c r="H173" i="1" s="1"/>
  <c r="J173" i="1" s="1"/>
  <c r="K173" i="1" s="1"/>
  <c r="G172" i="1"/>
  <c r="H172" i="1" s="1"/>
  <c r="G171" i="1"/>
  <c r="H171" i="1" s="1"/>
  <c r="G170" i="1"/>
  <c r="J170" i="1" s="1"/>
  <c r="K170" i="1" s="1"/>
  <c r="G169" i="1"/>
  <c r="H169" i="1" s="1"/>
  <c r="G168" i="1"/>
  <c r="J168" i="1" s="1"/>
  <c r="K168" i="1" s="1"/>
  <c r="G167" i="1"/>
  <c r="H167" i="1" s="1"/>
  <c r="G165" i="1"/>
  <c r="G164" i="1"/>
  <c r="G163" i="1"/>
  <c r="G161" i="1"/>
  <c r="H161" i="1" s="1"/>
  <c r="G160" i="1"/>
  <c r="G159" i="1"/>
  <c r="G158" i="1"/>
  <c r="G157" i="1"/>
  <c r="H157" i="1" s="1"/>
  <c r="G156" i="1"/>
  <c r="G155" i="1"/>
  <c r="G154" i="1"/>
  <c r="G153" i="1"/>
  <c r="H153" i="1" s="1"/>
  <c r="G152" i="1"/>
  <c r="G151" i="1"/>
  <c r="H151" i="1" s="1"/>
  <c r="G150" i="1"/>
  <c r="G149" i="1"/>
  <c r="H149" i="1" s="1"/>
  <c r="G147" i="1"/>
  <c r="H147" i="1" s="1"/>
  <c r="G146" i="1"/>
  <c r="H146" i="1" s="1"/>
  <c r="G145" i="1"/>
  <c r="J145" i="1" s="1"/>
  <c r="K145" i="1" s="1"/>
  <c r="G144" i="1"/>
  <c r="H144" i="1" s="1"/>
  <c r="G142" i="1"/>
  <c r="G140" i="1"/>
  <c r="G139" i="1"/>
  <c r="H139" i="1" s="1"/>
  <c r="G138" i="1"/>
  <c r="H138" i="1" s="1"/>
  <c r="G135" i="1"/>
  <c r="G134" i="1"/>
  <c r="H134" i="1" s="1"/>
  <c r="G133" i="1"/>
  <c r="H133" i="1" s="1"/>
  <c r="G132" i="1"/>
  <c r="H132" i="1" s="1"/>
  <c r="G131" i="1"/>
  <c r="J131" i="1" s="1"/>
  <c r="K131" i="1" s="1"/>
  <c r="G130" i="1"/>
  <c r="G129" i="1"/>
  <c r="G128" i="1"/>
  <c r="G127" i="1"/>
  <c r="G126" i="1"/>
  <c r="J126" i="1" s="1"/>
  <c r="K124" i="1"/>
  <c r="J124" i="1"/>
  <c r="G124" i="1"/>
  <c r="G118" i="1"/>
  <c r="H118" i="1" s="1"/>
  <c r="G117" i="1"/>
  <c r="G116" i="1"/>
  <c r="H116" i="1" s="1"/>
  <c r="G115" i="1"/>
  <c r="G114" i="1"/>
  <c r="G113" i="1"/>
  <c r="J113" i="1" s="1"/>
  <c r="K113" i="1" s="1"/>
  <c r="G112" i="1"/>
  <c r="H112" i="1" s="1"/>
  <c r="G111" i="1"/>
  <c r="G110" i="1"/>
  <c r="H110" i="1" s="1"/>
  <c r="G109" i="1"/>
  <c r="G107" i="1"/>
  <c r="G106" i="1"/>
  <c r="J106" i="1" s="1"/>
  <c r="G103" i="1"/>
  <c r="G102" i="1"/>
  <c r="J102" i="1" s="1"/>
  <c r="K102" i="1" s="1"/>
  <c r="G101" i="1"/>
  <c r="H101" i="1" s="1"/>
  <c r="G99" i="1"/>
  <c r="H99" i="1" s="1"/>
  <c r="G98" i="1"/>
  <c r="H98" i="1" s="1"/>
  <c r="G97" i="1"/>
  <c r="J97" i="1" s="1"/>
  <c r="K97" i="1" s="1"/>
  <c r="G95" i="1"/>
  <c r="H95" i="1" s="1"/>
  <c r="G94" i="1"/>
  <c r="G92" i="1"/>
  <c r="G91" i="1"/>
  <c r="J91" i="1" s="1"/>
  <c r="K91" i="1" s="1"/>
  <c r="G88" i="1"/>
  <c r="J88" i="1" s="1"/>
  <c r="K88" i="1" s="1"/>
  <c r="G87" i="1"/>
  <c r="J85" i="1"/>
  <c r="K85" i="1" s="1"/>
  <c r="G84" i="1"/>
  <c r="J84" i="1" s="1"/>
  <c r="K84" i="1" s="1"/>
  <c r="G83" i="1"/>
  <c r="G82" i="1"/>
  <c r="G81" i="1"/>
  <c r="H81" i="1" s="1"/>
  <c r="G80" i="1"/>
  <c r="J80" i="1" s="1"/>
  <c r="K80" i="1" s="1"/>
  <c r="G79" i="1"/>
  <c r="J79" i="1" s="1"/>
  <c r="K79" i="1" s="1"/>
  <c r="G78" i="1"/>
  <c r="G77" i="1"/>
  <c r="G76" i="1"/>
  <c r="J76" i="1" s="1"/>
  <c r="K76" i="1" s="1"/>
  <c r="G75" i="1"/>
  <c r="G74" i="1"/>
  <c r="G73" i="1"/>
  <c r="J73" i="1" s="1"/>
  <c r="K73" i="1" s="1"/>
  <c r="G72" i="1"/>
  <c r="H72" i="1" s="1"/>
  <c r="G71" i="1"/>
  <c r="J71" i="1" s="1"/>
  <c r="K71" i="1" s="1"/>
  <c r="G70" i="1"/>
  <c r="J70" i="1" s="1"/>
  <c r="K70" i="1" s="1"/>
  <c r="G69" i="1"/>
  <c r="H69" i="1" s="1"/>
  <c r="G68" i="1"/>
  <c r="J68" i="1" s="1"/>
  <c r="K68" i="1" s="1"/>
  <c r="G67" i="1"/>
  <c r="H67" i="1" s="1"/>
  <c r="G65" i="1"/>
  <c r="K65" i="1" s="1"/>
  <c r="G64" i="1"/>
  <c r="G63" i="1"/>
  <c r="J63" i="1" s="1"/>
  <c r="K63" i="1" s="1"/>
  <c r="G62" i="1"/>
  <c r="G61" i="1"/>
  <c r="J61" i="1" s="1"/>
  <c r="K61" i="1" s="1"/>
  <c r="G60" i="1"/>
  <c r="G59" i="1"/>
  <c r="J59" i="1" s="1"/>
  <c r="K59" i="1" s="1"/>
  <c r="G58" i="1"/>
  <c r="J58" i="1" s="1"/>
  <c r="K58" i="1" s="1"/>
  <c r="G57" i="1"/>
  <c r="G56" i="1"/>
  <c r="G55" i="1"/>
  <c r="G54" i="1"/>
  <c r="G53" i="1"/>
  <c r="G52" i="1"/>
  <c r="G51" i="1"/>
  <c r="H51" i="1" s="1"/>
  <c r="G49" i="1"/>
  <c r="J49" i="1" s="1"/>
  <c r="K49" i="1" s="1"/>
  <c r="G48" i="1"/>
  <c r="J48" i="1" s="1"/>
  <c r="K48" i="1" s="1"/>
  <c r="G46" i="1"/>
  <c r="J46" i="1" s="1"/>
  <c r="K46" i="1" s="1"/>
  <c r="G45" i="1"/>
  <c r="G44" i="1"/>
  <c r="H44" i="1" s="1"/>
  <c r="G41" i="1"/>
  <c r="G40" i="1"/>
  <c r="G39" i="1"/>
  <c r="H39" i="1" s="1"/>
  <c r="G38" i="1"/>
  <c r="H38" i="1" s="1"/>
  <c r="G36" i="1"/>
  <c r="G35" i="1"/>
  <c r="G33" i="1"/>
  <c r="J33" i="1" s="1"/>
  <c r="K33" i="1" s="1"/>
  <c r="G32" i="1"/>
  <c r="J32" i="1" s="1"/>
  <c r="K32" i="1" s="1"/>
  <c r="G31" i="1"/>
  <c r="J31" i="1" s="1"/>
  <c r="K31" i="1" s="1"/>
  <c r="G30" i="1"/>
  <c r="J30" i="1" s="1"/>
  <c r="K30" i="1" s="1"/>
  <c r="G29" i="1"/>
  <c r="H29" i="1" s="1"/>
  <c r="G28" i="1"/>
  <c r="J28" i="1" s="1"/>
  <c r="G26" i="1"/>
  <c r="G25" i="1"/>
  <c r="H25" i="1" s="1"/>
  <c r="G24" i="1"/>
  <c r="J24" i="1" s="1"/>
  <c r="G21" i="1"/>
  <c r="G20" i="1"/>
  <c r="J20" i="1" s="1"/>
  <c r="G18" i="1"/>
  <c r="G17" i="1"/>
  <c r="G15" i="1"/>
  <c r="J15" i="1" s="1"/>
  <c r="K15" i="1" s="1"/>
  <c r="G14" i="1"/>
  <c r="G12" i="1"/>
  <c r="G11" i="1"/>
  <c r="J11" i="1" s="1"/>
  <c r="G8" i="1"/>
  <c r="J8" i="1" s="1"/>
  <c r="J7" i="1" s="1"/>
  <c r="AW21" i="2" l="1"/>
  <c r="AX21" i="2" s="1"/>
  <c r="BA10" i="2"/>
  <c r="AZ10" i="2"/>
  <c r="AZ16" i="2"/>
  <c r="BA16" i="2"/>
  <c r="Y47" i="2"/>
  <c r="W47" i="2"/>
  <c r="S47" i="2"/>
  <c r="T47" i="2"/>
  <c r="AB47" i="2"/>
  <c r="AA47" i="2"/>
  <c r="Z47" i="2"/>
  <c r="X47" i="2"/>
  <c r="V47" i="2"/>
  <c r="U47" i="2"/>
  <c r="BA72" i="2"/>
  <c r="AZ72" i="2"/>
  <c r="AH17" i="2"/>
  <c r="V17" i="2"/>
  <c r="AF17" i="2"/>
  <c r="T17" i="2"/>
  <c r="AM17" i="2"/>
  <c r="Y17" i="2"/>
  <c r="AB17" i="2"/>
  <c r="AA17" i="2"/>
  <c r="U17" i="2"/>
  <c r="AO17" i="2"/>
  <c r="Z17" i="2"/>
  <c r="AN17" i="2"/>
  <c r="X17" i="2"/>
  <c r="AC17" i="2"/>
  <c r="AL17" i="2"/>
  <c r="W17" i="2"/>
  <c r="AK17" i="2"/>
  <c r="AJ17" i="2"/>
  <c r="S17" i="2"/>
  <c r="AI17" i="2"/>
  <c r="AG17" i="2"/>
  <c r="AD17" i="2"/>
  <c r="AE17" i="2"/>
  <c r="BA74" i="2"/>
  <c r="AZ74" i="2"/>
  <c r="BA54" i="2"/>
  <c r="AZ54" i="2"/>
  <c r="BA36" i="2"/>
  <c r="AZ36" i="2"/>
  <c r="BA56" i="2"/>
  <c r="AZ56" i="2"/>
  <c r="X91" i="2"/>
  <c r="W91" i="2"/>
  <c r="V91" i="2"/>
  <c r="U91" i="2"/>
  <c r="T91" i="2"/>
  <c r="S91" i="2"/>
  <c r="U29" i="2"/>
  <c r="T29" i="2"/>
  <c r="S29" i="2"/>
  <c r="AG75" i="2"/>
  <c r="U75" i="2"/>
  <c r="AQ75" i="2"/>
  <c r="AE75" i="2"/>
  <c r="S75" i="2"/>
  <c r="AK75" i="2"/>
  <c r="W75" i="2"/>
  <c r="AJ75" i="2"/>
  <c r="V75" i="2"/>
  <c r="AR75" i="2"/>
  <c r="AA75" i="2"/>
  <c r="AP75" i="2"/>
  <c r="Z75" i="2"/>
  <c r="AO75" i="2"/>
  <c r="Y75" i="2"/>
  <c r="AN75" i="2"/>
  <c r="X75" i="2"/>
  <c r="AM75" i="2"/>
  <c r="T75" i="2"/>
  <c r="AL75" i="2"/>
  <c r="AI75" i="2"/>
  <c r="AH75" i="2"/>
  <c r="AF75" i="2"/>
  <c r="AD75" i="2"/>
  <c r="AC75" i="2"/>
  <c r="AB75" i="2"/>
  <c r="AV15" i="2"/>
  <c r="AZ18" i="2"/>
  <c r="BA30" i="2"/>
  <c r="AZ30" i="2"/>
  <c r="AW55" i="2"/>
  <c r="AI31" i="2"/>
  <c r="W31" i="2"/>
  <c r="AG31" i="2"/>
  <c r="U31" i="2"/>
  <c r="AN31" i="2"/>
  <c r="Z31" i="2"/>
  <c r="AO31" i="2"/>
  <c r="Y31" i="2"/>
  <c r="X31" i="2"/>
  <c r="AH31" i="2"/>
  <c r="AA31" i="2"/>
  <c r="AM31" i="2"/>
  <c r="AL31" i="2"/>
  <c r="V31" i="2"/>
  <c r="T31" i="2"/>
  <c r="AK31" i="2"/>
  <c r="AJ31" i="2"/>
  <c r="S31" i="2"/>
  <c r="AF31" i="2"/>
  <c r="AD31" i="2"/>
  <c r="AE31" i="2"/>
  <c r="AC31" i="2"/>
  <c r="AB31" i="2"/>
  <c r="V49" i="2"/>
  <c r="U49" i="2"/>
  <c r="T49" i="2"/>
  <c r="S49" i="2"/>
  <c r="BA52" i="2"/>
  <c r="AZ52" i="2"/>
  <c r="BA58" i="2"/>
  <c r="AZ58" i="2"/>
  <c r="BA32" i="2"/>
  <c r="AZ32" i="2"/>
  <c r="AZ34" i="2"/>
  <c r="BA34" i="2"/>
  <c r="BA38" i="2"/>
  <c r="AZ38" i="2"/>
  <c r="AA45" i="2"/>
  <c r="Y45" i="2"/>
  <c r="S45" i="2"/>
  <c r="AE45" i="2"/>
  <c r="AD45" i="2"/>
  <c r="AC45" i="2"/>
  <c r="AB45" i="2"/>
  <c r="Z45" i="2"/>
  <c r="X45" i="2"/>
  <c r="V45" i="2"/>
  <c r="W45" i="2"/>
  <c r="U45" i="2"/>
  <c r="T45" i="2"/>
  <c r="W35" i="2"/>
  <c r="U35" i="2"/>
  <c r="X35" i="2"/>
  <c r="AC35" i="2"/>
  <c r="AB35" i="2"/>
  <c r="AD35" i="2"/>
  <c r="AA35" i="2"/>
  <c r="Z35" i="2"/>
  <c r="Y35" i="2"/>
  <c r="V35" i="2"/>
  <c r="T35" i="2"/>
  <c r="S35" i="2"/>
  <c r="AE35" i="2"/>
  <c r="T101" i="2"/>
  <c r="S101" i="2"/>
  <c r="AZ82" i="2"/>
  <c r="AV82" i="2"/>
  <c r="AR143" i="2"/>
  <c r="AR161" i="2" s="1"/>
  <c r="U41" i="2"/>
  <c r="S41" i="2"/>
  <c r="AV50" i="2"/>
  <c r="Z51" i="2"/>
  <c r="T53" i="2"/>
  <c r="AD57" i="2"/>
  <c r="AN57" i="2"/>
  <c r="AB57" i="2"/>
  <c r="AG57" i="2"/>
  <c r="S57" i="2"/>
  <c r="AF57" i="2"/>
  <c r="AQ61" i="2"/>
  <c r="AQ143" i="2" s="1"/>
  <c r="AQ161" i="2" s="1"/>
  <c r="AE61" i="2"/>
  <c r="S61" i="2"/>
  <c r="AO61" i="2"/>
  <c r="AC61" i="2"/>
  <c r="AD61" i="2"/>
  <c r="AH61" i="2"/>
  <c r="AZ62" i="2"/>
  <c r="Z63" i="2"/>
  <c r="AW63" i="2" s="1"/>
  <c r="AZ68" i="2"/>
  <c r="AZ80" i="2"/>
  <c r="AF160" i="2"/>
  <c r="AB127" i="2"/>
  <c r="AA127" i="2"/>
  <c r="AL127" i="2"/>
  <c r="Z127" i="2"/>
  <c r="AK127" i="2"/>
  <c r="Y127" i="2"/>
  <c r="AW127" i="2" s="1"/>
  <c r="AJ127" i="2"/>
  <c r="X127" i="2"/>
  <c r="AI127" i="2"/>
  <c r="W127" i="2"/>
  <c r="AH127" i="2"/>
  <c r="V127" i="2"/>
  <c r="AG127" i="2"/>
  <c r="U127" i="2"/>
  <c r="AF127" i="2"/>
  <c r="T127" i="2"/>
  <c r="AE127" i="2"/>
  <c r="S127" i="2"/>
  <c r="AD127" i="2"/>
  <c r="R127" i="2"/>
  <c r="AC127" i="2"/>
  <c r="S129" i="2"/>
  <c r="R129" i="2"/>
  <c r="AB129" i="2"/>
  <c r="AA129" i="2"/>
  <c r="Z129" i="2"/>
  <c r="Y129" i="2"/>
  <c r="X129" i="2"/>
  <c r="W129" i="2"/>
  <c r="V129" i="2"/>
  <c r="U129" i="2"/>
  <c r="T129" i="2"/>
  <c r="W131" i="2"/>
  <c r="V131" i="2"/>
  <c r="U131" i="2"/>
  <c r="T131" i="2"/>
  <c r="S131" i="2"/>
  <c r="R131" i="2"/>
  <c r="T9" i="2"/>
  <c r="AV18" i="2"/>
  <c r="Z19" i="2"/>
  <c r="AW19" i="2" s="1"/>
  <c r="AZ20" i="2"/>
  <c r="X33" i="2"/>
  <c r="AM33" i="2"/>
  <c r="U37" i="2"/>
  <c r="X39" i="2"/>
  <c r="AA51" i="2"/>
  <c r="AW51" i="2" s="1"/>
  <c r="U53" i="2"/>
  <c r="AH57" i="2"/>
  <c r="Z59" i="2"/>
  <c r="T61" i="2"/>
  <c r="AI61" i="2"/>
  <c r="AV62" i="2"/>
  <c r="AB63" i="2"/>
  <c r="AZ66" i="2"/>
  <c r="W77" i="2"/>
  <c r="AZ78" i="2"/>
  <c r="AF83" i="2"/>
  <c r="T83" i="2"/>
  <c r="AE83" i="2"/>
  <c r="S83" i="2"/>
  <c r="AC83" i="2"/>
  <c r="AB83" i="2"/>
  <c r="AA83" i="2"/>
  <c r="AH83" i="2"/>
  <c r="Z83" i="2"/>
  <c r="Y83" i="2"/>
  <c r="W119" i="2"/>
  <c r="V119" i="2"/>
  <c r="U119" i="2"/>
  <c r="T119" i="2"/>
  <c r="S119" i="2"/>
  <c r="R119" i="2"/>
  <c r="AB119" i="2"/>
  <c r="AA119" i="2"/>
  <c r="Z119" i="2"/>
  <c r="AG160" i="2"/>
  <c r="R133" i="2"/>
  <c r="AB133" i="2"/>
  <c r="AA133" i="2"/>
  <c r="Z133" i="2"/>
  <c r="Y133" i="2"/>
  <c r="X133" i="2"/>
  <c r="W133" i="2"/>
  <c r="V133" i="2"/>
  <c r="U133" i="2"/>
  <c r="T133" i="2"/>
  <c r="S133" i="2"/>
  <c r="S135" i="2"/>
  <c r="R135" i="2"/>
  <c r="AB135" i="2"/>
  <c r="AA135" i="2"/>
  <c r="Z135" i="2"/>
  <c r="Y135" i="2"/>
  <c r="X135" i="2"/>
  <c r="W135" i="2"/>
  <c r="V135" i="2"/>
  <c r="U135" i="2"/>
  <c r="T135" i="2"/>
  <c r="AL160" i="2"/>
  <c r="AO51" i="2"/>
  <c r="T41" i="2"/>
  <c r="AB51" i="2"/>
  <c r="T57" i="2"/>
  <c r="U61" i="2"/>
  <c r="AJ61" i="2"/>
  <c r="AI69" i="2"/>
  <c r="W69" i="2"/>
  <c r="AG69" i="2"/>
  <c r="U69" i="2"/>
  <c r="AJ69" i="2"/>
  <c r="T69" i="2"/>
  <c r="AF69" i="2"/>
  <c r="Z77" i="2"/>
  <c r="AN79" i="2"/>
  <c r="AB79" i="2"/>
  <c r="AM79" i="2"/>
  <c r="AA79" i="2"/>
  <c r="AI79" i="2"/>
  <c r="AD79" i="2"/>
  <c r="AQ79" i="2"/>
  <c r="Z79" i="2"/>
  <c r="AE79" i="2"/>
  <c r="AC79" i="2"/>
  <c r="AJ79" i="2"/>
  <c r="Y81" i="2"/>
  <c r="X81" i="2"/>
  <c r="AH81" i="2"/>
  <c r="V81" i="2"/>
  <c r="AG81" i="2"/>
  <c r="U81" i="2"/>
  <c r="AF81" i="2"/>
  <c r="T81" i="2"/>
  <c r="Z81" i="2"/>
  <c r="S81" i="2"/>
  <c r="AE81" i="2"/>
  <c r="AD81" i="2"/>
  <c r="AZ103" i="2"/>
  <c r="AV103" i="2"/>
  <c r="V9" i="2"/>
  <c r="AV14" i="2"/>
  <c r="AB19" i="2"/>
  <c r="AD21" i="2"/>
  <c r="AB21" i="2"/>
  <c r="AE21" i="2"/>
  <c r="AU27" i="2"/>
  <c r="Z33" i="2"/>
  <c r="AO33" i="2"/>
  <c r="W37" i="2"/>
  <c r="AU49" i="2"/>
  <c r="AC51" i="2"/>
  <c r="W53" i="2"/>
  <c r="U57" i="2"/>
  <c r="AJ57" i="2"/>
  <c r="V61" i="2"/>
  <c r="AK61" i="2"/>
  <c r="AE63" i="2"/>
  <c r="AH69" i="2"/>
  <c r="AA77" i="2"/>
  <c r="AK79" i="2"/>
  <c r="V83" i="2"/>
  <c r="AX85" i="2"/>
  <c r="AU85" i="2"/>
  <c r="AZ88" i="2"/>
  <c r="AU93" i="2"/>
  <c r="AX93" i="2"/>
  <c r="Y119" i="2"/>
  <c r="AX122" i="2"/>
  <c r="BA122" i="2" s="1"/>
  <c r="AZ124" i="2"/>
  <c r="AY124" i="2"/>
  <c r="AV124" i="2"/>
  <c r="Z25" i="2"/>
  <c r="X25" i="2"/>
  <c r="S25" i="2"/>
  <c r="AE160" i="2"/>
  <c r="S9" i="2"/>
  <c r="AZ26" i="2"/>
  <c r="AV26" i="2"/>
  <c r="N142" i="2"/>
  <c r="Z7" i="2"/>
  <c r="AB7" i="2"/>
  <c r="U9" i="2"/>
  <c r="Y13" i="2"/>
  <c r="AW13" i="2" s="1"/>
  <c r="W13" i="2"/>
  <c r="T25" i="2"/>
  <c r="V53" i="2"/>
  <c r="AI57" i="2"/>
  <c r="AA59" i="2"/>
  <c r="AD63" i="2"/>
  <c r="R160" i="2"/>
  <c r="P142" i="2"/>
  <c r="T160" i="2"/>
  <c r="AV118" i="2"/>
  <c r="AZ118" i="2"/>
  <c r="AH160" i="2"/>
  <c r="S7" i="2"/>
  <c r="W9" i="2"/>
  <c r="V25" i="2"/>
  <c r="AC27" i="2"/>
  <c r="AA27" i="2"/>
  <c r="AW27" i="2" s="1"/>
  <c r="AX27" i="2" s="1"/>
  <c r="Z27" i="2"/>
  <c r="AA33" i="2"/>
  <c r="AW33" i="2" s="1"/>
  <c r="Y37" i="2"/>
  <c r="X53" i="2"/>
  <c r="U55" i="2"/>
  <c r="AE55" i="2"/>
  <c r="S55" i="2"/>
  <c r="AF55" i="2"/>
  <c r="V57" i="2"/>
  <c r="AK57" i="2"/>
  <c r="W61" i="2"/>
  <c r="AL61" i="2"/>
  <c r="S69" i="2"/>
  <c r="AK69" i="2"/>
  <c r="S79" i="2"/>
  <c r="AL79" i="2"/>
  <c r="W81" i="2"/>
  <c r="W83" i="2"/>
  <c r="AA142" i="2"/>
  <c r="AW96" i="2"/>
  <c r="BA102" i="2"/>
  <c r="V160" i="2"/>
  <c r="S117" i="2"/>
  <c r="AF51" i="2"/>
  <c r="T51" i="2"/>
  <c r="AP51" i="2"/>
  <c r="AP143" i="2" s="1"/>
  <c r="AP161" i="2" s="1"/>
  <c r="AD51" i="2"/>
  <c r="AH51" i="2"/>
  <c r="S51" i="2"/>
  <c r="AG51" i="2"/>
  <c r="Z53" i="2"/>
  <c r="AC63" i="2"/>
  <c r="AA63" i="2"/>
  <c r="U63" i="2"/>
  <c r="AG63" i="2"/>
  <c r="AV96" i="2"/>
  <c r="AZ99" i="2"/>
  <c r="AV99" i="2"/>
  <c r="U7" i="2"/>
  <c r="AU11" i="2"/>
  <c r="T13" i="2"/>
  <c r="AU13" i="2" s="1"/>
  <c r="U19" i="2"/>
  <c r="AE19" i="2"/>
  <c r="S19" i="2"/>
  <c r="AD19" i="2"/>
  <c r="AZ24" i="2"/>
  <c r="Y25" i="2"/>
  <c r="AW25" i="2" s="1"/>
  <c r="AC33" i="2"/>
  <c r="AC143" i="2" s="1"/>
  <c r="AA37" i="2"/>
  <c r="AV44" i="2"/>
  <c r="AZ46" i="2"/>
  <c r="AI51" i="2"/>
  <c r="X57" i="2"/>
  <c r="AM57" i="2"/>
  <c r="Y61" i="2"/>
  <c r="AN61" i="2"/>
  <c r="S63" i="2"/>
  <c r="X69" i="2"/>
  <c r="AM69" i="2"/>
  <c r="AW69" i="2" s="1"/>
  <c r="AZ70" i="2"/>
  <c r="AZ76" i="2"/>
  <c r="U79" i="2"/>
  <c r="AP79" i="2"/>
  <c r="AB81" i="2"/>
  <c r="T97" i="2"/>
  <c r="S97" i="2"/>
  <c r="AD97" i="2"/>
  <c r="AC97" i="2"/>
  <c r="AB97" i="2"/>
  <c r="AA97" i="2"/>
  <c r="Z97" i="2"/>
  <c r="Y97" i="2"/>
  <c r="X97" i="2"/>
  <c r="V97" i="2"/>
  <c r="X107" i="2"/>
  <c r="W107" i="2"/>
  <c r="V107" i="2"/>
  <c r="U107" i="2"/>
  <c r="T107" i="2"/>
  <c r="S107" i="2"/>
  <c r="AD107" i="2"/>
  <c r="AC107" i="2"/>
  <c r="AB107" i="2"/>
  <c r="Z107" i="2"/>
  <c r="AW107" i="2" s="1"/>
  <c r="AV114" i="2"/>
  <c r="AU21" i="2"/>
  <c r="AJ51" i="2"/>
  <c r="AO57" i="2"/>
  <c r="S59" i="2"/>
  <c r="AP61" i="2"/>
  <c r="AZ67" i="2"/>
  <c r="AD77" i="2"/>
  <c r="AB77" i="2"/>
  <c r="Y77" i="2"/>
  <c r="X77" i="2"/>
  <c r="U142" i="2"/>
  <c r="AX86" i="2"/>
  <c r="BA86" i="2" s="1"/>
  <c r="AU86" i="2"/>
  <c r="S53" i="2"/>
  <c r="Y53" i="2"/>
  <c r="AW53" i="2" s="1"/>
  <c r="W25" i="2"/>
  <c r="U51" i="2"/>
  <c r="Y57" i="2"/>
  <c r="AZ60" i="2"/>
  <c r="Z61" i="2"/>
  <c r="T63" i="2"/>
  <c r="W7" i="2"/>
  <c r="V13" i="2"/>
  <c r="T19" i="2"/>
  <c r="AX39" i="2"/>
  <c r="AZ42" i="2"/>
  <c r="V51" i="2"/>
  <c r="AK51" i="2"/>
  <c r="Z57" i="2"/>
  <c r="AV60" i="2"/>
  <c r="AA61" i="2"/>
  <c r="V63" i="2"/>
  <c r="Z69" i="2"/>
  <c r="AO69" i="2"/>
  <c r="S71" i="2"/>
  <c r="W71" i="2"/>
  <c r="V71" i="2"/>
  <c r="W79" i="2"/>
  <c r="W97" i="2"/>
  <c r="AA107" i="2"/>
  <c r="Z111" i="2"/>
  <c r="Y111" i="2"/>
  <c r="AW111" i="2" s="1"/>
  <c r="X111" i="2"/>
  <c r="W111" i="2"/>
  <c r="V111" i="2"/>
  <c r="U111" i="2"/>
  <c r="T111" i="2"/>
  <c r="S111" i="2"/>
  <c r="AD111" i="2"/>
  <c r="AC111" i="2"/>
  <c r="AA111" i="2"/>
  <c r="Z142" i="2"/>
  <c r="U117" i="2"/>
  <c r="AB59" i="2"/>
  <c r="AW59" i="2" s="1"/>
  <c r="X59" i="2"/>
  <c r="X7" i="2"/>
  <c r="X13" i="2"/>
  <c r="W51" i="2"/>
  <c r="AA57" i="2"/>
  <c r="U59" i="2"/>
  <c r="AP69" i="2"/>
  <c r="S77" i="2"/>
  <c r="X79" i="2"/>
  <c r="Y9" i="2"/>
  <c r="AW9" i="2" s="1"/>
  <c r="AX11" i="2"/>
  <c r="AI33" i="2"/>
  <c r="W33" i="2"/>
  <c r="AG33" i="2"/>
  <c r="U33" i="2"/>
  <c r="AE33" i="2"/>
  <c r="AH33" i="2"/>
  <c r="T37" i="2"/>
  <c r="AD37" i="2"/>
  <c r="X37" i="2"/>
  <c r="AE37" i="2"/>
  <c r="AU37" i="2" s="1"/>
  <c r="AL51" i="2"/>
  <c r="AB61" i="2"/>
  <c r="W63" i="2"/>
  <c r="AA69" i="2"/>
  <c r="AZ6" i="2"/>
  <c r="Y7" i="2"/>
  <c r="W19" i="2"/>
  <c r="S33" i="2"/>
  <c r="AJ33" i="2"/>
  <c r="U39" i="2"/>
  <c r="AU39" i="2" s="1"/>
  <c r="X51" i="2"/>
  <c r="AM51" i="2"/>
  <c r="AC57" i="2"/>
  <c r="V59" i="2"/>
  <c r="AF61" i="2"/>
  <c r="X63" i="2"/>
  <c r="AB69" i="2"/>
  <c r="AQ69" i="2"/>
  <c r="R71" i="2"/>
  <c r="T77" i="2"/>
  <c r="Y79" i="2"/>
  <c r="AA87" i="2"/>
  <c r="Z87" i="2"/>
  <c r="AW87" i="2" s="1"/>
  <c r="X87" i="2"/>
  <c r="W87" i="2"/>
  <c r="AG87" i="2"/>
  <c r="U87" i="2"/>
  <c r="AF87" i="2"/>
  <c r="T87" i="2"/>
  <c r="AE87" i="2"/>
  <c r="S87" i="2"/>
  <c r="AD87" i="2"/>
  <c r="AC87" i="2"/>
  <c r="AV92" i="2"/>
  <c r="V105" i="2"/>
  <c r="U105" i="2"/>
  <c r="T105" i="2"/>
  <c r="AU105" i="2" s="1"/>
  <c r="AB111" i="2"/>
  <c r="AJ73" i="2"/>
  <c r="X73" i="2"/>
  <c r="AH73" i="2"/>
  <c r="V73" i="2"/>
  <c r="AU73" i="2" s="1"/>
  <c r="AE73" i="2"/>
  <c r="AW73" i="2" s="1"/>
  <c r="AX73" i="2" s="1"/>
  <c r="AZ90" i="2"/>
  <c r="AC160" i="2"/>
  <c r="AX15" i="2"/>
  <c r="AZ15" i="2" s="1"/>
  <c r="AC43" i="2"/>
  <c r="AA43" i="2"/>
  <c r="AZ65" i="2"/>
  <c r="AF73" i="2"/>
  <c r="W109" i="2"/>
  <c r="V109" i="2"/>
  <c r="U109" i="2"/>
  <c r="T109" i="2"/>
  <c r="S109" i="2"/>
  <c r="X109" i="2"/>
  <c r="AB160" i="2"/>
  <c r="V121" i="2"/>
  <c r="V143" i="2" s="1"/>
  <c r="U121" i="2"/>
  <c r="AU121" i="2" s="1"/>
  <c r="S123" i="2"/>
  <c r="R123" i="2"/>
  <c r="W123" i="2"/>
  <c r="V123" i="2"/>
  <c r="U123" i="2"/>
  <c r="T123" i="2"/>
  <c r="AK160" i="2"/>
  <c r="AQ144" i="2"/>
  <c r="V156" i="2"/>
  <c r="V162" i="2" s="1"/>
  <c r="X95" i="2"/>
  <c r="W95" i="2"/>
  <c r="V95" i="2"/>
  <c r="W142" i="2"/>
  <c r="AX120" i="2"/>
  <c r="BA120" i="2" s="1"/>
  <c r="AX128" i="2"/>
  <c r="BA128" i="2" s="1"/>
  <c r="AL156" i="2"/>
  <c r="AL162" i="2" s="1"/>
  <c r="X160" i="2"/>
  <c r="T95" i="2"/>
  <c r="AU95" i="2" s="1"/>
  <c r="T117" i="2"/>
  <c r="AW116" i="2"/>
  <c r="Y142" i="2"/>
  <c r="AE125" i="2"/>
  <c r="S125" i="2"/>
  <c r="AD125" i="2"/>
  <c r="R125" i="2"/>
  <c r="AC125" i="2"/>
  <c r="AB125" i="2"/>
  <c r="AA125" i="2"/>
  <c r="Z125" i="2"/>
  <c r="Y125" i="2"/>
  <c r="AW125" i="2" s="1"/>
  <c r="X125" i="2"/>
  <c r="W125" i="2"/>
  <c r="AH125" i="2"/>
  <c r="V125" i="2"/>
  <c r="AG125" i="2"/>
  <c r="U125" i="2"/>
  <c r="AF125" i="2"/>
  <c r="T125" i="2"/>
  <c r="AI160" i="2"/>
  <c r="T156" i="2"/>
  <c r="T162" i="2" s="1"/>
  <c r="W89" i="2"/>
  <c r="V89" i="2"/>
  <c r="T89" i="2"/>
  <c r="S89" i="2"/>
  <c r="S160" i="2"/>
  <c r="AX116" i="2"/>
  <c r="BA116" i="2" s="1"/>
  <c r="AD160" i="2"/>
  <c r="AJ160" i="2"/>
  <c r="U137" i="2"/>
  <c r="T137" i="2"/>
  <c r="S137" i="2"/>
  <c r="R137" i="2"/>
  <c r="AX138" i="2"/>
  <c r="BA138" i="2" s="1"/>
  <c r="AX154" i="2"/>
  <c r="AZ154" i="2" s="1"/>
  <c r="AC113" i="2"/>
  <c r="AU113" i="2" s="1"/>
  <c r="AX114" i="2"/>
  <c r="BA114" i="2" s="1"/>
  <c r="W117" i="2"/>
  <c r="AU122" i="2"/>
  <c r="AV128" i="2"/>
  <c r="AU134" i="2"/>
  <c r="X139" i="2"/>
  <c r="AJ139" i="2"/>
  <c r="AR160" i="2"/>
  <c r="AV98" i="2"/>
  <c r="AU116" i="2"/>
  <c r="X117" i="2"/>
  <c r="AU120" i="2"/>
  <c r="AU132" i="2"/>
  <c r="Y139" i="2"/>
  <c r="AK139" i="2"/>
  <c r="AC153" i="2"/>
  <c r="AC156" i="2" s="1"/>
  <c r="AC162" i="2" s="1"/>
  <c r="AO153" i="2"/>
  <c r="AO156" i="2" s="1"/>
  <c r="AO162" i="2" s="1"/>
  <c r="AC155" i="2"/>
  <c r="AO155" i="2"/>
  <c r="AS160" i="2"/>
  <c r="AX96" i="2"/>
  <c r="BA96" i="2" s="1"/>
  <c r="Y117" i="2"/>
  <c r="AU126" i="2"/>
  <c r="Z139" i="2"/>
  <c r="W151" i="2"/>
  <c r="R153" i="2"/>
  <c r="AD153" i="2"/>
  <c r="AD156" i="2" s="1"/>
  <c r="AD162" i="2" s="1"/>
  <c r="AP153" i="2"/>
  <c r="R155" i="2"/>
  <c r="AD155" i="2"/>
  <c r="AP155" i="2"/>
  <c r="AT160" i="2"/>
  <c r="Z117" i="2"/>
  <c r="AY128" i="2"/>
  <c r="AA139" i="2"/>
  <c r="X151" i="2"/>
  <c r="X156" i="2" s="1"/>
  <c r="X162" i="2" s="1"/>
  <c r="S153" i="2"/>
  <c r="S156" i="2" s="1"/>
  <c r="S162" i="2" s="1"/>
  <c r="AE153" i="2"/>
  <c r="AE156" i="2" s="1"/>
  <c r="AE162" i="2" s="1"/>
  <c r="AQ153" i="2"/>
  <c r="S155" i="2"/>
  <c r="AE155" i="2"/>
  <c r="AQ155" i="2"/>
  <c r="AV90" i="2"/>
  <c r="AV100" i="2"/>
  <c r="AA117" i="2"/>
  <c r="AB139" i="2"/>
  <c r="AP144" i="2"/>
  <c r="Y151" i="2"/>
  <c r="T153" i="2"/>
  <c r="AF153" i="2"/>
  <c r="AF156" i="2" s="1"/>
  <c r="AF162" i="2" s="1"/>
  <c r="AR153" i="2"/>
  <c r="T155" i="2"/>
  <c r="AF155" i="2"/>
  <c r="AR155" i="2"/>
  <c r="U153" i="2"/>
  <c r="U156" i="2" s="1"/>
  <c r="U162" i="2" s="1"/>
  <c r="AG153" i="2"/>
  <c r="AS153" i="2"/>
  <c r="U155" i="2"/>
  <c r="AG155" i="2"/>
  <c r="AS155" i="2"/>
  <c r="R139" i="2"/>
  <c r="V153" i="2"/>
  <c r="AH153" i="2"/>
  <c r="AT153" i="2"/>
  <c r="V155" i="2"/>
  <c r="AH155" i="2"/>
  <c r="AT155" i="2"/>
  <c r="U115" i="2"/>
  <c r="AX115" i="2" s="1"/>
  <c r="S139" i="2"/>
  <c r="W153" i="2"/>
  <c r="AI153" i="2"/>
  <c r="AI156" i="2" s="1"/>
  <c r="AI162" i="2" s="1"/>
  <c r="W155" i="2"/>
  <c r="AI155" i="2"/>
  <c r="V115" i="2"/>
  <c r="AU115" i="2" s="1"/>
  <c r="AU138" i="2"/>
  <c r="X153" i="2"/>
  <c r="AJ153" i="2"/>
  <c r="X155" i="2"/>
  <c r="AJ155" i="2"/>
  <c r="R151" i="2"/>
  <c r="Y153" i="2"/>
  <c r="AK153" i="2"/>
  <c r="Y155" i="2"/>
  <c r="AK155" i="2"/>
  <c r="Z153" i="2"/>
  <c r="Z156" i="2" s="1"/>
  <c r="Z162" i="2" s="1"/>
  <c r="Z155" i="2"/>
  <c r="K117" i="1"/>
  <c r="G16" i="1"/>
  <c r="H16" i="1" s="1"/>
  <c r="H63" i="1"/>
  <c r="G13" i="1"/>
  <c r="H13" i="1" s="1"/>
  <c r="H253" i="1"/>
  <c r="H20" i="1"/>
  <c r="H252" i="1"/>
  <c r="J54" i="1"/>
  <c r="K54" i="1" s="1"/>
  <c r="J139" i="1"/>
  <c r="K139" i="1" s="1"/>
  <c r="J98" i="1"/>
  <c r="K98" i="1" s="1"/>
  <c r="H88" i="1"/>
  <c r="J201" i="1"/>
  <c r="K201" i="1" s="1"/>
  <c r="G202" i="1"/>
  <c r="H202" i="1" s="1"/>
  <c r="G269" i="1"/>
  <c r="H269" i="1" s="1"/>
  <c r="J192" i="1"/>
  <c r="K192" i="1" s="1"/>
  <c r="G7" i="1"/>
  <c r="K7" i="1" s="1"/>
  <c r="J72" i="1"/>
  <c r="K72" i="1" s="1"/>
  <c r="J151" i="1"/>
  <c r="K151" i="1" s="1"/>
  <c r="J161" i="1"/>
  <c r="K161" i="1" s="1"/>
  <c r="J247" i="1"/>
  <c r="K247" i="1" s="1"/>
  <c r="J95" i="1"/>
  <c r="K95" i="1" s="1"/>
  <c r="H230" i="1"/>
  <c r="H62" i="1"/>
  <c r="J230" i="1"/>
  <c r="K230" i="1" s="1"/>
  <c r="J44" i="1"/>
  <c r="K44" i="1" s="1"/>
  <c r="J62" i="1"/>
  <c r="K62" i="1" s="1"/>
  <c r="H70" i="1"/>
  <c r="G137" i="1"/>
  <c r="G136" i="1" s="1"/>
  <c r="H136" i="1" s="1"/>
  <c r="J220" i="1"/>
  <c r="K220" i="1" s="1"/>
  <c r="G229" i="1"/>
  <c r="G96" i="1"/>
  <c r="H96" i="1" s="1"/>
  <c r="H54" i="1"/>
  <c r="H83" i="1"/>
  <c r="J69" i="1"/>
  <c r="K69" i="1" s="1"/>
  <c r="J83" i="1"/>
  <c r="K83" i="1" s="1"/>
  <c r="J110" i="1"/>
  <c r="K110" i="1" s="1"/>
  <c r="H135" i="1"/>
  <c r="J140" i="1"/>
  <c r="K140" i="1" s="1"/>
  <c r="J255" i="1"/>
  <c r="K255" i="1" s="1"/>
  <c r="G50" i="1"/>
  <c r="G90" i="1"/>
  <c r="H90" i="1" s="1"/>
  <c r="H128" i="1"/>
  <c r="J135" i="1"/>
  <c r="K135" i="1" s="1"/>
  <c r="J209" i="1"/>
  <c r="K209" i="1" s="1"/>
  <c r="H235" i="1"/>
  <c r="H250" i="1"/>
  <c r="G262" i="1"/>
  <c r="H262" i="1" s="1"/>
  <c r="H264" i="1"/>
  <c r="J25" i="1"/>
  <c r="K25" i="1" s="1"/>
  <c r="H12" i="1"/>
  <c r="J128" i="1"/>
  <c r="K128" i="1" s="1"/>
  <c r="J235" i="1"/>
  <c r="K235" i="1" s="1"/>
  <c r="G266" i="1"/>
  <c r="H266" i="1" s="1"/>
  <c r="H57" i="1"/>
  <c r="J198" i="1"/>
  <c r="K198" i="1" s="1"/>
  <c r="H273" i="1"/>
  <c r="H53" i="1"/>
  <c r="J53" i="1"/>
  <c r="K53" i="1" s="1"/>
  <c r="J99" i="1"/>
  <c r="K99" i="1" s="1"/>
  <c r="H206" i="1"/>
  <c r="H268" i="1"/>
  <c r="J273" i="1"/>
  <c r="K273" i="1" s="1"/>
  <c r="J29" i="1"/>
  <c r="K29" i="1" s="1"/>
  <c r="G47" i="1"/>
  <c r="H192" i="1"/>
  <c r="G100" i="1"/>
  <c r="H100" i="1" s="1"/>
  <c r="H60" i="1"/>
  <c r="J75" i="1"/>
  <c r="K75" i="1" s="1"/>
  <c r="H75" i="1"/>
  <c r="J107" i="1"/>
  <c r="K107" i="1" s="1"/>
  <c r="H107" i="1"/>
  <c r="H114" i="1"/>
  <c r="J228" i="1"/>
  <c r="K228" i="1" s="1"/>
  <c r="H228" i="1"/>
  <c r="H276" i="1"/>
  <c r="H71" i="1"/>
  <c r="H77" i="1"/>
  <c r="J114" i="1"/>
  <c r="K114" i="1" s="1"/>
  <c r="J152" i="1"/>
  <c r="K152" i="1" s="1"/>
  <c r="H222" i="1"/>
  <c r="J276" i="1"/>
  <c r="K276" i="1" s="1"/>
  <c r="H26" i="1"/>
  <c r="G23" i="1"/>
  <c r="H23" i="1" s="1"/>
  <c r="J55" i="1"/>
  <c r="K55" i="1" s="1"/>
  <c r="H55" i="1"/>
  <c r="J77" i="1"/>
  <c r="K77" i="1" s="1"/>
  <c r="G86" i="1"/>
  <c r="H97" i="1"/>
  <c r="J222" i="1"/>
  <c r="K222" i="1" s="1"/>
  <c r="J258" i="1"/>
  <c r="K258" i="1" s="1"/>
  <c r="J270" i="1"/>
  <c r="G19" i="1"/>
  <c r="J26" i="1"/>
  <c r="K26" i="1" s="1"/>
  <c r="J51" i="1"/>
  <c r="K51" i="1" s="1"/>
  <c r="H68" i="1"/>
  <c r="J223" i="1"/>
  <c r="K223" i="1" s="1"/>
  <c r="H223" i="1"/>
  <c r="J241" i="1"/>
  <c r="K241" i="1" s="1"/>
  <c r="J277" i="1"/>
  <c r="K277" i="1" s="1"/>
  <c r="G10" i="1"/>
  <c r="G9" i="1" s="1"/>
  <c r="H21" i="1"/>
  <c r="J92" i="1"/>
  <c r="K92" i="1" s="1"/>
  <c r="H92" i="1"/>
  <c r="J115" i="1"/>
  <c r="K115" i="1" s="1"/>
  <c r="H115" i="1"/>
  <c r="H140" i="1"/>
  <c r="H168" i="1"/>
  <c r="H183" i="1"/>
  <c r="H242" i="1"/>
  <c r="J242" i="1"/>
  <c r="K242" i="1" s="1"/>
  <c r="H36" i="1"/>
  <c r="H87" i="1"/>
  <c r="H236" i="1"/>
  <c r="J81" i="1"/>
  <c r="K81" i="1" s="1"/>
  <c r="J87" i="1"/>
  <c r="H78" i="1"/>
  <c r="J78" i="1"/>
  <c r="K78" i="1" s="1"/>
  <c r="H226" i="1"/>
  <c r="G225" i="1"/>
  <c r="H232" i="1"/>
  <c r="H244" i="1"/>
  <c r="J254" i="1"/>
  <c r="K254" i="1" s="1"/>
  <c r="J36" i="1"/>
  <c r="K36" i="1" s="1"/>
  <c r="H188" i="1"/>
  <c r="J213" i="1"/>
  <c r="K213" i="1" s="1"/>
  <c r="H213" i="1"/>
  <c r="H245" i="1"/>
  <c r="H283" i="1"/>
  <c r="H30" i="1"/>
  <c r="H152" i="1"/>
  <c r="K283" i="1"/>
  <c r="H8" i="1"/>
  <c r="H175" i="1"/>
  <c r="J175" i="1" s="1"/>
  <c r="K175" i="1" s="1"/>
  <c r="H218" i="1"/>
  <c r="K243" i="1"/>
  <c r="J260" i="1"/>
  <c r="K260" i="1" s="1"/>
  <c r="J39" i="1"/>
  <c r="K39" i="1" s="1"/>
  <c r="H11" i="1"/>
  <c r="J40" i="1"/>
  <c r="K40" i="1" s="1"/>
  <c r="H74" i="1"/>
  <c r="H84" i="1"/>
  <c r="J236" i="1"/>
  <c r="K236" i="1" s="1"/>
  <c r="J18" i="1"/>
  <c r="K18" i="1" s="1"/>
  <c r="H40" i="1"/>
  <c r="H64" i="1"/>
  <c r="J64" i="1"/>
  <c r="K64" i="1" s="1"/>
  <c r="J74" i="1"/>
  <c r="K74" i="1" s="1"/>
  <c r="H80" i="1"/>
  <c r="H117" i="1"/>
  <c r="G125" i="1"/>
  <c r="H125" i="1" s="1"/>
  <c r="H156" i="1"/>
  <c r="H18" i="1"/>
  <c r="H35" i="1"/>
  <c r="H59" i="1"/>
  <c r="J132" i="1"/>
  <c r="K132" i="1" s="1"/>
  <c r="J156" i="1"/>
  <c r="K156" i="1" s="1"/>
  <c r="H164" i="1"/>
  <c r="J164" i="1"/>
  <c r="K164" i="1" s="1"/>
  <c r="J232" i="1"/>
  <c r="K232" i="1" s="1"/>
  <c r="H52" i="1"/>
  <c r="H85" i="1"/>
  <c r="J149" i="1"/>
  <c r="K149" i="1" s="1"/>
  <c r="K153" i="1"/>
  <c r="J159" i="1"/>
  <c r="K159" i="1" s="1"/>
  <c r="J169" i="1"/>
  <c r="K169" i="1" s="1"/>
  <c r="J189" i="1"/>
  <c r="K189" i="1" s="1"/>
  <c r="H200" i="1"/>
  <c r="H203" i="1"/>
  <c r="H256" i="1"/>
  <c r="J267" i="1"/>
  <c r="J266" i="1" s="1"/>
  <c r="H28" i="1"/>
  <c r="G37" i="1"/>
  <c r="H37" i="1" s="1"/>
  <c r="H113" i="1"/>
  <c r="J134" i="1"/>
  <c r="K134" i="1" s="1"/>
  <c r="J138" i="1"/>
  <c r="H165" i="1"/>
  <c r="H185" i="1"/>
  <c r="J200" i="1"/>
  <c r="K200" i="1" s="1"/>
  <c r="J203" i="1"/>
  <c r="K203" i="1" s="1"/>
  <c r="G233" i="1"/>
  <c r="H233" i="1" s="1"/>
  <c r="H246" i="1"/>
  <c r="J256" i="1"/>
  <c r="K256" i="1" s="1"/>
  <c r="G108" i="1"/>
  <c r="H108" i="1" s="1"/>
  <c r="J165" i="1"/>
  <c r="K165" i="1" s="1"/>
  <c r="J185" i="1"/>
  <c r="K185" i="1" s="1"/>
  <c r="G238" i="1"/>
  <c r="G237" i="1" s="1"/>
  <c r="H237" i="1" s="1"/>
  <c r="H14" i="1"/>
  <c r="H49" i="1"/>
  <c r="H65" i="1"/>
  <c r="H76" i="1"/>
  <c r="H79" i="1"/>
  <c r="H102" i="1"/>
  <c r="H109" i="1"/>
  <c r="J116" i="1"/>
  <c r="K116" i="1" s="1"/>
  <c r="J150" i="1"/>
  <c r="K150" i="1" s="1"/>
  <c r="J160" i="1"/>
  <c r="K160" i="1" s="1"/>
  <c r="H204" i="1"/>
  <c r="H214" i="1"/>
  <c r="H239" i="1"/>
  <c r="J257" i="1"/>
  <c r="K257" i="1" s="1"/>
  <c r="J38" i="1"/>
  <c r="K38" i="1" s="1"/>
  <c r="H86" i="1"/>
  <c r="J109" i="1"/>
  <c r="K109" i="1" s="1"/>
  <c r="H201" i="1"/>
  <c r="H220" i="1"/>
  <c r="J239" i="1"/>
  <c r="H179" i="1"/>
  <c r="J179" i="1" s="1"/>
  <c r="K179" i="1" s="1"/>
  <c r="K20" i="1"/>
  <c r="K24" i="1"/>
  <c r="K11" i="1"/>
  <c r="H41" i="1"/>
  <c r="J41" i="1"/>
  <c r="K41" i="1" s="1"/>
  <c r="K126" i="1"/>
  <c r="K28" i="1"/>
  <c r="H103" i="1"/>
  <c r="H106" i="1"/>
  <c r="J112" i="1"/>
  <c r="K112" i="1" s="1"/>
  <c r="H130" i="1"/>
  <c r="H145" i="1"/>
  <c r="G27" i="1"/>
  <c r="G66" i="1"/>
  <c r="K8" i="1"/>
  <c r="H15" i="1"/>
  <c r="H17" i="1"/>
  <c r="H32" i="1"/>
  <c r="J45" i="1"/>
  <c r="K45" i="1" s="1"/>
  <c r="H56" i="1"/>
  <c r="H94" i="1"/>
  <c r="G93" i="1"/>
  <c r="H93" i="1" s="1"/>
  <c r="J103" i="1"/>
  <c r="K103" i="1" s="1"/>
  <c r="K106" i="1"/>
  <c r="J130" i="1"/>
  <c r="K130" i="1" s="1"/>
  <c r="J158" i="1"/>
  <c r="K158" i="1" s="1"/>
  <c r="H158" i="1"/>
  <c r="J172" i="1"/>
  <c r="K172" i="1" s="1"/>
  <c r="J17" i="1"/>
  <c r="J56" i="1"/>
  <c r="K56" i="1" s="1"/>
  <c r="H58" i="1"/>
  <c r="J60" i="1"/>
  <c r="K60" i="1" s="1"/>
  <c r="J94" i="1"/>
  <c r="H127" i="1"/>
  <c r="H19" i="1"/>
  <c r="H45" i="1"/>
  <c r="G105" i="1"/>
  <c r="H105" i="1" s="1"/>
  <c r="J127" i="1"/>
  <c r="K127" i="1" s="1"/>
  <c r="G166" i="1"/>
  <c r="H182" i="1"/>
  <c r="J182" i="1"/>
  <c r="H111" i="1"/>
  <c r="J118" i="1"/>
  <c r="K118" i="1" s="1"/>
  <c r="H129" i="1"/>
  <c r="H177" i="1"/>
  <c r="J177" i="1" s="1"/>
  <c r="K177" i="1" s="1"/>
  <c r="J12" i="1"/>
  <c r="K12" i="1" s="1"/>
  <c r="J14" i="1"/>
  <c r="J21" i="1"/>
  <c r="K21" i="1" s="1"/>
  <c r="H31" i="1"/>
  <c r="H48" i="1"/>
  <c r="H82" i="1"/>
  <c r="J111" i="1"/>
  <c r="K111" i="1" s="1"/>
  <c r="J129" i="1"/>
  <c r="K129" i="1" s="1"/>
  <c r="K163" i="1"/>
  <c r="H126" i="1"/>
  <c r="H131" i="1"/>
  <c r="J133" i="1"/>
  <c r="K133" i="1" s="1"/>
  <c r="H137" i="1"/>
  <c r="J142" i="1"/>
  <c r="G141" i="1"/>
  <c r="H141" i="1" s="1"/>
  <c r="J154" i="1"/>
  <c r="K154" i="1" s="1"/>
  <c r="H154" i="1"/>
  <c r="J82" i="1"/>
  <c r="K82" i="1" s="1"/>
  <c r="H24" i="1"/>
  <c r="H33" i="1"/>
  <c r="J35" i="1"/>
  <c r="H46" i="1"/>
  <c r="J52" i="1"/>
  <c r="K52" i="1" s="1"/>
  <c r="J57" i="1"/>
  <c r="K57" i="1" s="1"/>
  <c r="H61" i="1"/>
  <c r="H73" i="1"/>
  <c r="H91" i="1"/>
  <c r="J101" i="1"/>
  <c r="H142" i="1"/>
  <c r="J144" i="1"/>
  <c r="J147" i="1"/>
  <c r="K147" i="1" s="1"/>
  <c r="G181" i="1"/>
  <c r="G34" i="1"/>
  <c r="J67" i="1"/>
  <c r="J155" i="1"/>
  <c r="K155" i="1" s="1"/>
  <c r="H155" i="1"/>
  <c r="J146" i="1"/>
  <c r="K146" i="1" s="1"/>
  <c r="J157" i="1"/>
  <c r="K157" i="1" s="1"/>
  <c r="J171" i="1"/>
  <c r="K171" i="1" s="1"/>
  <c r="H186" i="1"/>
  <c r="H194" i="1"/>
  <c r="H160" i="1"/>
  <c r="H178" i="1"/>
  <c r="J178" i="1" s="1"/>
  <c r="K178" i="1" s="1"/>
  <c r="K186" i="1"/>
  <c r="J191" i="1"/>
  <c r="G190" i="1"/>
  <c r="H190" i="1" s="1"/>
  <c r="G196" i="1"/>
  <c r="H199" i="1"/>
  <c r="G205" i="1"/>
  <c r="H205" i="1" s="1"/>
  <c r="K264" i="1"/>
  <c r="H176" i="1"/>
  <c r="J176" i="1" s="1"/>
  <c r="K176" i="1" s="1"/>
  <c r="J224" i="1"/>
  <c r="K224" i="1" s="1"/>
  <c r="J227" i="1"/>
  <c r="H227" i="1"/>
  <c r="H240" i="1"/>
  <c r="K270" i="1"/>
  <c r="J193" i="1"/>
  <c r="H150" i="1"/>
  <c r="H159" i="1"/>
  <c r="H163" i="1"/>
  <c r="H170" i="1"/>
  <c r="H174" i="1"/>
  <c r="J174" i="1" s="1"/>
  <c r="K174" i="1" s="1"/>
  <c r="J183" i="1"/>
  <c r="K183" i="1" s="1"/>
  <c r="K187" i="1"/>
  <c r="H193" i="1"/>
  <c r="J208" i="1"/>
  <c r="K208" i="1" s="1"/>
  <c r="J210" i="1"/>
  <c r="K210" i="1" s="1"/>
  <c r="H212" i="1"/>
  <c r="G221" i="1"/>
  <c r="H234" i="1"/>
  <c r="H243" i="1"/>
  <c r="J234" i="1"/>
  <c r="J265" i="1"/>
  <c r="K265" i="1" s="1"/>
  <c r="H265" i="1"/>
  <c r="K272" i="1"/>
  <c r="G148" i="1"/>
  <c r="H148" i="1" s="1"/>
  <c r="H197" i="1"/>
  <c r="J207" i="1"/>
  <c r="H229" i="1"/>
  <c r="J251" i="1"/>
  <c r="K251" i="1" s="1"/>
  <c r="H251" i="1"/>
  <c r="H261" i="1"/>
  <c r="J261" i="1"/>
  <c r="K261" i="1" s="1"/>
  <c r="K267" i="1"/>
  <c r="K197" i="1"/>
  <c r="J211" i="1"/>
  <c r="K211" i="1" s="1"/>
  <c r="H211" i="1"/>
  <c r="H216" i="1"/>
  <c r="G217" i="1"/>
  <c r="J226" i="1"/>
  <c r="H231" i="1"/>
  <c r="J259" i="1"/>
  <c r="H259" i="1"/>
  <c r="J184" i="1"/>
  <c r="K184" i="1" s="1"/>
  <c r="J219" i="1"/>
  <c r="H219" i="1"/>
  <c r="J231" i="1"/>
  <c r="H263" i="1"/>
  <c r="J263" i="1"/>
  <c r="J271" i="1"/>
  <c r="K271" i="1" s="1"/>
  <c r="H274" i="1"/>
  <c r="H278" i="1"/>
  <c r="H282" i="1"/>
  <c r="J282" i="1" s="1"/>
  <c r="K282" i="1" s="1"/>
  <c r="J287" i="1"/>
  <c r="K287" i="1" s="1"/>
  <c r="J274" i="1"/>
  <c r="K274" i="1" s="1"/>
  <c r="J278" i="1"/>
  <c r="K278" i="1" s="1"/>
  <c r="H270" i="1"/>
  <c r="H277" i="1"/>
  <c r="H255" i="1"/>
  <c r="H267" i="1"/>
  <c r="H281" i="1"/>
  <c r="J281" i="1" s="1"/>
  <c r="H279" i="1"/>
  <c r="H272" i="1"/>
  <c r="H275" i="1"/>
  <c r="J279" i="1"/>
  <c r="K279" i="1" s="1"/>
  <c r="J275" i="1"/>
  <c r="K275" i="1" s="1"/>
  <c r="G280" i="1"/>
  <c r="G249" i="1"/>
  <c r="AZ115" i="2" l="1"/>
  <c r="AV115" i="2"/>
  <c r="AV95" i="2"/>
  <c r="AZ105" i="2"/>
  <c r="AV105" i="2"/>
  <c r="AV13" i="2"/>
  <c r="AV37" i="2"/>
  <c r="AV121" i="2"/>
  <c r="AV39" i="2"/>
  <c r="AZ39" i="2"/>
  <c r="AV73" i="2"/>
  <c r="AZ73" i="2"/>
  <c r="V161" i="2"/>
  <c r="V144" i="2"/>
  <c r="AC161" i="2"/>
  <c r="AC144" i="2"/>
  <c r="AV113" i="2"/>
  <c r="AX19" i="2"/>
  <c r="W156" i="2"/>
  <c r="W162" i="2" s="1"/>
  <c r="T143" i="2"/>
  <c r="AK156" i="2"/>
  <c r="AK162" i="2" s="1"/>
  <c r="BB156" i="2"/>
  <c r="AU151" i="2"/>
  <c r="R156" i="2"/>
  <c r="AZ120" i="2"/>
  <c r="AV120" i="2"/>
  <c r="AW113" i="2"/>
  <c r="AX113" i="2" s="1"/>
  <c r="AZ113" i="2" s="1"/>
  <c r="AX95" i="2"/>
  <c r="AZ95" i="2" s="1"/>
  <c r="AW117" i="2"/>
  <c r="AX121" i="2"/>
  <c r="AZ121" i="2" s="1"/>
  <c r="AX33" i="2"/>
  <c r="AU33" i="2"/>
  <c r="AW77" i="2"/>
  <c r="AX77" i="2" s="1"/>
  <c r="AU97" i="2"/>
  <c r="V163" i="2"/>
  <c r="V165" i="2" s="1"/>
  <c r="AB143" i="2"/>
  <c r="AX81" i="2"/>
  <c r="AU81" i="2"/>
  <c r="AX101" i="2"/>
  <c r="AU101" i="2"/>
  <c r="AJ143" i="2"/>
  <c r="AW17" i="2"/>
  <c r="AX17" i="2" s="1"/>
  <c r="AZ116" i="2"/>
  <c r="AV116" i="2"/>
  <c r="AX71" i="2"/>
  <c r="AU71" i="2"/>
  <c r="AZ27" i="2"/>
  <c r="AV27" i="2"/>
  <c r="AM143" i="2"/>
  <c r="AJ156" i="2"/>
  <c r="AJ162" i="2" s="1"/>
  <c r="Y143" i="2"/>
  <c r="AW7" i="2"/>
  <c r="AX7" i="2" s="1"/>
  <c r="AX111" i="2"/>
  <c r="AU111" i="2"/>
  <c r="AX105" i="2"/>
  <c r="AA143" i="2"/>
  <c r="AA161" i="2" s="1"/>
  <c r="AZ11" i="2"/>
  <c r="AV11" i="2"/>
  <c r="AW31" i="2"/>
  <c r="AX31" i="2" s="1"/>
  <c r="AX125" i="2"/>
  <c r="AU125" i="2"/>
  <c r="AX87" i="2"/>
  <c r="AU87" i="2"/>
  <c r="AX91" i="2"/>
  <c r="AU91" i="2"/>
  <c r="AT156" i="2"/>
  <c r="AT162" i="2" s="1"/>
  <c r="AT163" i="2" s="1"/>
  <c r="AT165" i="2" s="1"/>
  <c r="AU155" i="2"/>
  <c r="W144" i="2"/>
  <c r="W160" i="2"/>
  <c r="U143" i="2"/>
  <c r="U161" i="2" s="1"/>
  <c r="S143" i="2"/>
  <c r="BB144" i="2"/>
  <c r="AU7" i="2"/>
  <c r="AU75" i="2"/>
  <c r="AX75" i="2"/>
  <c r="AL143" i="2"/>
  <c r="AF143" i="2"/>
  <c r="AU47" i="2"/>
  <c r="Z143" i="2"/>
  <c r="Z161" i="2" s="1"/>
  <c r="AK143" i="2"/>
  <c r="AV138" i="2"/>
  <c r="AZ138" i="2"/>
  <c r="AY138" i="2"/>
  <c r="AH156" i="2"/>
  <c r="AH162" i="2" s="1"/>
  <c r="AR156" i="2"/>
  <c r="AR162" i="2" s="1"/>
  <c r="AR163" i="2" s="1"/>
  <c r="AR165" i="2" s="1"/>
  <c r="AQ156" i="2"/>
  <c r="AQ162" i="2" s="1"/>
  <c r="AQ163" i="2" s="1"/>
  <c r="AQ165" i="2" s="1"/>
  <c r="AP156" i="2"/>
  <c r="AP162" i="2" s="1"/>
  <c r="AP163" i="2" s="1"/>
  <c r="AP165" i="2" s="1"/>
  <c r="AX137" i="2"/>
  <c r="BA137" i="2" s="1"/>
  <c r="AU137" i="2"/>
  <c r="AX89" i="2"/>
  <c r="AU89" i="2"/>
  <c r="AX123" i="2"/>
  <c r="AU123" i="2"/>
  <c r="X143" i="2"/>
  <c r="W143" i="2"/>
  <c r="W161" i="2" s="1"/>
  <c r="AX53" i="2"/>
  <c r="AU53" i="2"/>
  <c r="AZ114" i="2"/>
  <c r="AX51" i="2"/>
  <c r="AU51" i="2"/>
  <c r="AA160" i="2"/>
  <c r="AA144" i="2"/>
  <c r="AU55" i="2"/>
  <c r="AX55" i="2"/>
  <c r="AW119" i="2"/>
  <c r="AX119" i="2" s="1"/>
  <c r="AU119" i="2"/>
  <c r="AU83" i="2"/>
  <c r="AW129" i="2"/>
  <c r="AU45" i="2"/>
  <c r="AU31" i="2"/>
  <c r="Y160" i="2"/>
  <c r="AW142" i="2"/>
  <c r="AX142" i="2" s="1"/>
  <c r="Y144" i="2"/>
  <c r="AX59" i="2"/>
  <c r="AU59" i="2"/>
  <c r="AU9" i="2"/>
  <c r="AX9" i="2"/>
  <c r="AU131" i="2"/>
  <c r="AX131" i="2"/>
  <c r="BA131" i="2" s="1"/>
  <c r="AU61" i="2"/>
  <c r="AX41" i="2"/>
  <c r="AU41" i="2"/>
  <c r="AU35" i="2"/>
  <c r="AW45" i="2"/>
  <c r="AX45" i="2" s="1"/>
  <c r="AW75" i="2"/>
  <c r="AH143" i="2"/>
  <c r="AW47" i="2"/>
  <c r="AX47" i="2" s="1"/>
  <c r="AU139" i="2"/>
  <c r="AU153" i="2"/>
  <c r="AZ134" i="2"/>
  <c r="AY134" i="2"/>
  <c r="AW43" i="2"/>
  <c r="AX43" i="2" s="1"/>
  <c r="AW97" i="2"/>
  <c r="AX97" i="2" s="1"/>
  <c r="AZ128" i="2"/>
  <c r="AZ93" i="2"/>
  <c r="AV93" i="2"/>
  <c r="AW135" i="2"/>
  <c r="AX135" i="2" s="1"/>
  <c r="BA135" i="2" s="1"/>
  <c r="AW133" i="2"/>
  <c r="AX49" i="2"/>
  <c r="AN143" i="2"/>
  <c r="AU43" i="2"/>
  <c r="AX13" i="2"/>
  <c r="AZ13" i="2" s="1"/>
  <c r="AE143" i="2"/>
  <c r="Z160" i="2"/>
  <c r="AZ96" i="2"/>
  <c r="AU79" i="2"/>
  <c r="AW37" i="2"/>
  <c r="AX37" i="2" s="1"/>
  <c r="AZ37" i="2" s="1"/>
  <c r="AZ85" i="2"/>
  <c r="AV85" i="2"/>
  <c r="AU129" i="2"/>
  <c r="AX129" i="2"/>
  <c r="BA129" i="2" s="1"/>
  <c r="AW35" i="2"/>
  <c r="AX35" i="2" s="1"/>
  <c r="AD143" i="2"/>
  <c r="AO143" i="2"/>
  <c r="AZ21" i="2"/>
  <c r="AV21" i="2"/>
  <c r="AW81" i="2"/>
  <c r="AG143" i="2"/>
  <c r="Y156" i="2"/>
  <c r="AW151" i="2"/>
  <c r="AX151" i="2" s="1"/>
  <c r="AW155" i="2"/>
  <c r="AX155" i="2" s="1"/>
  <c r="AW139" i="2"/>
  <c r="AX139" i="2" s="1"/>
  <c r="AX63" i="2"/>
  <c r="AU63" i="2"/>
  <c r="AX25" i="2"/>
  <c r="AU25" i="2"/>
  <c r="AV49" i="2"/>
  <c r="AZ49" i="2"/>
  <c r="AU57" i="2"/>
  <c r="AW153" i="2"/>
  <c r="AX153" i="2" s="1"/>
  <c r="AS156" i="2"/>
  <c r="AS162" i="2" s="1"/>
  <c r="AS163" i="2" s="1"/>
  <c r="AS165" i="2" s="1"/>
  <c r="AZ126" i="2"/>
  <c r="AY126" i="2"/>
  <c r="AV126" i="2"/>
  <c r="AZ132" i="2"/>
  <c r="AY132" i="2"/>
  <c r="AC163" i="2"/>
  <c r="AC165" i="2" s="1"/>
  <c r="AU77" i="2"/>
  <c r="AW57" i="2"/>
  <c r="AX57" i="2" s="1"/>
  <c r="U144" i="2"/>
  <c r="U160" i="2"/>
  <c r="U163" i="2" s="1"/>
  <c r="U165" i="2" s="1"/>
  <c r="AR144" i="2"/>
  <c r="AX107" i="2"/>
  <c r="AU107" i="2"/>
  <c r="AU19" i="2"/>
  <c r="R143" i="2"/>
  <c r="AU69" i="2"/>
  <c r="AX69" i="2"/>
  <c r="AU142" i="2"/>
  <c r="AU135" i="2"/>
  <c r="AU133" i="2"/>
  <c r="AX133" i="2"/>
  <c r="BA133" i="2" s="1"/>
  <c r="AW83" i="2"/>
  <c r="AX83" i="2" s="1"/>
  <c r="AX29" i="2"/>
  <c r="AU29" i="2"/>
  <c r="AI143" i="2"/>
  <c r="AZ122" i="2"/>
  <c r="AV122" i="2"/>
  <c r="AZ86" i="2"/>
  <c r="AV86" i="2"/>
  <c r="AG156" i="2"/>
  <c r="AG162" i="2" s="1"/>
  <c r="AX109" i="2"/>
  <c r="AU109" i="2"/>
  <c r="AW79" i="2"/>
  <c r="AX79" i="2" s="1"/>
  <c r="AW61" i="2"/>
  <c r="AX61" i="2" s="1"/>
  <c r="AX117" i="2"/>
  <c r="AU117" i="2"/>
  <c r="AU127" i="2"/>
  <c r="AX127" i="2"/>
  <c r="AU17" i="2"/>
  <c r="J238" i="1"/>
  <c r="K238" i="1" s="1"/>
  <c r="K266" i="1"/>
  <c r="H50" i="1"/>
  <c r="G43" i="1"/>
  <c r="H43" i="1" s="1"/>
  <c r="J229" i="1"/>
  <c r="K229" i="1" s="1"/>
  <c r="J23" i="1"/>
  <c r="J22" i="1" s="1"/>
  <c r="J90" i="1"/>
  <c r="K90" i="1" s="1"/>
  <c r="H7" i="1"/>
  <c r="H225" i="1"/>
  <c r="J27" i="1"/>
  <c r="K27" i="1" s="1"/>
  <c r="K47" i="1"/>
  <c r="H47" i="1"/>
  <c r="J96" i="1"/>
  <c r="K96" i="1" s="1"/>
  <c r="J148" i="1"/>
  <c r="K148" i="1" s="1"/>
  <c r="J269" i="1"/>
  <c r="K269" i="1" s="1"/>
  <c r="H9" i="1"/>
  <c r="K239" i="1"/>
  <c r="G89" i="1"/>
  <c r="H89" i="1" s="1"/>
  <c r="J196" i="1"/>
  <c r="K196" i="1" s="1"/>
  <c r="H238" i="1"/>
  <c r="H10" i="1"/>
  <c r="J137" i="1"/>
  <c r="K138" i="1"/>
  <c r="J86" i="1"/>
  <c r="K86" i="1" s="1"/>
  <c r="K87" i="1"/>
  <c r="G6" i="1"/>
  <c r="H6" i="1" s="1"/>
  <c r="J202" i="1"/>
  <c r="K202" i="1" s="1"/>
  <c r="J105" i="1"/>
  <c r="K105" i="1" s="1"/>
  <c r="J37" i="1"/>
  <c r="K37" i="1" s="1"/>
  <c r="J181" i="1"/>
  <c r="K181" i="1" s="1"/>
  <c r="K182" i="1"/>
  <c r="H166" i="1"/>
  <c r="H181" i="1"/>
  <c r="J50" i="1"/>
  <c r="J19" i="1"/>
  <c r="K19" i="1" s="1"/>
  <c r="K259" i="1"/>
  <c r="K35" i="1"/>
  <c r="J34" i="1"/>
  <c r="K34" i="1" s="1"/>
  <c r="J16" i="1"/>
  <c r="K16" i="1" s="1"/>
  <c r="K17" i="1"/>
  <c r="H66" i="1"/>
  <c r="H249" i="1"/>
  <c r="G248" i="1"/>
  <c r="H248" i="1" s="1"/>
  <c r="K231" i="1"/>
  <c r="J249" i="1"/>
  <c r="K207" i="1"/>
  <c r="J205" i="1"/>
  <c r="K205" i="1" s="1"/>
  <c r="J233" i="1"/>
  <c r="K233" i="1" s="1"/>
  <c r="K234" i="1"/>
  <c r="H221" i="1"/>
  <c r="J66" i="1"/>
  <c r="K67" i="1"/>
  <c r="K101" i="1"/>
  <c r="J100" i="1"/>
  <c r="K100" i="1" s="1"/>
  <c r="G162" i="1"/>
  <c r="G143" i="1" s="1"/>
  <c r="H143" i="1" s="1"/>
  <c r="H27" i="1"/>
  <c r="J10" i="1"/>
  <c r="K226" i="1"/>
  <c r="J225" i="1"/>
  <c r="K225" i="1" s="1"/>
  <c r="H217" i="1"/>
  <c r="H280" i="1"/>
  <c r="J221" i="1"/>
  <c r="K221" i="1" s="1"/>
  <c r="K193" i="1"/>
  <c r="K219" i="1"/>
  <c r="J217" i="1"/>
  <c r="K227" i="1"/>
  <c r="G195" i="1"/>
  <c r="H195" i="1" s="1"/>
  <c r="H196" i="1"/>
  <c r="H34" i="1"/>
  <c r="J93" i="1"/>
  <c r="K93" i="1" s="1"/>
  <c r="K94" i="1"/>
  <c r="J262" i="1"/>
  <c r="K262" i="1" s="1"/>
  <c r="K263" i="1"/>
  <c r="J141" i="1"/>
  <c r="K141" i="1" s="1"/>
  <c r="K142" i="1"/>
  <c r="J13" i="1"/>
  <c r="K13" i="1" s="1"/>
  <c r="K14" i="1"/>
  <c r="K144" i="1"/>
  <c r="J125" i="1"/>
  <c r="G180" i="1"/>
  <c r="K191" i="1"/>
  <c r="J190" i="1"/>
  <c r="K190" i="1" s="1"/>
  <c r="G22" i="1"/>
  <c r="J280" i="1"/>
  <c r="K280" i="1" s="1"/>
  <c r="K281" i="1"/>
  <c r="K167" i="1"/>
  <c r="J166" i="1"/>
  <c r="J108" i="1"/>
  <c r="K108" i="1" s="1"/>
  <c r="AF161" i="2" l="1"/>
  <c r="AF163" i="2" s="1"/>
  <c r="AF165" i="2" s="1"/>
  <c r="AF144" i="2"/>
  <c r="AV127" i="2"/>
  <c r="AZ127" i="2"/>
  <c r="AZ83" i="2"/>
  <c r="AV83" i="2"/>
  <c r="AH161" i="2"/>
  <c r="AH163" i="2" s="1"/>
  <c r="AH165" i="2" s="1"/>
  <c r="AH144" i="2"/>
  <c r="AZ9" i="2"/>
  <c r="AV9" i="2"/>
  <c r="AV53" i="2"/>
  <c r="AZ53" i="2"/>
  <c r="AV75" i="2"/>
  <c r="AZ75" i="2"/>
  <c r="AV91" i="2"/>
  <c r="AZ91" i="2"/>
  <c r="AZ71" i="2"/>
  <c r="AV71" i="2"/>
  <c r="AZ17" i="2"/>
  <c r="AV17" i="2"/>
  <c r="AV45" i="2"/>
  <c r="AZ45" i="2"/>
  <c r="AV51" i="2"/>
  <c r="AZ51" i="2"/>
  <c r="AZ155" i="2"/>
  <c r="AV81" i="2"/>
  <c r="AZ81" i="2"/>
  <c r="AV25" i="2"/>
  <c r="AZ25" i="2"/>
  <c r="AI161" i="2"/>
  <c r="AI163" i="2" s="1"/>
  <c r="AI165" i="2" s="1"/>
  <c r="AI144" i="2"/>
  <c r="AV19" i="2"/>
  <c r="AZ19" i="2"/>
  <c r="AV117" i="2"/>
  <c r="AZ117" i="2"/>
  <c r="AZ29" i="2"/>
  <c r="AV29" i="2"/>
  <c r="AZ107" i="2"/>
  <c r="AV107" i="2"/>
  <c r="AV63" i="2"/>
  <c r="AZ63" i="2"/>
  <c r="AO161" i="2"/>
  <c r="AO163" i="2" s="1"/>
  <c r="AO165" i="2" s="1"/>
  <c r="AO144" i="2"/>
  <c r="Z144" i="2"/>
  <c r="AV59" i="2"/>
  <c r="AZ59" i="2"/>
  <c r="AZ119" i="2"/>
  <c r="AV119" i="2"/>
  <c r="AZ7" i="2"/>
  <c r="AV7" i="2"/>
  <c r="AZ139" i="2"/>
  <c r="AV139" i="2"/>
  <c r="R161" i="2"/>
  <c r="P143" i="2"/>
  <c r="N143" i="2"/>
  <c r="AX143" i="2"/>
  <c r="AU143" i="2"/>
  <c r="R144" i="2"/>
  <c r="AB161" i="2"/>
  <c r="AB163" i="2" s="1"/>
  <c r="AB165" i="2" s="1"/>
  <c r="AB144" i="2"/>
  <c r="AW144" i="2" s="1"/>
  <c r="AD161" i="2"/>
  <c r="AD163" i="2" s="1"/>
  <c r="AD165" i="2" s="1"/>
  <c r="AD144" i="2"/>
  <c r="Z163" i="2"/>
  <c r="Z165" i="2" s="1"/>
  <c r="AZ87" i="2"/>
  <c r="AV87" i="2"/>
  <c r="AZ111" i="2"/>
  <c r="AV111" i="2"/>
  <c r="AV97" i="2"/>
  <c r="AZ97" i="2"/>
  <c r="AX156" i="2"/>
  <c r="BB157" i="2" s="1"/>
  <c r="AU156" i="2"/>
  <c r="AZ156" i="2" s="1"/>
  <c r="R162" i="2"/>
  <c r="X161" i="2"/>
  <c r="X163" i="2" s="1"/>
  <c r="X165" i="2" s="1"/>
  <c r="X144" i="2"/>
  <c r="AZ123" i="2"/>
  <c r="AV123" i="2"/>
  <c r="S161" i="2"/>
  <c r="S163" i="2" s="1"/>
  <c r="S165" i="2" s="1"/>
  <c r="S144" i="2"/>
  <c r="AZ125" i="2"/>
  <c r="AV125" i="2"/>
  <c r="AZ33" i="2"/>
  <c r="AV33" i="2"/>
  <c r="AZ151" i="2"/>
  <c r="AZ109" i="2"/>
  <c r="AV109" i="2"/>
  <c r="AZ133" i="2"/>
  <c r="AV129" i="2"/>
  <c r="AZ129" i="2"/>
  <c r="AZ41" i="2"/>
  <c r="AV41" i="2"/>
  <c r="AW160" i="2"/>
  <c r="AX160" i="2" s="1"/>
  <c r="AK161" i="2"/>
  <c r="AK163" i="2" s="1"/>
  <c r="AK165" i="2" s="1"/>
  <c r="AK144" i="2"/>
  <c r="Y161" i="2"/>
  <c r="AW161" i="2" s="1"/>
  <c r="AW143" i="2"/>
  <c r="AJ161" i="2"/>
  <c r="AJ163" i="2" s="1"/>
  <c r="AJ165" i="2" s="1"/>
  <c r="AJ144" i="2"/>
  <c r="AE161" i="2"/>
  <c r="AE163" i="2" s="1"/>
  <c r="AE165" i="2" s="1"/>
  <c r="AE144" i="2"/>
  <c r="AZ135" i="2"/>
  <c r="AZ101" i="2"/>
  <c r="AV101" i="2"/>
  <c r="AZ77" i="2"/>
  <c r="AV77" i="2"/>
  <c r="AV35" i="2"/>
  <c r="AZ35" i="2"/>
  <c r="Y162" i="2"/>
  <c r="AW162" i="2" s="1"/>
  <c r="AW156" i="2"/>
  <c r="AZ31" i="2"/>
  <c r="AV31" i="2"/>
  <c r="AZ55" i="2"/>
  <c r="AV55" i="2"/>
  <c r="AZ89" i="2"/>
  <c r="AV89" i="2"/>
  <c r="W163" i="2"/>
  <c r="W165" i="2" s="1"/>
  <c r="AG161" i="2"/>
  <c r="AG163" i="2" s="1"/>
  <c r="AG165" i="2" s="1"/>
  <c r="AG144" i="2"/>
  <c r="AZ43" i="2"/>
  <c r="AV43" i="2"/>
  <c r="AZ153" i="2"/>
  <c r="AV61" i="2"/>
  <c r="AZ61" i="2"/>
  <c r="AZ47" i="2"/>
  <c r="AV47" i="2"/>
  <c r="AU160" i="2"/>
  <c r="AZ142" i="2"/>
  <c r="AV142" i="2"/>
  <c r="AV57" i="2"/>
  <c r="AZ57" i="2"/>
  <c r="AN161" i="2"/>
  <c r="AN163" i="2" s="1"/>
  <c r="AN165" i="2" s="1"/>
  <c r="AN144" i="2"/>
  <c r="AA163" i="2"/>
  <c r="AA165" i="2" s="1"/>
  <c r="AZ137" i="2"/>
  <c r="T161" i="2"/>
  <c r="T163" i="2" s="1"/>
  <c r="T165" i="2" s="1"/>
  <c r="T144" i="2"/>
  <c r="AM161" i="2"/>
  <c r="AM163" i="2" s="1"/>
  <c r="AM165" i="2" s="1"/>
  <c r="AM144" i="2"/>
  <c r="AZ69" i="2"/>
  <c r="AV69" i="2"/>
  <c r="AZ79" i="2"/>
  <c r="AV79" i="2"/>
  <c r="AZ131" i="2"/>
  <c r="AL161" i="2"/>
  <c r="AL163" i="2" s="1"/>
  <c r="AL165" i="2" s="1"/>
  <c r="AL144" i="2"/>
  <c r="G42" i="1"/>
  <c r="H42" i="1" s="1"/>
  <c r="J237" i="1"/>
  <c r="K237" i="1" s="1"/>
  <c r="K23" i="1"/>
  <c r="K22" i="1"/>
  <c r="G215" i="1"/>
  <c r="H215" i="1" s="1"/>
  <c r="J136" i="1"/>
  <c r="K136" i="1" s="1"/>
  <c r="K137" i="1"/>
  <c r="J195" i="1"/>
  <c r="K195" i="1" s="1"/>
  <c r="J89" i="1"/>
  <c r="K89" i="1" s="1"/>
  <c r="K217" i="1"/>
  <c r="H162" i="1"/>
  <c r="J180" i="1"/>
  <c r="K180" i="1" s="1"/>
  <c r="K125" i="1"/>
  <c r="J248" i="1"/>
  <c r="K248" i="1" s="1"/>
  <c r="K249" i="1"/>
  <c r="J43" i="1"/>
  <c r="K50" i="1"/>
  <c r="J9" i="1"/>
  <c r="K9" i="1" s="1"/>
  <c r="K10" i="1"/>
  <c r="J6" i="1"/>
  <c r="K6" i="1" s="1"/>
  <c r="K66" i="1"/>
  <c r="K166" i="1"/>
  <c r="J162" i="1"/>
  <c r="H22" i="1"/>
  <c r="G104" i="1"/>
  <c r="G3" i="1" s="1"/>
  <c r="H180" i="1"/>
  <c r="Y163" i="2" l="1"/>
  <c r="AZ143" i="2"/>
  <c r="AV143" i="2"/>
  <c r="AX162" i="2"/>
  <c r="AU162" i="2"/>
  <c r="AU144" i="2"/>
  <c r="AX144" i="2"/>
  <c r="BB145" i="2" s="1"/>
  <c r="AX161" i="2"/>
  <c r="AU161" i="2"/>
  <c r="R163" i="2"/>
  <c r="J215" i="1"/>
  <c r="K215" i="1" s="1"/>
  <c r="G286" i="1"/>
  <c r="G119" i="1"/>
  <c r="H104" i="1"/>
  <c r="K162" i="1"/>
  <c r="J143" i="1"/>
  <c r="K43" i="1"/>
  <c r="J42" i="1"/>
  <c r="AW163" i="2" l="1"/>
  <c r="Y165" i="2"/>
  <c r="R165" i="2"/>
  <c r="AX163" i="2"/>
  <c r="AU163" i="2"/>
  <c r="AV144" i="2"/>
  <c r="AZ144" i="2"/>
  <c r="G288" i="1"/>
  <c r="H288" i="1" s="1"/>
  <c r="H286" i="1"/>
  <c r="H119" i="1"/>
  <c r="K42" i="1"/>
  <c r="J104" i="1"/>
  <c r="J3" i="1" s="1"/>
  <c r="K143" i="1"/>
  <c r="J286" i="1"/>
  <c r="G289" i="1" l="1"/>
  <c r="H289" i="1" s="1"/>
  <c r="K286" i="1"/>
  <c r="J288" i="1"/>
  <c r="K288" i="1" s="1"/>
  <c r="K104" i="1"/>
  <c r="J119" i="1"/>
  <c r="J289" i="1" l="1"/>
  <c r="K289" i="1" s="1"/>
  <c r="K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65" authorId="0" shapeId="0" xr:uid="{3F243224-742D-464B-AD24-0C5D0F1D9F7B}">
      <text>
        <r>
          <rPr>
            <b/>
            <sz val="9"/>
            <color indexed="81"/>
            <rFont val="Tahoma"/>
            <family val="2"/>
            <charset val="186"/>
          </rPr>
          <t>Sarmīte Mūze:</t>
        </r>
        <r>
          <rPr>
            <sz val="9"/>
            <color indexed="81"/>
            <rFont val="Tahoma"/>
            <family val="2"/>
            <charset val="186"/>
          </rPr>
          <t xml:space="preserve">
1010 supervizijas EKK 18.6.3.</t>
        </r>
      </text>
    </comment>
    <comment ref="E276" authorId="0" shapeId="0" xr:uid="{363BEA21-9701-40E7-9052-ABA715F2F28D}">
      <text>
        <r>
          <rPr>
            <b/>
            <sz val="9"/>
            <color indexed="81"/>
            <rFont val="Tahoma"/>
            <family val="2"/>
            <charset val="186"/>
          </rPr>
          <t>Sarmīte Mūze:</t>
        </r>
        <r>
          <rPr>
            <sz val="9"/>
            <color indexed="81"/>
            <rFont val="Tahoma"/>
            <family val="2"/>
            <charset val="186"/>
          </rPr>
          <t xml:space="preserve">
Šis ir jāizņem no 0930 un jāliek 0982 algā.
</t>
        </r>
      </text>
    </comment>
    <comment ref="F276" authorId="0" shapeId="0" xr:uid="{CF8ABBD2-0F41-4E89-BF6E-ABCDFD881B92}">
      <text>
        <r>
          <rPr>
            <b/>
            <sz val="9"/>
            <color indexed="81"/>
            <rFont val="Tahoma"/>
            <family val="2"/>
            <charset val="186"/>
          </rPr>
          <t>Sarmīte Mūze:</t>
        </r>
        <r>
          <rPr>
            <sz val="9"/>
            <color indexed="81"/>
            <rFont val="Tahoma"/>
            <family val="2"/>
            <charset val="186"/>
          </rPr>
          <t xml:space="preserve">
Šis ir jāizņem no 0930 un jāliek 0982 algā.
</t>
        </r>
      </text>
    </comment>
    <comment ref="G276" authorId="0" shapeId="0" xr:uid="{BB163FB4-993B-4CD5-80E8-15E437D83CE2}">
      <text>
        <r>
          <rPr>
            <b/>
            <sz val="9"/>
            <color indexed="81"/>
            <rFont val="Tahoma"/>
            <family val="2"/>
            <charset val="186"/>
          </rPr>
          <t>Sarmīte Mūze:</t>
        </r>
        <r>
          <rPr>
            <sz val="9"/>
            <color indexed="81"/>
            <rFont val="Tahoma"/>
            <family val="2"/>
            <charset val="186"/>
          </rPr>
          <t xml:space="preserve">
Šis ir jāizņem no 0930 un jāliek 0982 algā.
</t>
        </r>
      </text>
    </comment>
    <comment ref="J276" authorId="0" shapeId="0" xr:uid="{30C0DB6F-7DBB-40F9-8519-A102D8EC1E6F}">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D126" authorId="0" shapeId="0" xr:uid="{7D1AEDE4-CA92-41C1-8801-9475418DCB2B}">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<sst xmlns="http://schemas.openxmlformats.org/spreadsheetml/2006/main" count="1641" uniqueCount="1063">
  <si>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</si>
  <si>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</si>
  <si>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</si>
  <si>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</si>
  <si>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</si>
  <si>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</si>
  <si>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</si>
  <si>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</si>
  <si>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</si>
  <si>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</si>
  <si>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29.05.2025. grozījumi</t>
  </si>
  <si>
    <t>Izmaiņa 29.05.2025. - 27.03.2025.</t>
  </si>
  <si>
    <t>1., 2., 3., 4., 5.</t>
  </si>
  <si>
    <t>Nodokļu ieņēmumi</t>
  </si>
  <si>
    <t>1.1.1.0.</t>
  </si>
  <si>
    <t>1.</t>
  </si>
  <si>
    <t>Iedzīvotāju ienākuma nodoklis</t>
  </si>
  <si>
    <t>PB</t>
  </si>
  <si>
    <t>01.1.1.2.</t>
  </si>
  <si>
    <t>1.1.</t>
  </si>
  <si>
    <t>pārskata gada</t>
  </si>
  <si>
    <t>EUR 952'269 no IIN klasificējas kā IIN dotācijas, kas jāatspoguļo valsts budžeta transfertu sadaļā (10.p.)</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</si>
  <si>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</si>
  <si>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</si>
  <si>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</si>
  <si>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</si>
  <si>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</si>
  <si>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</si>
  <si>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</si>
  <si>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</si>
  <si>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</si>
  <si>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</si>
  <si>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</si>
  <si>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</si>
  <si>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</si>
  <si>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</si>
  <si>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</si>
  <si>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</si>
  <si>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</si>
  <si>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</si>
  <si>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</si>
  <si>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</si>
  <si>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</si>
  <si>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</si>
  <si>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</si>
  <si>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</si>
  <si>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</si>
  <si>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</si>
  <si>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</si>
  <si>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</si>
  <si>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</si>
  <si>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</si>
  <si>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</si>
  <si>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</si>
  <si>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</si>
  <si>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</si>
  <si>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</si>
  <si>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</si>
  <si>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</si>
  <si>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</si>
  <si>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</si>
  <si>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</si>
  <si>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</si>
  <si>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</si>
  <si>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</si>
  <si>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</si>
  <si>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</si>
  <si>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</si>
  <si>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</si>
  <si>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</si>
  <si>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</si>
  <si>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</si>
  <si>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</si>
  <si>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</si>
  <si>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</si>
  <si>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</si>
  <si>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</si>
  <si>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</si>
  <si>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</si>
  <si>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</si>
  <si>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</si>
  <si>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</si>
  <si>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</si>
  <si>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</si>
  <si>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</si>
  <si>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</si>
  <si>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</si>
  <si>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</si>
  <si>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</si>
  <si>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</si>
  <si>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</si>
  <si>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</si>
  <si>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</si>
  <si>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</si>
  <si>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</si>
  <si>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</si>
  <si>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</si>
  <si>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</si>
  <si>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</si>
  <si>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</si>
  <si>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</si>
  <si>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</si>
  <si>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</si>
  <si>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</si>
  <si>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12.3.9.5.</t>
  </si>
  <si>
    <t>8.2.</t>
  </si>
  <si>
    <t>līgumsodi un procentu maksājumi par saistību neizpildi</t>
  </si>
  <si>
    <t>12.2.3.0.</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</si>
  <si>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</si>
  <si>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</si>
  <si>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</si>
  <si>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</si>
  <si>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</si>
  <si>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</si>
  <si>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</si>
  <si>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</si>
  <si>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</si>
  <si>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</si>
  <si>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</si>
  <si>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</si>
  <si>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</si>
  <si>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</si>
  <si>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</si>
  <si>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</si>
  <si>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</si>
  <si>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</si>
  <si>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</si>
  <si>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</si>
  <si>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</si>
  <si>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</si>
  <si>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</si>
  <si>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</si>
  <si>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Rīkojums par valsts mērķdotāciju mācību līdzekļiem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</si>
  <si>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</si>
  <si>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</si>
  <si>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</si>
  <si>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</si>
  <si>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</si>
  <si>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</si>
  <si>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</si>
  <si>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</si>
  <si>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</si>
  <si>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</si>
  <si>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</si>
  <si>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</si>
  <si>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</si>
  <si>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</si>
  <si>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</si>
  <si>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</si>
  <si>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</si>
  <si>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</si>
  <si>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</si>
  <si>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</si>
  <si>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</si>
  <si>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</si>
  <si>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</si>
  <si>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</si>
  <si>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</si>
  <si>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</si>
  <si>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</si>
  <si>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</si>
  <si>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</si>
  <si>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</si>
  <si>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</si>
  <si>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Valsts finansējums projektu konkursā "Atbalsts jaunatnes politikas īstenošanai vietējā līmenī" Projekts "Mobilais darbs ar jaunatni Ādažu novadā"</t>
  </si>
  <si>
    <t>18.6.2.20.</t>
  </si>
  <si>
    <t>10.1.12.</t>
  </si>
  <si>
    <t>Dotācijas Ukrainas pilsoņu atbalstam</t>
  </si>
  <si>
    <t>10.1.13.</t>
  </si>
  <si>
    <t>Dotācijas "Energoresursu atbalsts"</t>
  </si>
  <si>
    <t>18.6.2.6.1.</t>
  </si>
  <si>
    <t>10.1.14.</t>
  </si>
  <si>
    <t>Dotācija nodarbinātības pasākumiem</t>
  </si>
  <si>
    <t>0630</t>
  </si>
  <si>
    <t>18.6.2.9.; 18.6.2.6.1.</t>
  </si>
  <si>
    <t>10.1.15.</t>
  </si>
  <si>
    <t>pārējās dotācijas</t>
  </si>
  <si>
    <t>Projekts "Labklājības nozares un pašvaldību sociālās sfēras platformas "DigiSoc" izstrāde un ieviešana</t>
  </si>
  <si>
    <t>Dalība Zivju fonda projektā par videonovērošanas kameru iegādi. Realizē pašvaldības policija.</t>
  </si>
  <si>
    <t>10.2.</t>
  </si>
  <si>
    <t>ES struktūrfondu līdzekļi un aktivitāšu līdzfinansējumi</t>
  </si>
  <si>
    <t>0634</t>
  </si>
  <si>
    <t>18.6.3.6.</t>
  </si>
  <si>
    <t>10.2.1.</t>
  </si>
  <si>
    <t>Plūdu risku projekts</t>
  </si>
  <si>
    <t>0632.5</t>
  </si>
  <si>
    <t>10.2.2.</t>
  </si>
  <si>
    <t>TEP “Atjaunojamo energoresursu izmantošana Ādažu novadā” (EUCF)</t>
  </si>
  <si>
    <t xml:space="preserve">0631.4 </t>
  </si>
  <si>
    <t>10.2.3.</t>
  </si>
  <si>
    <t>Projekts “Infrastruktūras uzlabošana uzņēmējdarbības attīstībai Ādažos”</t>
  </si>
  <si>
    <t>0631.3</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</si>
  <si>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</si>
  <si>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</si>
  <si>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</si>
  <si>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</si>
  <si>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</si>
  <si>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</si>
  <si>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</si>
  <si>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</si>
  <si>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</si>
  <si>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</si>
  <si>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</si>
  <si>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</si>
  <si>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 xml:space="preserve">18.6.3.13. </t>
  </si>
  <si>
    <t>10.2.10.</t>
  </si>
  <si>
    <t>SAM 9.2.4.2. projekts "Pasākumi vietējās sabiedrības veselības veicināšanai Ādažu novadā"</t>
  </si>
  <si>
    <t>0634.1</t>
  </si>
  <si>
    <t>10.2.11.</t>
  </si>
  <si>
    <t>Jaunais plūdu projekts - 2.1.3.2. "Nacionālas nozīmes plūdu un krasta erozijas pasākumi" 1.daļa</t>
  </si>
  <si>
    <t>0631.2</t>
  </si>
  <si>
    <t>10.2.12.</t>
  </si>
  <si>
    <t>Krastupes ielas projekts</t>
  </si>
  <si>
    <t>10.2.13.</t>
  </si>
  <si>
    <t>EKII</t>
  </si>
  <si>
    <t>0903</t>
  </si>
  <si>
    <t>10.2.14.</t>
  </si>
  <si>
    <t>Jaunas pirmsskolas izglītības iestādes Podniekos būvniecība</t>
  </si>
  <si>
    <t>0932</t>
  </si>
  <si>
    <t>10.2.16.</t>
  </si>
  <si>
    <t>Projekts “Digitālā darba ar jaunatni sistēmas attīstība pašvaldībās”</t>
  </si>
  <si>
    <t>EUR 30'428 projekta “Digitālā darba ar jaunatni sistēmas attīstība pašvaldībās” ārfinansējums (0932).</t>
  </si>
  <si>
    <t xml:space="preserve">0633.1 </t>
  </si>
  <si>
    <t>10.2.17.</t>
  </si>
  <si>
    <t xml:space="preserve"> ”Mobilitātes punkta infrastruktūras izveidošana Rīgas metropoles areālā – “Carnikava””</t>
  </si>
  <si>
    <t>0633.2</t>
  </si>
  <si>
    <t>10.2.18.</t>
  </si>
  <si>
    <t>Maģistrālā  veloceļa izbūve Rīga-Carnikava</t>
  </si>
  <si>
    <t>10.2.20.</t>
  </si>
  <si>
    <t>"Blusu" kroga pārbūves tehniskā projekta izstrāde</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</si>
  <si>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</si>
  <si>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</si>
  <si>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</si>
  <si>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</si>
  <si>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</si>
  <si>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</si>
  <si>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</si>
  <si>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</si>
  <si>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</si>
  <si>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</si>
  <si>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</si>
  <si>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</si>
  <si>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</si>
  <si>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</si>
  <si>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</si>
  <si>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</si>
  <si>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</si>
  <si>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</si>
  <si>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</si>
  <si>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</si>
  <si>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</si>
  <si>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</si>
  <si>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</si>
  <si>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</si>
  <si>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</si>
  <si>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</si>
  <si>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 projekti</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</si>
  <si>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</si>
  <si>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</si>
  <si>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</si>
  <si>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</si>
  <si>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</si>
  <si>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</si>
  <si>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</si>
  <si>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</si>
  <si>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</si>
  <si>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</si>
  <si>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</si>
  <si>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</si>
  <si>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</si>
  <si>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</si>
  <si>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</si>
  <si>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</si>
  <si>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</si>
  <si>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</si>
  <si>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</si>
  <si>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</si>
  <si>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</si>
  <si>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</si>
  <si>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</si>
  <si>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</si>
  <si>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</si>
  <si>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</si>
  <si>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</si>
  <si>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</si>
  <si>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</si>
  <si>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</si>
  <si>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</si>
  <si>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</si>
  <si>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</si>
  <si>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</si>
  <si>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</si>
  <si>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</si>
  <si>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</si>
  <si>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</si>
  <si>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</si>
  <si>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</si>
  <si>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</si>
  <si>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</si>
  <si>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</si>
  <si>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</si>
  <si>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</si>
  <si>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</si>
  <si>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 xml:space="preserve">Dzirnupes ielas tilta pārbūve I kārta </t>
  </si>
  <si>
    <t>14.10.</t>
  </si>
  <si>
    <t>14.11.</t>
  </si>
  <si>
    <t>14.12.</t>
  </si>
  <si>
    <t>14.13.</t>
  </si>
  <si>
    <t>PAVISAM KOPĀ IEŅĒMUMI:</t>
  </si>
  <si>
    <t xml:space="preserve">Izdevumu daļa </t>
  </si>
  <si>
    <t>2024. gada budžets</t>
  </si>
  <si>
    <t>Izmaiņa 23.03.2023. - 26.01.2023.</t>
  </si>
  <si>
    <t>Komentāri</t>
  </si>
  <si>
    <t>Vispārējie valdības dienesti</t>
  </si>
  <si>
    <t>0110</t>
  </si>
  <si>
    <t>pārvalde</t>
  </si>
  <si>
    <t>Sporta centra POS termināla nomas maksas plānu pārcelt no pārvaldes tāmes uz Sporta centra tāmi (EUR 650)</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</si>
  <si>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</si>
  <si>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</si>
  <si>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</si>
  <si>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</si>
  <si>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</si>
  <si>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</si>
  <si>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</si>
  <si>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</si>
  <si>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</si>
  <si>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</si>
  <si>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</si>
  <si>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</si>
  <si>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</si>
  <si>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</si>
  <si>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</si>
  <si>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</si>
  <si>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</si>
  <si>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</si>
  <si>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</si>
  <si>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0170</t>
  </si>
  <si>
    <t>1.9.</t>
  </si>
  <si>
    <t>Informācijas tehnoloģiju nodaļa, vispārējas nozīmes dienestu darbība un pakalpojumi - datortīkla uzturēšana ©</t>
  </si>
  <si>
    <t>0340</t>
  </si>
  <si>
    <t>Sabiedriskā kārtība un drošība</t>
  </si>
  <si>
    <t>Ekonomiskā darbība</t>
  </si>
  <si>
    <t>0490</t>
  </si>
  <si>
    <t>Sabiedriskās attiecības, laikraksts</t>
  </si>
  <si>
    <t>3.1.1.</t>
  </si>
  <si>
    <t>Sabiedrisko attiecību nodaļa</t>
  </si>
  <si>
    <t>Papildus apjoms avīzes drukai, lai iekļautu pašvaldību vēlēšanu informāciju. Līdzekļus pārcelt no nodaļas plānotajiem reprezentācijas izdevumiem.</t>
  </si>
  <si>
    <t>3.1.2.</t>
  </si>
  <si>
    <t>Ādažu vēstis</t>
  </si>
  <si>
    <t>0420</t>
  </si>
  <si>
    <t>Autoceļu fonds</t>
  </si>
  <si>
    <t>Vides aizsardzība</t>
  </si>
  <si>
    <t>0510</t>
  </si>
  <si>
    <t>Dabas resursu nodokļa izlietojums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</si>
  <si>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</si>
  <si>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</si>
  <si>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</si>
  <si>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</si>
  <si>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</si>
  <si>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</si>
  <si>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</si>
  <si>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</si>
  <si>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</si>
  <si>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</si>
  <si>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</si>
  <si>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</si>
  <si>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</si>
  <si>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</si>
  <si>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</si>
  <si>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</si>
  <si>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EUR 2'000 no ekonomijas plānošanas programmas iegādei iniciatīvu projektu finansējuma palielinājumam.</t>
  </si>
  <si>
    <t>0630.1</t>
  </si>
  <si>
    <t>5.5.2.</t>
  </si>
  <si>
    <t>Projekts "Sabiedrība ar dvēseli"</t>
  </si>
  <si>
    <t>5.5.3.</t>
  </si>
  <si>
    <t>Iedzīvotāju iniciatīvas un konkursi.</t>
  </si>
  <si>
    <t>5.5.4.</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</si>
  <si>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</si>
  <si>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</si>
  <si>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</si>
  <si>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</si>
  <si>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</si>
  <si>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</si>
  <si>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</si>
  <si>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</si>
  <si>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</si>
  <si>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</si>
  <si>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</si>
  <si>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0631.5</t>
  </si>
  <si>
    <t>5.5.12.</t>
  </si>
  <si>
    <t>"Blusu" kroga pārbūves tehniskā projekta izstrāde.</t>
  </si>
  <si>
    <t>5.5.13.</t>
  </si>
  <si>
    <t>5.6.</t>
  </si>
  <si>
    <t>Objektu un teritorijas apsaimniekošana un uzturēšana</t>
  </si>
  <si>
    <t>0670</t>
  </si>
  <si>
    <t>5.6.1.</t>
  </si>
  <si>
    <t xml:space="preserve">Nekustamā īpašuma nodaļa </t>
  </si>
  <si>
    <t>5.6.2.</t>
  </si>
  <si>
    <t>SAM 5.1.1. Pretplūdu pasākumi Ādažu centra polderī, Ādažu novadā</t>
  </si>
  <si>
    <t>Pēdējais maksājums no KA izņemtais VK aizņēmums. Garantija netika saņemta, līdz ar to maksājums garantijas termiņa beigās. Novirzīts VK aizņēmuma atmaksai.</t>
  </si>
  <si>
    <t>5.6.3.</t>
  </si>
  <si>
    <t>5.6.4.</t>
  </si>
  <si>
    <t>P/A "Carnikavas komunālserviss" teritorijas un īpašumu apsaimniekošana</t>
  </si>
  <si>
    <t>5.6.4.1.</t>
  </si>
  <si>
    <t>Dotācija CKS teritorijas uzturēšanai</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</si>
  <si>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</si>
  <si>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EUR 5'070 no CKS plānotās dotācijas īpašumu apsaimniekošanai uz Teritorijas uzturēšanu (Dome) arboristu čempionāta līguma apmaksai, kas noslēgts ar Domi).</t>
  </si>
  <si>
    <t>5.6.4.2.</t>
  </si>
  <si>
    <t>Dotācija CKS ceļu uzturēšanai</t>
  </si>
  <si>
    <t>5.6.4.3.</t>
  </si>
  <si>
    <t>Teritorijas uzturēšana (Dome)</t>
  </si>
  <si>
    <t>5.6.5.</t>
  </si>
  <si>
    <t>Investīcijas energosaimniecības uzlabošanā</t>
  </si>
  <si>
    <t>5.6.6.</t>
  </si>
  <si>
    <t>Investīcijas vides pārvaldībā un uzlabošanā</t>
  </si>
  <si>
    <t>EUR 78'842 no Baltezera kapu atmežotās daļas ceļu un celiņu izveidošanai plānotajiem līdzekļiem novirzīt Ķiršu ielas pārbūves 4.kārtai</t>
  </si>
  <si>
    <t>5.6.7.</t>
  </si>
  <si>
    <t>Investīcijas ceļu, ielu infrastruktūras attīstībā un uzlabošanā</t>
  </si>
  <si>
    <t>5.6.10.</t>
  </si>
  <si>
    <t>Dzirnupes ielas tilta projekts, Carnikava</t>
  </si>
  <si>
    <t>5.6.11.</t>
  </si>
  <si>
    <t>Draudzības iela posmā no Saules ielai līdz Podnieku ielai ar ietvi 0.35km</t>
  </si>
  <si>
    <t>5.6.12.</t>
  </si>
  <si>
    <t>Attekas ielas turpinājums 0,5 km - projektēšana</t>
  </si>
  <si>
    <t>5.6.13.</t>
  </si>
  <si>
    <t xml:space="preserve">Apgaismes stabi Attekas ielas savienojumā no Ķiršu līdz Draudzības ielai. </t>
  </si>
  <si>
    <t>0633.6</t>
  </si>
  <si>
    <t>5.6.14.</t>
  </si>
  <si>
    <t>EKII projekts</t>
  </si>
  <si>
    <t>5.6.15.</t>
  </si>
  <si>
    <t>Kļavu ielā divkārtas virsmas apstrāde 0.35km</t>
  </si>
  <si>
    <t>0633.4</t>
  </si>
  <si>
    <t>5.6.16.</t>
  </si>
  <si>
    <t>Mežmalas ielas seguma vienkāršotā atjaunošana, 0.22km, Alderi</t>
  </si>
  <si>
    <t>Atpūta, kultūra un reliģija</t>
  </si>
  <si>
    <t>Kultūra</t>
  </si>
  <si>
    <t>0841.1</t>
  </si>
  <si>
    <t xml:space="preserve">Ādažu kultūras centrs </t>
  </si>
  <si>
    <t>0841.2</t>
  </si>
  <si>
    <t>Tautas nams "Ozolaine" ©</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</si>
  <si>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</si>
  <si>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</si>
  <si>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</si>
  <si>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</si>
  <si>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</si>
  <si>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</si>
  <si>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</si>
  <si>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</si>
  <si>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</si>
  <si>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</si>
  <si>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</si>
  <si>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</si>
  <si>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 xml:space="preserve">Ādažu bibliotēka </t>
  </si>
  <si>
    <t>0831</t>
  </si>
  <si>
    <t xml:space="preserve">Carnikavas bibliotēka </t>
  </si>
  <si>
    <t>6.4.</t>
  </si>
  <si>
    <t>Sporta daļa</t>
  </si>
  <si>
    <t>6.4.1.</t>
  </si>
  <si>
    <t>-  sporta funkcijas nodrošināšana</t>
  </si>
  <si>
    <t>Saskaņā ar lēmumprojektu par izmaiņām CKS struktūrā daļa tehnisko darbinieku (atalgojums) tiek pārcelts uz iestādes budžetu.</t>
  </si>
  <si>
    <t>6.4.2.</t>
  </si>
  <si>
    <t>- uzturēšanas izmaksas (CKS)</t>
  </si>
  <si>
    <t>1) EUR 14'715 no ekonomijas Sporta centra ventilācijas sistēmu tīrīšanas uz Ādažu vidusskolas siltināšanas procesā konstatēto papildus darbu veikšanai.
2) EUR 1'321 no ekonomijas Sporta centra ventilācijas sistēmu tīrīšanai uz Ādažu vidusskolu (karstā cirkulācijas sūkņa nomaiņai).</t>
  </si>
  <si>
    <t>0880</t>
  </si>
  <si>
    <t>6.5.</t>
  </si>
  <si>
    <t>Evaņģēliski luteriskās draudzes</t>
  </si>
  <si>
    <t>0843</t>
  </si>
  <si>
    <t>6.6.</t>
  </si>
  <si>
    <t>Multihalle</t>
  </si>
  <si>
    <t>Sociālā aizsardzība</t>
  </si>
  <si>
    <t>Sociālais dienests</t>
  </si>
  <si>
    <t>1010; 1010.3</t>
  </si>
  <si>
    <t>7.1.1.</t>
  </si>
  <si>
    <t xml:space="preserve">Sociālās funkcijas nodrošināšana </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</si>
  <si>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</si>
  <si>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</si>
  <si>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</si>
  <si>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</si>
  <si>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</si>
  <si>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</si>
  <si>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</si>
  <si>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</si>
  <si>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</si>
  <si>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</si>
  <si>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</si>
  <si>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</si>
  <si>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</si>
  <si>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</si>
  <si>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</si>
  <si>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</si>
  <si>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</si>
  <si>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</si>
  <si>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</si>
  <si>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</si>
  <si>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</si>
  <si>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</si>
  <si>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</si>
  <si>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</si>
  <si>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</si>
  <si>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</si>
  <si>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</si>
  <si>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</si>
  <si>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</si>
  <si>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</si>
  <si>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</si>
  <si>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</si>
  <si>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</si>
  <si>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</si>
  <si>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(0940.1)</t>
  </si>
  <si>
    <t>Norēķini ar pašvaldību budžetiem par izglītības iestāžu pakalpojumiem</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</si>
  <si>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</si>
  <si>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</si>
  <si>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</si>
  <si>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</si>
  <si>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</si>
  <si>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</si>
  <si>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</si>
  <si>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</si>
  <si>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</si>
  <si>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</si>
  <si>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</si>
  <si>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</si>
  <si>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</si>
  <si>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</si>
  <si>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</si>
  <si>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</si>
  <si>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</si>
  <si>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</si>
  <si>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</si>
  <si>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</si>
  <si>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</si>
  <si>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</si>
  <si>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</si>
  <si>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</si>
  <si>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</si>
  <si>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</si>
  <si>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</si>
  <si>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</si>
  <si>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</si>
  <si>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</si>
  <si>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</si>
  <si>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</si>
  <si>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</si>
  <si>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</si>
  <si>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</si>
  <si>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</si>
  <si>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</si>
  <si>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</si>
  <si>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</si>
  <si>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</si>
  <si>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</si>
  <si>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</si>
  <si>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</si>
  <si>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8.7.1.</t>
  </si>
  <si>
    <t>09821</t>
  </si>
  <si>
    <t>8.7.1.1.</t>
  </si>
  <si>
    <t>MD pedagogiem</t>
  </si>
  <si>
    <t>EUR 1'113 mērķdotācija no ĀVS uz CVSs, saskaņā ar 27.02.2025. lēmumu "Par mācību jomu koordinatoru darba nodrošināšanu".</t>
  </si>
  <si>
    <t>09821.1</t>
  </si>
  <si>
    <t>8.7.1.2.</t>
  </si>
  <si>
    <t>MD interešu izglītība</t>
  </si>
  <si>
    <t>8.7.1.3.</t>
  </si>
  <si>
    <t>MD mācību līdzekļiem</t>
  </si>
  <si>
    <t>8.7.2.</t>
  </si>
  <si>
    <t>ēdināšana (mērķdotācija)</t>
  </si>
  <si>
    <t>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</si>
  <si>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</si>
  <si>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</si>
  <si>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</si>
  <si>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</si>
  <si>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</si>
  <si>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</si>
  <si>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</si>
  <si>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</si>
  <si>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</si>
  <si>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8.7.7.</t>
  </si>
  <si>
    <t>mācību vides labiekārtošana</t>
  </si>
  <si>
    <t>8.8.</t>
  </si>
  <si>
    <t>Ādažu vidusskola</t>
  </si>
  <si>
    <t>8.8.1.</t>
  </si>
  <si>
    <t>0954</t>
  </si>
  <si>
    <t>8.8.1.1.</t>
  </si>
  <si>
    <t>EUR 1'113 mērķdotācija no ĀVS uz CVS, saskaņā ar 27.02.2025. lēmumu "Par mācību jomu koordinatoru darba nodrošināšanu".</t>
  </si>
  <si>
    <t>0954.1</t>
  </si>
  <si>
    <t>8.8.1.2.</t>
  </si>
  <si>
    <t>8.8.1.3.</t>
  </si>
  <si>
    <t>0950</t>
  </si>
  <si>
    <t>8.8.2.</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</si>
  <si>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</si>
  <si>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8.8.3.</t>
  </si>
  <si>
    <t>EUR 1'321 no ekonomijas Sporta centra ventilācijas sistēmu tīrīšanai uz Ādažu vidusskolu (karstā cirkulācijas sūkņa nomaiņai)</t>
  </si>
  <si>
    <t>0957</t>
  </si>
  <si>
    <t>8.8.4.</t>
  </si>
  <si>
    <t>projekts Erasmus+</t>
  </si>
  <si>
    <t>0951</t>
  </si>
  <si>
    <t>8.8.5.</t>
  </si>
  <si>
    <t>8.8.6.</t>
  </si>
  <si>
    <t>8.8.7.</t>
  </si>
  <si>
    <t>EUR 21 780 ĀVS D korpusa siltināšanai pārcelt uz ĀVS CKS-investīcijas (līgums ar SIA "US Arhitekti", par paskaidrojuma raksta izstrādi, noslēgts ar CKS) no EKK 5250 uz EKK 7230</t>
  </si>
  <si>
    <t>EUR 14'715 no ekonomijas Sporta centra ventilācijas sistēmu tīrīšanas uz Ādažu vidusskolas siltināšanas procesā konstatēto papildus darbu veikšanai.</t>
  </si>
  <si>
    <t>0981</t>
  </si>
  <si>
    <t>8.8.8.</t>
  </si>
  <si>
    <t>sākumskolas uzturēšanas izmaksas</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</si>
  <si>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</si>
  <si>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</si>
  <si>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</si>
  <si>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</si>
  <si>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</si>
  <si>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</si>
  <si>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</si>
  <si>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</si>
  <si>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</si>
  <si>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</si>
  <si>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</si>
  <si>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</si>
  <si>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</si>
  <si>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</si>
  <si>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</si>
  <si>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</si>
  <si>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</si>
  <si>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</si>
  <si>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</si>
  <si>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</si>
  <si>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</si>
  <si>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</si>
  <si>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</si>
  <si>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</si>
  <si>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</si>
  <si>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</si>
  <si>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</si>
  <si>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</si>
  <si>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</si>
  <si>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8.12.</t>
  </si>
  <si>
    <t>Līdzfinansējums skolēnu dalībai konkursos</t>
  </si>
  <si>
    <t>0931</t>
  </si>
  <si>
    <t>8.13.</t>
  </si>
  <si>
    <t xml:space="preserve">ESF projekts Atbalsts priekšlaicīgas mācību pārtraukšanas samazināšanai © </t>
  </si>
  <si>
    <t>KA</t>
  </si>
  <si>
    <t>8.14.</t>
  </si>
  <si>
    <t>ESF projekts Karjeras atbalsts vispārējās un profesionālās izglītības iestādēs ©</t>
  </si>
  <si>
    <t>0933</t>
  </si>
  <si>
    <t>8.15.</t>
  </si>
  <si>
    <t>Valsts finansējums projektu konkursā "Atbalsts jaunatnes politikas īstenošanai vietējā līmenī"  projekts "Mobilais darbs ar jaunatni Ādažu novadā"</t>
  </si>
  <si>
    <t>0904</t>
  </si>
  <si>
    <t>Teritorijas novērtēšana pirms būvprojekta izstrādes un būvprojekts jaunas pamatskolas izveidei Ādažu pilsētā</t>
  </si>
  <si>
    <t>0990</t>
  </si>
  <si>
    <t>Latvijas Skolu jaunatnes dziesmu un deju svētki</t>
  </si>
  <si>
    <t>8.18.</t>
  </si>
  <si>
    <t>VISA projekts "Atbalsts izglītojamo individuālo kompetenču attīstībai"</t>
  </si>
  <si>
    <t>0956</t>
  </si>
  <si>
    <t>8.18.1.</t>
  </si>
  <si>
    <t>Ādaži</t>
  </si>
  <si>
    <t>09824</t>
  </si>
  <si>
    <t>8.18.2</t>
  </si>
  <si>
    <t>Carnikava</t>
  </si>
  <si>
    <t>Ieguldījumi uzņēmumu pamatkapitālā</t>
  </si>
  <si>
    <t>9.1.</t>
  </si>
  <si>
    <t>SIA "Ādažu ūdens"</t>
  </si>
  <si>
    <t>9.2.</t>
  </si>
  <si>
    <t>SIA "Garkalnes ūdens"</t>
  </si>
  <si>
    <t>KOPĀ IZDEVUMI:</t>
  </si>
  <si>
    <t>Kredītu pamatsummas atmaksa</t>
  </si>
  <si>
    <t>PAVISAM KOPĀ IZDEVUMI:</t>
  </si>
  <si>
    <t>-</t>
  </si>
  <si>
    <t>Naudas līdzekļu atlikums uz gada beigām</t>
  </si>
  <si>
    <t>Precizēts pēc projekta naudas plūsmas</t>
  </si>
  <si>
    <t>Pēdējais maksājums no KA izņemtais VK aizņēmums. Garantija netika saņemta, līdz ar to maksājums garantijas termiņa beigās (2029.gadā). Novirzīts VK aizņēmuma atmaksai.</t>
  </si>
  <si>
    <t>1) Dalība Zivju fonda projektā par videonovērošanas kameru iegādi. Realizē pašvaldības policija.
2) Atbalsts Ukrainas un Latvijas bērnu nometnēm EUR 4'455</t>
  </si>
  <si>
    <t>Atbalsts Ukrainas un Latvijas bērnu nometnēm EUR 4'455</t>
  </si>
  <si>
    <t>EUR 8'000 pārcelts uz CKS ēkas nojaukšanai  Kalmju ielā 2</t>
  </si>
  <si>
    <t>1) EUR 5'070 no CKS plānotās dotācijas īpašumu apsaimniekošanai uz Teritorijas uzturēšanu (Dome) arboristu čempionāta līguma apmaksai, kas noslēgts ar Domi).
2) EUR 8'000 pārcelts uz CKS ēkas nojaukšanai  Kalmju ielā 2</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</si>
  <si>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</si>
  <si>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</si>
  <si>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</si>
  <si>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</si>
  <si>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</si>
  <si>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</si>
  <si>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</si>
  <si>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</si>
  <si>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</si>
  <si>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</si>
  <si>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</si>
  <si>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</si>
  <si>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</si>
  <si>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</si>
  <si>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</si>
  <si>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</si>
  <si>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</si>
  <si>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</si>
  <si>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Pavisam kopā</t>
  </si>
  <si>
    <t>2032 - 2053</t>
  </si>
  <si>
    <t>Kopsumma 2025 - 2053</t>
  </si>
  <si>
    <t>A</t>
  </si>
  <si>
    <t xml:space="preserve">Stabilizācijas aizdevums </t>
  </si>
  <si>
    <t>A2/1/11/107</t>
  </si>
  <si>
    <t>P-50/2011</t>
  </si>
  <si>
    <t>11.04.2011</t>
  </si>
  <si>
    <t>20.04.2036</t>
  </si>
  <si>
    <t>EUR</t>
  </si>
  <si>
    <t>Pamatsumma</t>
  </si>
  <si>
    <t>(1.kārtas 2.posms)</t>
  </si>
  <si>
    <t>12.04.</t>
  </si>
  <si>
    <t>Procentu maksa</t>
  </si>
  <si>
    <t>A2/1/11/549</t>
  </si>
  <si>
    <t>P-350/2011</t>
  </si>
  <si>
    <t>22.09.2011</t>
  </si>
  <si>
    <t>22.12.2031</t>
  </si>
  <si>
    <t>(1.kārtas 3.posms)</t>
  </si>
  <si>
    <t>22.09.</t>
  </si>
  <si>
    <t>ĀŪ</t>
  </si>
  <si>
    <t>Stabilizācijas aizdevums</t>
  </si>
  <si>
    <t>A2/1/12/328</t>
  </si>
  <si>
    <t>P-219/2012</t>
  </si>
  <si>
    <t>11.07.2012</t>
  </si>
  <si>
    <t>25.03.2032</t>
  </si>
  <si>
    <t>SIA "Ādažu ūdens" (2.kārta 1.posms)</t>
  </si>
  <si>
    <t>06.07.</t>
  </si>
  <si>
    <t>Gaujas ielas rekonstrukcija</t>
  </si>
  <si>
    <t>A2/1/17/301</t>
  </si>
  <si>
    <t>P-196/2017</t>
  </si>
  <si>
    <t>19.05.2017</t>
  </si>
  <si>
    <t>20.05.2032</t>
  </si>
  <si>
    <t xml:space="preserve"> (1.-3.kārta)</t>
  </si>
  <si>
    <t>18.05.</t>
  </si>
  <si>
    <t>A2/1/17/596</t>
  </si>
  <si>
    <t>P-450/2017</t>
  </si>
  <si>
    <t>21.08.2017</t>
  </si>
  <si>
    <t>20.08.2032</t>
  </si>
  <si>
    <t xml:space="preserve"> (4.kārta)</t>
  </si>
  <si>
    <t>18.08.</t>
  </si>
  <si>
    <t xml:space="preserve">Jaunās skolas būvniecība </t>
  </si>
  <si>
    <t>A2/1/18/123</t>
  </si>
  <si>
    <t>P-94/2018</t>
  </si>
  <si>
    <t>03.04.2018</t>
  </si>
  <si>
    <t>22.06.2048</t>
  </si>
  <si>
    <t>(1.-2. kārta)</t>
  </si>
  <si>
    <t>29.03.</t>
  </si>
  <si>
    <t>C</t>
  </si>
  <si>
    <t xml:space="preserve">ELFLA projekts pievadceļu attīstība </t>
  </si>
  <si>
    <t>A2/1/18/139</t>
  </si>
  <si>
    <t>P-109/2018</t>
  </si>
  <si>
    <t>05.04.2018</t>
  </si>
  <si>
    <t>22.03.2038</t>
  </si>
  <si>
    <t xml:space="preserve">lauksaimniecības uzņēmumiem </t>
  </si>
  <si>
    <t>30.01.</t>
  </si>
  <si>
    <t>Ceļu, ielu infrastruktūras programma</t>
  </si>
  <si>
    <t>A2/1/18/251</t>
  </si>
  <si>
    <t>P-205/2018</t>
  </si>
  <si>
    <t>28.05.2018</t>
  </si>
  <si>
    <t>20.05.2038</t>
  </si>
  <si>
    <t>(1.kārta)</t>
  </si>
  <si>
    <t>24.05.</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</si>
  <si>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</si>
  <si>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</si>
  <si>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</si>
  <si>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</si>
  <si>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</si>
  <si>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</si>
  <si>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</si>
  <si>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</si>
  <si>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</si>
  <si>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</si>
  <si>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</si>
  <si>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</si>
  <si>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</si>
  <si>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</si>
  <si>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</si>
  <si>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</si>
  <si>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</si>
  <si>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</si>
  <si>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</si>
  <si>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</si>
  <si>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t>
  </si>
  <si>
    <t>Izglītības iestāžu investīciju projekts -</t>
  </si>
  <si>
    <t>A2/1/18/529</t>
  </si>
  <si>
    <t>P-435/2018</t>
  </si>
  <si>
    <t>03.08.2018</t>
  </si>
  <si>
    <t>20.07.2048</t>
  </si>
  <si>
    <t xml:space="preserve"> Piejūras PII būvniecība</t>
  </si>
  <si>
    <t>01.08.</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</si>
  <si>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</si>
  <si>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</si>
  <si>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</si>
  <si>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</si>
  <si>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</si>
  <si>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</si>
  <si>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</si>
  <si>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</si>
  <si>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</si>
  <si>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t>
  </si>
  <si>
    <t xml:space="preserve">Ceļu, ielu infrastruktūras programma </t>
  </si>
  <si>
    <t>A2/1/18/643</t>
  </si>
  <si>
    <t>P-537/2018</t>
  </si>
  <si>
    <t>12.09.2018</t>
  </si>
  <si>
    <t>(3.kārta)</t>
  </si>
  <si>
    <t>11.09.</t>
  </si>
  <si>
    <t>Attekas ielas rekonstrukcija</t>
  </si>
  <si>
    <t>A2/1/18/644</t>
  </si>
  <si>
    <t>P-538/2018</t>
  </si>
  <si>
    <t>20.09.2033</t>
  </si>
  <si>
    <t>12.09.</t>
  </si>
  <si>
    <t>Muižas ielas rekonstrukcijai</t>
  </si>
  <si>
    <t>A2/1/18/711</t>
  </si>
  <si>
    <t>P-580/2018</t>
  </si>
  <si>
    <t>10.10.2018</t>
  </si>
  <si>
    <t>20.09.2028</t>
  </si>
  <si>
    <t>03.10.</t>
  </si>
  <si>
    <t>A2/1/18/777</t>
  </si>
  <si>
    <t>P-643/2018</t>
  </si>
  <si>
    <t>12.11.2018</t>
  </si>
  <si>
    <t>20.10.2038</t>
  </si>
  <si>
    <t>( 4.kārta)</t>
  </si>
  <si>
    <t>08.11.</t>
  </si>
  <si>
    <t xml:space="preserve">Prioritārais projekts Dambja būvniecība </t>
  </si>
  <si>
    <t>A2/1/18/818</t>
  </si>
  <si>
    <t>P-666/2018</t>
  </si>
  <si>
    <t>21.11.2018</t>
  </si>
  <si>
    <t>22.11.2038</t>
  </si>
  <si>
    <t xml:space="preserve">Valteru ielā </t>
  </si>
  <si>
    <t xml:space="preserve">Pārjaunojuma līgums </t>
  </si>
  <si>
    <t>A2/1/19/50</t>
  </si>
  <si>
    <t>PP-5/2019</t>
  </si>
  <si>
    <t>05.03.2019</t>
  </si>
  <si>
    <t>20.09.2035</t>
  </si>
  <si>
    <t>visiem līgumiem līdz 2015.gadam</t>
  </si>
  <si>
    <t>26.02.</t>
  </si>
  <si>
    <t>ELFLA Eimuru - Mangaļu poldera</t>
  </si>
  <si>
    <t>A2/1/19/57</t>
  </si>
  <si>
    <t>P-31/2019</t>
  </si>
  <si>
    <t>06.03.2019</t>
  </si>
  <si>
    <t>20.02.2029</t>
  </si>
  <si>
    <t xml:space="preserve"> meliorācijas grāvju atjaunošana Carnikavas novadā</t>
  </si>
  <si>
    <t>06.03.</t>
  </si>
  <si>
    <t xml:space="preserve">ERAF projekta SAM 3.3.1. Uzņēmējdarbības </t>
  </si>
  <si>
    <t>A2/1/19/225</t>
  </si>
  <si>
    <t>P-150/2019</t>
  </si>
  <si>
    <t>13.06.2019</t>
  </si>
  <si>
    <t>20.05.2049</t>
  </si>
  <si>
    <t>attīstībai nepieciešamās infrastruktūras Carnikavas novada Garciemā" īstenošanai</t>
  </si>
  <si>
    <t>06.06.</t>
  </si>
  <si>
    <t>SAM 4.2.2. ĀPII remontdarbi</t>
  </si>
  <si>
    <t>A2/1/19/370</t>
  </si>
  <si>
    <t>P-236/2019</t>
  </si>
  <si>
    <t>09.10.2019</t>
  </si>
  <si>
    <t>20.09.2034</t>
  </si>
  <si>
    <t>08.10.</t>
  </si>
  <si>
    <t>SAM 5.5.1. Kultūras objektu būvniecība</t>
  </si>
  <si>
    <t>A2/1/19/460</t>
  </si>
  <si>
    <t>P-292/2019</t>
  </si>
  <si>
    <t>11.12.2019</t>
  </si>
  <si>
    <t>21.11.2039</t>
  </si>
  <si>
    <t>06.12.</t>
  </si>
  <si>
    <t>Jaunās skolas būvniecība (3. kārta)</t>
  </si>
  <si>
    <t>A2/1/20/158</t>
  </si>
  <si>
    <t>P-119/2020</t>
  </si>
  <si>
    <t>29.04.2020</t>
  </si>
  <si>
    <t>20.04.2048</t>
  </si>
  <si>
    <t>29.04.</t>
  </si>
  <si>
    <t>Ataru ceļa rekonstrukcija</t>
  </si>
  <si>
    <t>A2/1/20/411</t>
  </si>
  <si>
    <t>P-177/2020</t>
  </si>
  <si>
    <t>08.07.2020</t>
  </si>
  <si>
    <t>20.06.2035</t>
  </si>
  <si>
    <t>08.07.</t>
  </si>
  <si>
    <t>KF projekts "Ūdenssaimniecības</t>
  </si>
  <si>
    <t>A2/1/20/675</t>
  </si>
  <si>
    <t>P-339/2020</t>
  </si>
  <si>
    <t>01.10.2020</t>
  </si>
  <si>
    <t>20.09.2050</t>
  </si>
  <si>
    <t xml:space="preserve"> pakalpojumu attīstība Carnikavā III kārta"</t>
  </si>
  <si>
    <t>01.10.</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</si>
  <si>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</si>
  <si>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</si>
  <si>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</si>
  <si>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</si>
  <si>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</si>
  <si>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</si>
  <si>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</si>
  <si>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</si>
  <si>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</si>
  <si>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</si>
  <si>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</si>
  <si>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</si>
  <si>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</si>
  <si>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</si>
  <si>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</si>
  <si>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</si>
  <si>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</si>
  <si>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</si>
  <si>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</si>
  <si>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t>
  </si>
  <si>
    <t>LAD  projekts koka laipu taka uz jūru</t>
  </si>
  <si>
    <t>A2/1/21/11</t>
  </si>
  <si>
    <t>P-3/2021</t>
  </si>
  <si>
    <t>20.01.2031</t>
  </si>
  <si>
    <t>Prioritārais projekts -</t>
  </si>
  <si>
    <t>A2/1/21/41</t>
  </si>
  <si>
    <t>P-10/2021</t>
  </si>
  <si>
    <t>24.02.2021</t>
  </si>
  <si>
    <t>20.02.2051</t>
  </si>
  <si>
    <t>PII Piejūra" būvniecība"</t>
  </si>
  <si>
    <t>24.02.</t>
  </si>
  <si>
    <t>PII Piejūra būvniecības pabeigšana</t>
  </si>
  <si>
    <t>A2/1/21/120</t>
  </si>
  <si>
    <t>P-69/2021</t>
  </si>
  <si>
    <t>08.04.2021</t>
  </si>
  <si>
    <t>20.03.2051</t>
  </si>
  <si>
    <t>08.04.</t>
  </si>
  <si>
    <t xml:space="preserve">Investīciju projektu īstenošanai </t>
  </si>
  <si>
    <t>A2/1/21/139</t>
  </si>
  <si>
    <t>PP-14/2021</t>
  </si>
  <si>
    <t>26.04.2021</t>
  </si>
  <si>
    <t>21.06.2038</t>
  </si>
  <si>
    <t>(saistību pārjaunojums)</t>
  </si>
  <si>
    <t>22.04.</t>
  </si>
  <si>
    <t>Stacijas ielas pārbūve</t>
  </si>
  <si>
    <t>A2/1/21/169</t>
  </si>
  <si>
    <t>P-89/2021</t>
  </si>
  <si>
    <t>30.04.2021</t>
  </si>
  <si>
    <t>20.04.2051</t>
  </si>
  <si>
    <t>30.04.</t>
  </si>
  <si>
    <t>Lielās ielas pārbūve</t>
  </si>
  <si>
    <t>A2/1/21/232</t>
  </si>
  <si>
    <t>P-163/2021</t>
  </si>
  <si>
    <t>27.05.2021</t>
  </si>
  <si>
    <t>20.05.2041</t>
  </si>
  <si>
    <t>27.05.</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</si>
  <si>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</si>
  <si>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</si>
  <si>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</si>
  <si>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</si>
  <si>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</si>
  <si>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</si>
  <si>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</si>
  <si>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</si>
  <si>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</si>
  <si>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</si>
  <si>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</si>
  <si>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</si>
  <si>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</si>
  <si>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</si>
  <si>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</si>
  <si>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</si>
  <si>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</si>
  <si>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</si>
  <si>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</si>
  <si>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</si>
  <si>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</si>
  <si>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</si>
  <si>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</si>
  <si>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</si>
  <si>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</si>
  <si>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</si>
  <si>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</si>
  <si>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</si>
  <si>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</si>
  <si>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t>
  </si>
  <si>
    <t xml:space="preserve">Laivu ielas (no Cēlāju ciema līdz jūrai Carnikavā) </t>
  </si>
  <si>
    <t>A2/1/22/15</t>
  </si>
  <si>
    <t>P-7/2022</t>
  </si>
  <si>
    <t>02.02.2022</t>
  </si>
  <si>
    <t>20.01.2037</t>
  </si>
  <si>
    <t>un tai piegulošā auto stāvlaukuma projektēšana un būvniecība</t>
  </si>
  <si>
    <t>02.02.</t>
  </si>
  <si>
    <t xml:space="preserve">SAM 5.1.1. Pretplūdu pasākumi </t>
  </si>
  <si>
    <t>A2/1/22/123</t>
  </si>
  <si>
    <t>P-70/2022</t>
  </si>
  <si>
    <t>31.05.2022</t>
  </si>
  <si>
    <t>20.05.2037</t>
  </si>
  <si>
    <t>Ādažu centra polderī</t>
  </si>
  <si>
    <t>31.05.</t>
  </si>
  <si>
    <t>Gaujas ielas gājēju celiņa izbūve</t>
  </si>
  <si>
    <t>A2/1/22/165</t>
  </si>
  <si>
    <t>P-112/2022</t>
  </si>
  <si>
    <t>04.07.2022</t>
  </si>
  <si>
    <t>21.06.2027</t>
  </si>
  <si>
    <t>04.07.</t>
  </si>
  <si>
    <t xml:space="preserve">Skolas ielas projektēšana izbūve - </t>
  </si>
  <si>
    <t>A2/1/22/239</t>
  </si>
  <si>
    <t>P-160/2022</t>
  </si>
  <si>
    <t>20.07.2022</t>
  </si>
  <si>
    <t>20.07.2027</t>
  </si>
  <si>
    <t>3.kārta</t>
  </si>
  <si>
    <t>20.07.</t>
  </si>
  <si>
    <t xml:space="preserve">Skolas siltināšana </t>
  </si>
  <si>
    <t>A2/1/22/250</t>
  </si>
  <si>
    <t>P-164/2022</t>
  </si>
  <si>
    <t>03.08.2022</t>
  </si>
  <si>
    <t>20.07.2032</t>
  </si>
  <si>
    <t>un stadiona rekonstrukcija</t>
  </si>
  <si>
    <t>03.08.</t>
  </si>
  <si>
    <t>Aizvēju ielas Garciemā,</t>
  </si>
  <si>
    <t>A2/1/22/265</t>
  </si>
  <si>
    <t>P-175/2022</t>
  </si>
  <si>
    <t>08.08.2022</t>
  </si>
  <si>
    <t>20.07.2029</t>
  </si>
  <si>
    <t xml:space="preserve"> dubultā virsmas apstrāde (2.daļa)</t>
  </si>
  <si>
    <t>08.08.</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</si>
  <si>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</si>
  <si>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</si>
  <si>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</si>
  <si>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</si>
  <si>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</si>
  <si>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</si>
  <si>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</si>
  <si>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</si>
  <si>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</si>
  <si>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</si>
  <si>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</si>
  <si>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</si>
  <si>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</si>
  <si>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</si>
  <si>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</si>
  <si>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</si>
  <si>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Carnikavas stadiona rekonstrukcija</t>
  </si>
  <si>
    <t>A2/1/23/156</t>
  </si>
  <si>
    <t>P-104/2023</t>
  </si>
  <si>
    <t>26.06.2023</t>
  </si>
  <si>
    <t xml:space="preserve"> (Prioritārais 2023.g.)</t>
  </si>
  <si>
    <t>26.06.</t>
  </si>
  <si>
    <t xml:space="preserve">Ķiršu ielas III kārta </t>
  </si>
  <si>
    <t>A2/1/23/290</t>
  </si>
  <si>
    <t>P-222/2023</t>
  </si>
  <si>
    <t>20.07.2033</t>
  </si>
  <si>
    <t>no Saules ielas līdz Attekas ielai 0.17km</t>
  </si>
  <si>
    <t>21.08.</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</si>
  <si>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</si>
  <si>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</si>
  <si>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</si>
  <si>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</si>
  <si>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</si>
  <si>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</si>
  <si>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</si>
  <si>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</si>
  <si>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26.09.</t>
  </si>
  <si>
    <t>A2/1/24/291</t>
  </si>
  <si>
    <t>P-269/2024</t>
  </si>
  <si>
    <t>20.11.</t>
  </si>
  <si>
    <t xml:space="preserve"> ”Mobilitātes punkta infrastruktūras izveidošana </t>
  </si>
  <si>
    <t>Plānots</t>
  </si>
  <si>
    <t>Rīgas metropoles areālā – “Carnikava””</t>
  </si>
  <si>
    <t xml:space="preserve">PII Podnieki </t>
  </si>
  <si>
    <t>Krastupes iela</t>
  </si>
  <si>
    <t>Ādažu vidusskolās āra lifta izbūve pie A korpusa</t>
  </si>
  <si>
    <t>Skolas ielas rekonstrukcija</t>
  </si>
  <si>
    <t>Dzirnupes tilts</t>
  </si>
  <si>
    <t>Aizņēmumi kopā:</t>
  </si>
  <si>
    <t>Citas ilgtermiņa saistības.</t>
  </si>
  <si>
    <t>Saistību mērķis</t>
  </si>
  <si>
    <t>Līguma Nr.</t>
  </si>
  <si>
    <t>Trānčes Nr.</t>
  </si>
  <si>
    <t>Aizņēmuma summa</t>
  </si>
  <si>
    <t>Galvojums SIA "Ādažu ūdens"</t>
  </si>
  <si>
    <t>G/17/209</t>
  </si>
  <si>
    <t>G/22/70</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</si>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</sst>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 _€_-;\-* #,##0.00\ _€_-;_-* &quot;-&quot;??\ _€_-;_-@_-"/>
    <numFmt numFmtId="166" formatCode="_-* #,##0.000_-;\-* #,##0.000_-;_-* &quot;-&quot;??_-;_-@_-"/>
    <numFmt numFmtId="167" formatCode="0.0%"/>
  </numFmts>
  <fonts count="53" x14ac:knownFonts="1">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theme="9" tint="-0.249977111117893"/>
      <name val="Times New Roman"/>
      <family val="1"/>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theme="9" tint="-0.249977111117893"/>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theme="9" tint="-0.249977111117893"/>
      <name val="Times New Roman"/>
      <family val="1"/>
      <charset val="186"/>
    </font>
    <font>
      <sz val="11"/>
      <color rgb="FF7030A0"/>
      <name val="Times New Roman"/>
      <family val="1"/>
      <charset val="186"/>
    </font>
    <font>
      <sz val="11"/>
      <color indexed="10"/>
      <name val="Times New Roman"/>
      <family val="1"/>
      <charset val="186"/>
    </font>
    <font>
      <i/>
      <sz val="11"/>
      <name val="Times New Roman"/>
      <family val="1"/>
      <charset val="186"/>
    </font>
    <font>
      <i/>
      <sz val="11"/>
      <color theme="9" tint="-0.249977111117893"/>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11"/>
      <color rgb="FFFF0000"/>
      <name val="Times New Roman"/>
      <family val="1"/>
      <charset val="186"/>
    </font>
    <font>
      <b/>
      <sz val="9"/>
      <color indexed="81"/>
      <name val="Tahoma"/>
      <family val="2"/>
      <charset val="186"/>
    </font>
    <font>
      <sz val="9"/>
      <color indexed="81"/>
      <name val="Tahoma"/>
      <family val="2"/>
      <charset val="186"/>
    </font>
    <font>
      <sz val="11"/>
      <color rgb="FFFF0000"/>
      <name val="Calibri"/>
      <family val="2"/>
      <charset val="186"/>
      <scheme val="minor"/>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rgb="FF7030A0"/>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8"/>
      <name val="Arial"/>
      <family val="2"/>
      <charset val="186"/>
    </font>
    <font>
      <sz val="11"/>
      <color theme="9" tint="-0.249977111117893"/>
      <name val="Calibri"/>
      <family val="2"/>
      <charset val="186"/>
      <scheme val="minor"/>
    </font>
    <font>
      <sz val="10"/>
      <color theme="9" tint="-0.249977111117893"/>
      <name val="Arial"/>
      <family val="2"/>
      <charset val="186"/>
    </font>
    <font>
      <i/>
      <sz val="11"/>
      <name val="Calibri"/>
      <family val="2"/>
      <charset val="186"/>
      <scheme val="minor"/>
    </font>
    <font>
      <b/>
      <i/>
      <sz val="11"/>
      <name val="Calibri"/>
      <family val="2"/>
      <charset val="186"/>
      <scheme val="minor"/>
    </font>
    <font>
      <sz val="10"/>
      <color rgb="FFFF0000"/>
      <name val="Calibri"/>
      <family val="2"/>
      <charset val="186"/>
      <scheme val="minor"/>
    </font>
  </fonts>
  <fills count="18">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3">
    <xf numFmtId="0" fontId="0" fillId="0" borderId="0"/>
    <xf numFmtId="43" fontId="5"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0" borderId="0"/>
    <xf numFmtId="9" fontId="7" fillId="0" borderId="0" applyFont="0" applyFill="0" applyBorder="0" applyAlignment="0" applyProtection="0"/>
    <xf numFmtId="0" fontId="7" fillId="0" borderId="0"/>
    <xf numFmtId="0" fontId="1" fillId="0" borderId="0"/>
    <xf numFmtId="0" fontId="13" fillId="0" borderId="0"/>
    <xf numFmtId="43" fontId="13" fillId="0" borderId="0" applyFill="0" applyBorder="0" applyAlignment="0" applyProtection="0"/>
  </cellStyleXfs>
  <cellXfs count="387">
    <xf numFmtId="0" fontId="0" fillId="0" borderId="0" xfId="0"/>
    <xf numFmtId="0" fontId="2" fillId="0" borderId="0" xfId="2" applyFont="1"/>
    <xf numFmtId="0" fontId="3" fillId="0" borderId="0" xfId="3" applyFont="1"/>
    <xf numFmtId="0" fontId="4" fillId="0" borderId="0" xfId="3" applyFont="1"/>
    <xf numFmtId="0" fontId="2" fillId="0" borderId="0" xfId="2" applyFont="1" applyAlignment="1">
      <alignment wrapText="1"/>
    </xf>
    <xf numFmtId="3" fontId="2" fillId="0" borderId="0" xfId="2" applyNumberFormat="1" applyFont="1"/>
    <xf numFmtId="164" fontId="2" fillId="0" borderId="0" xfId="1" applyNumberFormat="1" applyFont="1" applyAlignment="1">
      <alignment wrapText="1"/>
    </xf>
    <xf numFmtId="164" fontId="6" fillId="0" borderId="0" xfId="1" applyNumberFormat="1" applyFont="1" applyAlignment="1">
      <alignment wrapText="1"/>
    </xf>
    <xf numFmtId="9" fontId="2" fillId="0" borderId="0" xfId="4" applyFont="1" applyAlignment="1">
      <alignment wrapText="1"/>
    </xf>
    <xf numFmtId="164" fontId="2" fillId="0" borderId="0" xfId="1" applyNumberFormat="1" applyFont="1"/>
    <xf numFmtId="164" fontId="6" fillId="0" borderId="0" xfId="1" applyNumberFormat="1" applyFont="1"/>
    <xf numFmtId="1" fontId="2" fillId="0" borderId="0" xfId="4" applyNumberFormat="1" applyFont="1" applyFill="1"/>
    <xf numFmtId="164" fontId="10" fillId="0" borderId="0" xfId="5" applyNumberFormat="1" applyFont="1"/>
    <xf numFmtId="164" fontId="10" fillId="0" borderId="0" xfId="1" applyNumberFormat="1" applyFont="1"/>
    <xf numFmtId="164" fontId="11" fillId="0" borderId="0" xfId="1" applyNumberFormat="1" applyFont="1"/>
    <xf numFmtId="9" fontId="2" fillId="0" borderId="0" xfId="4" applyFont="1"/>
    <xf numFmtId="0" fontId="12" fillId="0" borderId="0" xfId="6"/>
    <xf numFmtId="0" fontId="10" fillId="0" borderId="1" xfId="2" applyFont="1" applyBorder="1" applyAlignment="1">
      <alignment horizontal="center" vertical="center"/>
    </xf>
    <xf numFmtId="0" fontId="10" fillId="0" borderId="2" xfId="2" applyFont="1" applyBorder="1" applyAlignment="1">
      <alignment horizontal="center" vertical="center" wrapText="1"/>
    </xf>
    <xf numFmtId="0" fontId="10" fillId="0" borderId="3" xfId="7"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1" fillId="0" borderId="3" xfId="1" applyNumberFormat="1" applyFont="1" applyBorder="1" applyAlignment="1">
      <alignment horizontal="center" vertical="center" wrapText="1"/>
    </xf>
    <xf numFmtId="9" fontId="10" fillId="0" borderId="3" xfId="4" applyFont="1" applyBorder="1" applyAlignment="1">
      <alignment horizontal="center" vertical="center" wrapText="1"/>
    </xf>
    <xf numFmtId="0" fontId="10" fillId="2" borderId="4" xfId="2" applyFont="1" applyFill="1" applyBorder="1"/>
    <xf numFmtId="0" fontId="10" fillId="2" borderId="5" xfId="2" applyFont="1" applyFill="1" applyBorder="1" applyAlignment="1">
      <alignment wrapText="1"/>
    </xf>
    <xf numFmtId="164" fontId="10" fillId="2" borderId="6" xfId="1" applyNumberFormat="1" applyFont="1" applyFill="1" applyBorder="1"/>
    <xf numFmtId="164" fontId="11" fillId="2" borderId="6" xfId="1" applyNumberFormat="1" applyFont="1" applyFill="1" applyBorder="1"/>
    <xf numFmtId="3" fontId="10" fillId="2" borderId="6" xfId="2" applyNumberFormat="1" applyFont="1" applyFill="1" applyBorder="1"/>
    <xf numFmtId="9" fontId="2" fillId="2" borderId="6" xfId="4" applyFont="1" applyFill="1" applyBorder="1" applyAlignment="1">
      <alignment wrapText="1"/>
    </xf>
    <xf numFmtId="0" fontId="10" fillId="3" borderId="4" xfId="2" quotePrefix="1" applyFont="1" applyFill="1" applyBorder="1"/>
    <xf numFmtId="0" fontId="10" fillId="3" borderId="5" xfId="2" applyFont="1" applyFill="1" applyBorder="1" applyAlignment="1">
      <alignment wrapText="1"/>
    </xf>
    <xf numFmtId="3" fontId="10" fillId="3" borderId="6" xfId="2" applyNumberFormat="1" applyFont="1" applyFill="1" applyBorder="1"/>
    <xf numFmtId="164" fontId="10" fillId="3" borderId="6" xfId="1" applyNumberFormat="1" applyFont="1" applyFill="1" applyBorder="1"/>
    <xf numFmtId="164" fontId="11" fillId="3" borderId="6" xfId="1" applyNumberFormat="1" applyFont="1" applyFill="1" applyBorder="1"/>
    <xf numFmtId="9" fontId="10" fillId="3" borderId="6" xfId="4" applyFont="1" applyFill="1" applyBorder="1"/>
    <xf numFmtId="0" fontId="14" fillId="0" borderId="0" xfId="2" applyFont="1"/>
    <xf numFmtId="0" fontId="2" fillId="0" borderId="7" xfId="2" applyFont="1" applyBorder="1" applyAlignment="1">
      <alignment horizontal="left" indent="1"/>
    </xf>
    <xf numFmtId="0" fontId="2" fillId="0" borderId="8" xfId="2" applyFont="1" applyBorder="1" applyAlignment="1">
      <alignment horizontal="left" wrapText="1" indent="2"/>
    </xf>
    <xf numFmtId="3" fontId="2" fillId="0" borderId="9" xfId="2" applyNumberFormat="1" applyFont="1" applyBorder="1"/>
    <xf numFmtId="164" fontId="2" fillId="0" borderId="9" xfId="1" applyNumberFormat="1" applyFont="1" applyBorder="1"/>
    <xf numFmtId="9" fontId="2" fillId="0" borderId="9" xfId="4" applyFont="1" applyFill="1" applyBorder="1"/>
    <xf numFmtId="9" fontId="2" fillId="0" borderId="9" xfId="4" applyFont="1" applyFill="1" applyBorder="1" applyAlignment="1">
      <alignment wrapText="1"/>
    </xf>
    <xf numFmtId="0" fontId="10" fillId="3" borderId="7" xfId="2" applyFont="1" applyFill="1" applyBorder="1"/>
    <xf numFmtId="0" fontId="10" fillId="3" borderId="8" xfId="2" applyFont="1" applyFill="1" applyBorder="1" applyAlignment="1">
      <alignment wrapText="1"/>
    </xf>
    <xf numFmtId="3" fontId="10" fillId="3" borderId="9" xfId="2" applyNumberFormat="1" applyFont="1" applyFill="1" applyBorder="1"/>
    <xf numFmtId="164" fontId="10" fillId="3" borderId="9" xfId="1" applyNumberFormat="1" applyFont="1" applyFill="1" applyBorder="1"/>
    <xf numFmtId="164" fontId="11" fillId="3" borderId="9" xfId="1" applyNumberFormat="1" applyFont="1" applyFill="1" applyBorder="1"/>
    <xf numFmtId="9" fontId="10" fillId="3" borderId="9" xfId="4" applyFont="1" applyFill="1" applyBorder="1"/>
    <xf numFmtId="164" fontId="6" fillId="0" borderId="9" xfId="1" applyNumberFormat="1" applyFont="1" applyBorder="1"/>
    <xf numFmtId="9" fontId="2" fillId="0" borderId="9" xfId="4" applyFont="1" applyBorder="1"/>
    <xf numFmtId="9" fontId="2" fillId="0" borderId="10" xfId="4" applyFont="1" applyFill="1" applyBorder="1"/>
    <xf numFmtId="0" fontId="1" fillId="0" borderId="0" xfId="2"/>
    <xf numFmtId="9" fontId="2" fillId="0" borderId="10" xfId="4" applyFont="1" applyFill="1" applyBorder="1" applyAlignment="1">
      <alignment wrapText="1"/>
    </xf>
    <xf numFmtId="0" fontId="15" fillId="0" borderId="7" xfId="2" applyFont="1" applyBorder="1" applyAlignment="1">
      <alignment horizontal="left" indent="2"/>
    </xf>
    <xf numFmtId="0" fontId="15" fillId="0" borderId="8" xfId="2" applyFont="1" applyBorder="1" applyAlignment="1">
      <alignment horizontal="left" wrapText="1" indent="3"/>
    </xf>
    <xf numFmtId="0" fontId="14" fillId="0" borderId="0" xfId="2" quotePrefix="1" applyFont="1"/>
    <xf numFmtId="9" fontId="2" fillId="3" borderId="9" xfId="4" applyFont="1" applyFill="1" applyBorder="1" applyAlignment="1">
      <alignment wrapText="1"/>
    </xf>
    <xf numFmtId="0" fontId="2" fillId="4" borderId="8" xfId="2" applyFont="1" applyFill="1" applyBorder="1" applyAlignment="1">
      <alignment horizontal="left" wrapText="1" indent="2"/>
    </xf>
    <xf numFmtId="0" fontId="10" fillId="3" borderId="7" xfId="2" quotePrefix="1" applyFont="1" applyFill="1" applyBorder="1"/>
    <xf numFmtId="0" fontId="2" fillId="2" borderId="7" xfId="2" applyFont="1" applyFill="1" applyBorder="1" applyAlignment="1">
      <alignment horizontal="left" indent="1"/>
    </xf>
    <xf numFmtId="0" fontId="2" fillId="2" borderId="8" xfId="2" applyFont="1" applyFill="1" applyBorder="1" applyAlignment="1">
      <alignment horizontal="left" wrapText="1" indent="2"/>
    </xf>
    <xf numFmtId="3" fontId="2" fillId="2" borderId="9" xfId="2" applyNumberFormat="1" applyFont="1" applyFill="1" applyBorder="1"/>
    <xf numFmtId="164" fontId="2" fillId="2" borderId="9" xfId="1" applyNumberFormat="1" applyFont="1" applyFill="1" applyBorder="1"/>
    <xf numFmtId="164" fontId="6" fillId="5" borderId="9" xfId="1" applyNumberFormat="1" applyFont="1" applyFill="1" applyBorder="1"/>
    <xf numFmtId="164" fontId="2" fillId="5" borderId="9" xfId="1" applyNumberFormat="1" applyFont="1" applyFill="1" applyBorder="1"/>
    <xf numFmtId="3" fontId="2" fillId="5" borderId="9" xfId="2" applyNumberFormat="1" applyFont="1" applyFill="1" applyBorder="1"/>
    <xf numFmtId="3" fontId="6" fillId="0" borderId="9" xfId="2" applyNumberFormat="1" applyFont="1" applyBorder="1"/>
    <xf numFmtId="3" fontId="2" fillId="7" borderId="9" xfId="2" applyNumberFormat="1" applyFont="1" applyFill="1" applyBorder="1"/>
    <xf numFmtId="164" fontId="2" fillId="7" borderId="9" xfId="1" applyNumberFormat="1" applyFont="1" applyFill="1" applyBorder="1"/>
    <xf numFmtId="164" fontId="6" fillId="7" borderId="9" xfId="1" applyNumberFormat="1" applyFont="1" applyFill="1" applyBorder="1"/>
    <xf numFmtId="3" fontId="2" fillId="7" borderId="9" xfId="2" applyNumberFormat="1" applyFont="1" applyFill="1" applyBorder="1" applyAlignment="1">
      <alignment wrapText="1"/>
    </xf>
    <xf numFmtId="3" fontId="15" fillId="8" borderId="9" xfId="2" applyNumberFormat="1" applyFont="1" applyFill="1" applyBorder="1"/>
    <xf numFmtId="164" fontId="15" fillId="8" borderId="9" xfId="1" applyNumberFormat="1" applyFont="1" applyFill="1" applyBorder="1"/>
    <xf numFmtId="164" fontId="16" fillId="8" borderId="9" xfId="1" applyNumberFormat="1" applyFont="1" applyFill="1" applyBorder="1"/>
    <xf numFmtId="9" fontId="15" fillId="8" borderId="9" xfId="4" applyFont="1" applyFill="1" applyBorder="1" applyAlignment="1">
      <alignment wrapText="1"/>
    </xf>
    <xf numFmtId="0" fontId="15" fillId="0" borderId="0" xfId="2" applyFont="1"/>
    <xf numFmtId="0" fontId="2" fillId="0" borderId="0" xfId="2" quotePrefix="1" applyFont="1"/>
    <xf numFmtId="0" fontId="2" fillId="9" borderId="8" xfId="2" applyFont="1" applyFill="1" applyBorder="1" applyAlignment="1">
      <alignment horizontal="left" wrapText="1" indent="2"/>
    </xf>
    <xf numFmtId="164" fontId="2" fillId="0" borderId="9" xfId="1" applyNumberFormat="1" applyFont="1" applyFill="1" applyBorder="1"/>
    <xf numFmtId="0" fontId="2" fillId="0" borderId="8" xfId="2" applyFont="1" applyBorder="1" applyAlignment="1">
      <alignment horizontal="left" wrapText="1" indent="3"/>
    </xf>
    <xf numFmtId="9" fontId="2" fillId="10" borderId="9" xfId="4" applyFont="1" applyFill="1" applyBorder="1" applyAlignment="1">
      <alignment wrapText="1"/>
    </xf>
    <xf numFmtId="164" fontId="6" fillId="2" borderId="9" xfId="1" applyNumberFormat="1" applyFont="1" applyFill="1" applyBorder="1"/>
    <xf numFmtId="9" fontId="2" fillId="2" borderId="9" xfId="4" applyFont="1" applyFill="1" applyBorder="1" applyAlignment="1">
      <alignment wrapText="1"/>
    </xf>
    <xf numFmtId="0" fontId="8" fillId="0" borderId="0" xfId="2" applyFont="1"/>
    <xf numFmtId="9" fontId="2" fillId="0" borderId="13" xfId="4" applyFont="1" applyFill="1" applyBorder="1"/>
    <xf numFmtId="0" fontId="1" fillId="0" borderId="0" xfId="2" quotePrefix="1"/>
    <xf numFmtId="9" fontId="2" fillId="0" borderId="13" xfId="4" applyFont="1" applyFill="1" applyBorder="1" applyAlignment="1">
      <alignment wrapText="1"/>
    </xf>
    <xf numFmtId="164" fontId="10" fillId="3" borderId="9" xfId="4" applyNumberFormat="1" applyFont="1" applyFill="1" applyBorder="1"/>
    <xf numFmtId="0" fontId="2" fillId="4" borderId="7" xfId="2" applyFont="1" applyFill="1" applyBorder="1" applyAlignment="1">
      <alignment horizontal="left" indent="2"/>
    </xf>
    <xf numFmtId="0" fontId="2" fillId="4" borderId="8" xfId="2" applyFont="1" applyFill="1" applyBorder="1" applyAlignment="1">
      <alignment horizontal="left" wrapText="1" indent="3"/>
    </xf>
    <xf numFmtId="1" fontId="2" fillId="0" borderId="9" xfId="4" applyNumberFormat="1" applyFont="1" applyFill="1" applyBorder="1"/>
    <xf numFmtId="0" fontId="8" fillId="0" borderId="0" xfId="2" quotePrefix="1" applyFont="1"/>
    <xf numFmtId="0" fontId="10" fillId="0" borderId="14" xfId="2" applyFont="1" applyBorder="1"/>
    <xf numFmtId="0" fontId="10" fillId="0" borderId="15" xfId="2" applyFont="1" applyBorder="1" applyAlignment="1">
      <alignment horizontal="right" wrapText="1"/>
    </xf>
    <xf numFmtId="3" fontId="10" fillId="0" borderId="3" xfId="2" applyNumberFormat="1" applyFont="1" applyBorder="1"/>
    <xf numFmtId="164" fontId="10" fillId="0" borderId="3" xfId="1" applyNumberFormat="1" applyFont="1" applyBorder="1"/>
    <xf numFmtId="164" fontId="11" fillId="0" borderId="3" xfId="1" applyNumberFormat="1" applyFont="1" applyBorder="1"/>
    <xf numFmtId="9" fontId="10" fillId="0" borderId="3" xfId="4" applyFont="1" applyBorder="1"/>
    <xf numFmtId="0" fontId="10" fillId="0" borderId="16" xfId="2" quotePrefix="1" applyFont="1" applyBorder="1"/>
    <xf numFmtId="0" fontId="10" fillId="0" borderId="17" xfId="2" applyFont="1" applyBorder="1" applyAlignment="1">
      <alignment wrapText="1"/>
    </xf>
    <xf numFmtId="3" fontId="10" fillId="0" borderId="18" xfId="2" applyNumberFormat="1" applyFont="1" applyBorder="1"/>
    <xf numFmtId="164" fontId="10" fillId="0" borderId="18" xfId="1" applyNumberFormat="1" applyFont="1" applyBorder="1"/>
    <xf numFmtId="164" fontId="11" fillId="0" borderId="18" xfId="1" applyNumberFormat="1" applyFont="1" applyBorder="1"/>
    <xf numFmtId="9" fontId="10" fillId="0" borderId="18" xfId="4" applyFont="1" applyFill="1" applyBorder="1"/>
    <xf numFmtId="0" fontId="10" fillId="3" borderId="19" xfId="2" applyFont="1" applyFill="1" applyBorder="1" applyAlignment="1">
      <alignment wrapText="1"/>
    </xf>
    <xf numFmtId="164" fontId="10" fillId="3" borderId="13" xfId="1" applyNumberFormat="1" applyFont="1" applyFill="1" applyBorder="1"/>
    <xf numFmtId="164" fontId="11" fillId="3" borderId="13" xfId="1" applyNumberFormat="1" applyFont="1" applyFill="1" applyBorder="1"/>
    <xf numFmtId="49" fontId="2" fillId="0" borderId="19" xfId="2" applyNumberFormat="1" applyFont="1" applyBorder="1" applyAlignment="1">
      <alignment horizontal="left" wrapText="1" indent="4"/>
    </xf>
    <xf numFmtId="164" fontId="2" fillId="0" borderId="13" xfId="1" applyNumberFormat="1" applyFont="1" applyBorder="1"/>
    <xf numFmtId="164" fontId="6" fillId="0" borderId="10" xfId="1" applyNumberFormat="1" applyFont="1" applyBorder="1"/>
    <xf numFmtId="164" fontId="2" fillId="12" borderId="9" xfId="1" applyNumberFormat="1" applyFont="1" applyFill="1" applyBorder="1"/>
    <xf numFmtId="3" fontId="2" fillId="0" borderId="19" xfId="2" applyNumberFormat="1" applyFont="1" applyBorder="1"/>
    <xf numFmtId="164" fontId="2" fillId="0" borderId="10" xfId="1" applyNumberFormat="1" applyFont="1" applyBorder="1"/>
    <xf numFmtId="49" fontId="2" fillId="0" borderId="8" xfId="2" applyNumberFormat="1" applyFont="1" applyBorder="1" applyAlignment="1">
      <alignment horizontal="left" wrapText="1" indent="4"/>
    </xf>
    <xf numFmtId="164" fontId="2" fillId="0" borderId="20" xfId="1" applyNumberFormat="1" applyFont="1" applyBorder="1"/>
    <xf numFmtId="164" fontId="2" fillId="12" borderId="10" xfId="1" applyNumberFormat="1" applyFont="1" applyFill="1" applyBorder="1"/>
    <xf numFmtId="3" fontId="2" fillId="0" borderId="21" xfId="2" applyNumberFormat="1" applyFont="1" applyBorder="1"/>
    <xf numFmtId="164" fontId="2" fillId="12" borderId="13" xfId="1" applyNumberFormat="1" applyFont="1" applyFill="1" applyBorder="1"/>
    <xf numFmtId="9" fontId="2" fillId="0" borderId="6" xfId="4" applyFont="1" applyFill="1" applyBorder="1"/>
    <xf numFmtId="0" fontId="2" fillId="4" borderId="22" xfId="2" applyFont="1" applyFill="1" applyBorder="1" applyAlignment="1">
      <alignment horizontal="left" indent="2"/>
    </xf>
    <xf numFmtId="3" fontId="2" fillId="0" borderId="23" xfId="2" applyNumberFormat="1" applyFont="1" applyBorder="1"/>
    <xf numFmtId="49" fontId="2" fillId="0" borderId="20" xfId="2" applyNumberFormat="1" applyFont="1" applyBorder="1" applyAlignment="1">
      <alignment horizontal="left" wrapText="1" indent="4"/>
    </xf>
    <xf numFmtId="0" fontId="10" fillId="0" borderId="24" xfId="2" applyFont="1" applyBorder="1"/>
    <xf numFmtId="0" fontId="10" fillId="0" borderId="25" xfId="2" applyFont="1" applyBorder="1" applyAlignment="1">
      <alignment horizontal="right" wrapText="1"/>
    </xf>
    <xf numFmtId="9" fontId="10" fillId="0" borderId="18" xfId="4" applyFont="1" applyBorder="1"/>
    <xf numFmtId="0" fontId="10" fillId="0" borderId="0" xfId="2" applyFont="1"/>
    <xf numFmtId="10" fontId="2" fillId="0" borderId="0" xfId="8" applyNumberFormat="1" applyFont="1"/>
    <xf numFmtId="49" fontId="10" fillId="3" borderId="26" xfId="2" applyNumberFormat="1" applyFont="1" applyFill="1" applyBorder="1" applyAlignment="1">
      <alignment horizontal="left" indent="2"/>
    </xf>
    <xf numFmtId="49" fontId="10" fillId="3" borderId="27" xfId="2" applyNumberFormat="1" applyFont="1" applyFill="1" applyBorder="1" applyAlignment="1">
      <alignment wrapText="1"/>
    </xf>
    <xf numFmtId="3" fontId="10" fillId="3" borderId="28" xfId="2" applyNumberFormat="1" applyFont="1" applyFill="1" applyBorder="1"/>
    <xf numFmtId="164" fontId="10" fillId="3" borderId="28" xfId="1" applyNumberFormat="1" applyFont="1" applyFill="1" applyBorder="1"/>
    <xf numFmtId="164" fontId="11" fillId="3" borderId="28" xfId="1" applyNumberFormat="1" applyFont="1" applyFill="1" applyBorder="1"/>
    <xf numFmtId="9" fontId="10" fillId="3" borderId="28" xfId="4" applyFont="1" applyFill="1" applyBorder="1"/>
    <xf numFmtId="49" fontId="2" fillId="2" borderId="7" xfId="2" applyNumberFormat="1" applyFont="1" applyFill="1" applyBorder="1" applyAlignment="1">
      <alignment horizontal="left" indent="1"/>
    </xf>
    <xf numFmtId="49" fontId="2" fillId="2" borderId="8" xfId="2" applyNumberFormat="1" applyFont="1" applyFill="1" applyBorder="1" applyAlignment="1">
      <alignment horizontal="left" wrapText="1" indent="2"/>
    </xf>
    <xf numFmtId="164" fontId="17" fillId="2" borderId="9" xfId="1" applyNumberFormat="1" applyFont="1" applyFill="1" applyBorder="1"/>
    <xf numFmtId="9" fontId="2" fillId="2" borderId="9" xfId="4" applyFont="1" applyFill="1" applyBorder="1"/>
    <xf numFmtId="49" fontId="10" fillId="3" borderId="7" xfId="2" applyNumberFormat="1" applyFont="1" applyFill="1" applyBorder="1"/>
    <xf numFmtId="49" fontId="10" fillId="3" borderId="8" xfId="2" applyNumberFormat="1" applyFont="1" applyFill="1" applyBorder="1" applyAlignment="1">
      <alignment wrapText="1"/>
    </xf>
    <xf numFmtId="0" fontId="18" fillId="0" borderId="0" xfId="2" applyFont="1"/>
    <xf numFmtId="49" fontId="2" fillId="0" borderId="7" xfId="2" applyNumberFormat="1" applyFont="1" applyBorder="1" applyAlignment="1">
      <alignment horizontal="left" indent="2"/>
    </xf>
    <xf numFmtId="49" fontId="2" fillId="0" borderId="8" xfId="2" applyNumberFormat="1" applyFont="1" applyBorder="1" applyAlignment="1">
      <alignment horizontal="left" wrapText="1" indent="2"/>
    </xf>
    <xf numFmtId="49" fontId="10" fillId="2" borderId="8" xfId="2" applyNumberFormat="1" applyFont="1" applyFill="1" applyBorder="1" applyAlignment="1">
      <alignment horizontal="left" wrapText="1" indent="2"/>
    </xf>
    <xf numFmtId="3" fontId="10" fillId="2" borderId="9" xfId="2" applyNumberFormat="1" applyFont="1" applyFill="1" applyBorder="1"/>
    <xf numFmtId="164" fontId="10" fillId="2" borderId="9" xfId="1" applyNumberFormat="1" applyFont="1" applyFill="1" applyBorder="1"/>
    <xf numFmtId="164" fontId="11" fillId="2" borderId="9" xfId="1" applyNumberFormat="1" applyFont="1" applyFill="1" applyBorder="1"/>
    <xf numFmtId="9" fontId="2" fillId="0" borderId="9" xfId="4" applyFont="1" applyBorder="1" applyAlignment="1">
      <alignment wrapText="1"/>
    </xf>
    <xf numFmtId="49" fontId="2" fillId="13" borderId="7" xfId="2" applyNumberFormat="1" applyFont="1" applyFill="1" applyBorder="1" applyAlignment="1">
      <alignment horizontal="left" indent="2"/>
    </xf>
    <xf numFmtId="0" fontId="2" fillId="10" borderId="8" xfId="2" applyFont="1" applyFill="1" applyBorder="1" applyAlignment="1">
      <alignment horizontal="left" wrapText="1" indent="3"/>
    </xf>
    <xf numFmtId="9" fontId="10" fillId="2" borderId="9" xfId="4" applyFont="1" applyFill="1" applyBorder="1"/>
    <xf numFmtId="9" fontId="2" fillId="0" borderId="12" xfId="4" applyFont="1" applyBorder="1" applyAlignment="1">
      <alignment wrapText="1"/>
    </xf>
    <xf numFmtId="164" fontId="6" fillId="11" borderId="9" xfId="1" applyNumberFormat="1" applyFont="1" applyFill="1" applyBorder="1"/>
    <xf numFmtId="164" fontId="2" fillId="11" borderId="9" xfId="1" applyNumberFormat="1" applyFont="1" applyFill="1" applyBorder="1"/>
    <xf numFmtId="3" fontId="2" fillId="6" borderId="9" xfId="2" applyNumberFormat="1" applyFont="1" applyFill="1" applyBorder="1"/>
    <xf numFmtId="0" fontId="19" fillId="0" borderId="0" xfId="2" quotePrefix="1" applyFont="1"/>
    <xf numFmtId="49" fontId="19" fillId="0" borderId="7" xfId="2" applyNumberFormat="1" applyFont="1" applyBorder="1" applyAlignment="1">
      <alignment horizontal="left" indent="3"/>
    </xf>
    <xf numFmtId="0" fontId="19" fillId="10" borderId="8" xfId="2" applyFont="1" applyFill="1" applyBorder="1" applyAlignment="1">
      <alignment horizontal="left" wrapText="1" indent="6"/>
    </xf>
    <xf numFmtId="164" fontId="20" fillId="11" borderId="9" xfId="1" applyNumberFormat="1" applyFont="1" applyFill="1" applyBorder="1"/>
    <xf numFmtId="164" fontId="19" fillId="11" borderId="9" xfId="1" applyNumberFormat="1" applyFont="1" applyFill="1" applyBorder="1"/>
    <xf numFmtId="3" fontId="19" fillId="6" borderId="9" xfId="2" applyNumberFormat="1" applyFont="1" applyFill="1" applyBorder="1"/>
    <xf numFmtId="9" fontId="19" fillId="0" borderId="9" xfId="4" applyFont="1" applyBorder="1" applyAlignment="1">
      <alignment wrapText="1"/>
    </xf>
    <xf numFmtId="3" fontId="19" fillId="0" borderId="9" xfId="2" applyNumberFormat="1" applyFont="1" applyBorder="1"/>
    <xf numFmtId="0" fontId="19" fillId="0" borderId="0" xfId="2" applyFont="1"/>
    <xf numFmtId="3" fontId="2" fillId="10" borderId="9" xfId="2" applyNumberFormat="1" applyFont="1" applyFill="1" applyBorder="1"/>
    <xf numFmtId="3" fontId="11" fillId="3" borderId="9" xfId="2" applyNumberFormat="1" applyFont="1" applyFill="1" applyBorder="1"/>
    <xf numFmtId="164" fontId="6" fillId="0" borderId="9" xfId="1" applyNumberFormat="1" applyFont="1" applyFill="1" applyBorder="1"/>
    <xf numFmtId="9" fontId="19" fillId="0" borderId="9" xfId="4" applyFont="1" applyFill="1" applyBorder="1" applyAlignment="1">
      <alignment wrapText="1"/>
    </xf>
    <xf numFmtId="49" fontId="2" fillId="13" borderId="7" xfId="2" applyNumberFormat="1" applyFont="1" applyFill="1" applyBorder="1" applyAlignment="1">
      <alignment horizontal="left" indent="1"/>
    </xf>
    <xf numFmtId="49" fontId="8" fillId="2" borderId="8" xfId="2" applyNumberFormat="1" applyFont="1" applyFill="1" applyBorder="1" applyAlignment="1">
      <alignment horizontal="left" wrapText="1" indent="2"/>
    </xf>
    <xf numFmtId="9" fontId="19" fillId="6" borderId="9" xfId="4" applyFont="1" applyFill="1" applyBorder="1" applyAlignment="1">
      <alignment wrapText="1"/>
    </xf>
    <xf numFmtId="9" fontId="19" fillId="2" borderId="9" xfId="4" applyFont="1" applyFill="1" applyBorder="1" applyAlignment="1">
      <alignment wrapText="1"/>
    </xf>
    <xf numFmtId="0" fontId="2" fillId="10" borderId="8" xfId="2" applyFont="1" applyFill="1" applyBorder="1" applyAlignment="1">
      <alignment horizontal="left" indent="2"/>
    </xf>
    <xf numFmtId="9" fontId="2" fillId="0" borderId="12" xfId="4" applyFont="1" applyFill="1" applyBorder="1" applyAlignment="1">
      <alignment wrapText="1"/>
    </xf>
    <xf numFmtId="3" fontId="6" fillId="2" borderId="9" xfId="2" applyNumberFormat="1" applyFont="1" applyFill="1" applyBorder="1"/>
    <xf numFmtId="0" fontId="14" fillId="10" borderId="0" xfId="2" applyFont="1" applyFill="1"/>
    <xf numFmtId="0" fontId="2" fillId="10" borderId="29" xfId="2" applyFont="1" applyFill="1" applyBorder="1" applyAlignment="1">
      <alignment horizontal="left" indent="3"/>
    </xf>
    <xf numFmtId="164" fontId="2" fillId="10" borderId="9" xfId="1" applyNumberFormat="1" applyFont="1" applyFill="1" applyBorder="1"/>
    <xf numFmtId="164" fontId="6" fillId="10" borderId="9" xfId="1" applyNumberFormat="1" applyFont="1" applyFill="1" applyBorder="1"/>
    <xf numFmtId="0" fontId="14" fillId="10" borderId="0" xfId="2" applyFont="1" applyFill="1" applyAlignment="1">
      <alignment wrapText="1"/>
    </xf>
    <xf numFmtId="9" fontId="2" fillId="10" borderId="9" xfId="4" applyFont="1" applyFill="1" applyBorder="1"/>
    <xf numFmtId="0" fontId="14" fillId="10" borderId="8" xfId="2" applyFont="1" applyFill="1" applyBorder="1" applyAlignment="1">
      <alignment horizontal="left" indent="2"/>
    </xf>
    <xf numFmtId="0" fontId="14" fillId="0" borderId="8" xfId="2" applyFont="1" applyBorder="1" applyAlignment="1">
      <alignment horizontal="left" indent="2"/>
    </xf>
    <xf numFmtId="0" fontId="2" fillId="0" borderId="29" xfId="2" applyFont="1" applyBorder="1" applyAlignment="1">
      <alignment horizontal="left" indent="3"/>
    </xf>
    <xf numFmtId="0" fontId="14" fillId="13" borderId="8" xfId="2" applyFont="1" applyFill="1" applyBorder="1" applyAlignment="1">
      <alignment horizontal="left" indent="2"/>
    </xf>
    <xf numFmtId="0" fontId="2" fillId="0" borderId="0" xfId="2" applyFont="1" applyAlignment="1">
      <alignment horizontal="right"/>
    </xf>
    <xf numFmtId="3" fontId="2" fillId="4" borderId="9" xfId="2" applyNumberFormat="1" applyFont="1" applyFill="1" applyBorder="1"/>
    <xf numFmtId="164" fontId="2" fillId="4" borderId="9" xfId="1" applyNumberFormat="1" applyFont="1" applyFill="1" applyBorder="1"/>
    <xf numFmtId="164" fontId="6" fillId="4" borderId="9" xfId="1" applyNumberFormat="1" applyFont="1" applyFill="1" applyBorder="1"/>
    <xf numFmtId="9" fontId="2" fillId="0" borderId="11" xfId="4" applyFont="1" applyFill="1" applyBorder="1" applyAlignment="1">
      <alignment wrapText="1"/>
    </xf>
    <xf numFmtId="0" fontId="2" fillId="4" borderId="0" xfId="2" quotePrefix="1" applyFont="1" applyFill="1"/>
    <xf numFmtId="0" fontId="2" fillId="4" borderId="0" xfId="2" applyFont="1" applyFill="1"/>
    <xf numFmtId="49" fontId="2" fillId="4" borderId="7" xfId="2" applyNumberFormat="1" applyFont="1" applyFill="1" applyBorder="1" applyAlignment="1">
      <alignment horizontal="left" indent="2"/>
    </xf>
    <xf numFmtId="49" fontId="2" fillId="4" borderId="8" xfId="2" applyNumberFormat="1" applyFont="1" applyFill="1" applyBorder="1" applyAlignment="1">
      <alignment horizontal="left" wrapText="1" indent="4"/>
    </xf>
    <xf numFmtId="0" fontId="21" fillId="0" borderId="0" xfId="2" quotePrefix="1" applyFont="1"/>
    <xf numFmtId="164" fontId="19" fillId="0" borderId="9" xfId="1" applyNumberFormat="1" applyFont="1" applyBorder="1"/>
    <xf numFmtId="164" fontId="20" fillId="0" borderId="9" xfId="1" applyNumberFormat="1" applyFont="1" applyBorder="1"/>
    <xf numFmtId="0" fontId="21" fillId="0" borderId="0" xfId="2" applyFont="1"/>
    <xf numFmtId="3" fontId="11" fillId="2" borderId="9" xfId="2" applyNumberFormat="1" applyFont="1" applyFill="1" applyBorder="1"/>
    <xf numFmtId="0" fontId="22" fillId="0" borderId="0" xfId="2" applyFont="1"/>
    <xf numFmtId="9" fontId="8" fillId="6" borderId="9" xfId="4" applyFont="1" applyFill="1" applyBorder="1" applyAlignment="1">
      <alignment wrapText="1"/>
    </xf>
    <xf numFmtId="0" fontId="22" fillId="0" borderId="0" xfId="2" quotePrefix="1" applyFont="1"/>
    <xf numFmtId="49" fontId="10" fillId="0" borderId="7" xfId="2" applyNumberFormat="1" applyFont="1" applyBorder="1" applyAlignment="1">
      <alignment horizontal="left" indent="2"/>
    </xf>
    <xf numFmtId="49" fontId="10" fillId="0" borderId="8" xfId="2" applyNumberFormat="1" applyFont="1" applyBorder="1" applyAlignment="1">
      <alignment horizontal="left" wrapText="1" indent="4"/>
    </xf>
    <xf numFmtId="3" fontId="10" fillId="0" borderId="9" xfId="2" applyNumberFormat="1" applyFont="1" applyBorder="1"/>
    <xf numFmtId="164" fontId="10" fillId="0" borderId="9" xfId="1" applyNumberFormat="1" applyFont="1" applyBorder="1"/>
    <xf numFmtId="164" fontId="11" fillId="0" borderId="9" xfId="1" applyNumberFormat="1" applyFont="1" applyBorder="1"/>
    <xf numFmtId="0" fontId="23" fillId="0" borderId="0" xfId="2" applyFont="1"/>
    <xf numFmtId="49" fontId="2" fillId="0" borderId="7" xfId="2" applyNumberFormat="1" applyFont="1" applyBorder="1" applyAlignment="1">
      <alignment horizontal="left" indent="3"/>
    </xf>
    <xf numFmtId="49" fontId="10" fillId="2" borderId="7" xfId="2" applyNumberFormat="1" applyFont="1" applyFill="1" applyBorder="1" applyAlignment="1">
      <alignment horizontal="left" indent="1"/>
    </xf>
    <xf numFmtId="9" fontId="15" fillId="0" borderId="9" xfId="4" applyFont="1" applyFill="1" applyBorder="1" applyAlignment="1">
      <alignment wrapText="1"/>
    </xf>
    <xf numFmtId="49" fontId="24" fillId="2" borderId="7" xfId="2" applyNumberFormat="1" applyFont="1" applyFill="1" applyBorder="1" applyAlignment="1">
      <alignment horizontal="left" indent="1"/>
    </xf>
    <xf numFmtId="49" fontId="25" fillId="2" borderId="8" xfId="2" applyNumberFormat="1" applyFont="1" applyFill="1" applyBorder="1" applyAlignment="1">
      <alignment horizontal="left" wrapText="1" indent="2"/>
    </xf>
    <xf numFmtId="0" fontId="10" fillId="0" borderId="0" xfId="2" quotePrefix="1" applyFont="1"/>
    <xf numFmtId="49" fontId="10" fillId="0" borderId="14" xfId="2" applyNumberFormat="1" applyFont="1" applyBorder="1"/>
    <xf numFmtId="49" fontId="10" fillId="0" borderId="15" xfId="2" applyNumberFormat="1" applyFont="1" applyBorder="1" applyAlignment="1">
      <alignment horizontal="right" wrapText="1"/>
    </xf>
    <xf numFmtId="3" fontId="10" fillId="0" borderId="30" xfId="2" applyNumberFormat="1" applyFont="1" applyBorder="1"/>
    <xf numFmtId="164" fontId="10" fillId="0" borderId="30" xfId="1" applyNumberFormat="1" applyFont="1" applyBorder="1"/>
    <xf numFmtId="3" fontId="11" fillId="0" borderId="30" xfId="2" applyNumberFormat="1" applyFont="1" applyBorder="1"/>
    <xf numFmtId="49" fontId="2" fillId="3" borderId="8" xfId="2" applyNumberFormat="1" applyFont="1" applyFill="1" applyBorder="1" applyAlignment="1">
      <alignment wrapText="1"/>
    </xf>
    <xf numFmtId="3" fontId="10" fillId="0" borderId="31" xfId="2" applyNumberFormat="1" applyFont="1" applyBorder="1"/>
    <xf numFmtId="164" fontId="10" fillId="0" borderId="31" xfId="1" applyNumberFormat="1" applyFont="1" applyBorder="1"/>
    <xf numFmtId="164" fontId="11" fillId="0" borderId="31" xfId="1" applyNumberFormat="1" applyFont="1" applyBorder="1"/>
    <xf numFmtId="9" fontId="2" fillId="0" borderId="31" xfId="4" applyFont="1" applyBorder="1"/>
    <xf numFmtId="49" fontId="10" fillId="3" borderId="32" xfId="2" applyNumberFormat="1" applyFont="1" applyFill="1" applyBorder="1" applyAlignment="1">
      <alignment horizontal="center"/>
    </xf>
    <xf numFmtId="49" fontId="10" fillId="3" borderId="33" xfId="2" applyNumberFormat="1" applyFont="1" applyFill="1" applyBorder="1" applyAlignment="1">
      <alignment wrapText="1"/>
    </xf>
    <xf numFmtId="3" fontId="10" fillId="3" borderId="34" xfId="2" applyNumberFormat="1" applyFont="1" applyFill="1" applyBorder="1"/>
    <xf numFmtId="164" fontId="10" fillId="3" borderId="34" xfId="1" applyNumberFormat="1" applyFont="1" applyFill="1" applyBorder="1"/>
    <xf numFmtId="164" fontId="11" fillId="3" borderId="34" xfId="1" applyNumberFormat="1" applyFont="1" applyFill="1" applyBorder="1"/>
    <xf numFmtId="9" fontId="10" fillId="3" borderId="34" xfId="4" applyFont="1" applyFill="1" applyBorder="1"/>
    <xf numFmtId="9" fontId="2" fillId="0" borderId="0" xfId="4" applyFont="1" applyAlignment="1">
      <alignment horizontal="right"/>
    </xf>
    <xf numFmtId="0" fontId="29" fillId="0" borderId="0" xfId="9" applyFont="1"/>
    <xf numFmtId="0" fontId="30" fillId="0" borderId="0" xfId="10" applyFont="1"/>
    <xf numFmtId="0" fontId="31" fillId="0" borderId="0" xfId="9" applyFont="1"/>
    <xf numFmtId="0" fontId="32" fillId="0" borderId="0" xfId="9" applyFont="1"/>
    <xf numFmtId="0" fontId="32" fillId="0" borderId="0" xfId="9" applyFont="1" applyAlignment="1">
      <alignment horizontal="center"/>
    </xf>
    <xf numFmtId="165" fontId="29" fillId="0" borderId="0" xfId="9" applyNumberFormat="1" applyFont="1"/>
    <xf numFmtId="164" fontId="29" fillId="0" borderId="0" xfId="9" applyNumberFormat="1" applyFont="1"/>
    <xf numFmtId="0" fontId="33" fillId="0" borderId="0" xfId="11" applyFont="1"/>
    <xf numFmtId="164" fontId="32" fillId="0" borderId="0" xfId="9" applyNumberFormat="1" applyFont="1" applyAlignment="1">
      <alignment horizontal="center"/>
    </xf>
    <xf numFmtId="0" fontId="34" fillId="0" borderId="0" xfId="11" applyFont="1"/>
    <xf numFmtId="0" fontId="35" fillId="7" borderId="0" xfId="9" applyFont="1" applyFill="1"/>
    <xf numFmtId="1" fontId="29" fillId="0" borderId="0" xfId="9" applyNumberFormat="1" applyFont="1"/>
    <xf numFmtId="0" fontId="29" fillId="0" borderId="0" xfId="9" applyFont="1" applyAlignment="1">
      <alignment horizontal="center" vertical="center"/>
    </xf>
    <xf numFmtId="0" fontId="36" fillId="14" borderId="19" xfId="9" applyFont="1" applyFill="1" applyBorder="1" applyAlignment="1">
      <alignment horizontal="center" vertical="center"/>
    </xf>
    <xf numFmtId="0" fontId="36" fillId="14" borderId="8" xfId="9" applyFont="1" applyFill="1" applyBorder="1" applyAlignment="1">
      <alignment horizontal="center" vertical="center" wrapText="1"/>
    </xf>
    <xf numFmtId="0" fontId="36" fillId="14" borderId="8" xfId="9" applyFont="1" applyFill="1" applyBorder="1" applyAlignment="1">
      <alignment horizontal="center" vertical="center"/>
    </xf>
    <xf numFmtId="0" fontId="35" fillId="14" borderId="8" xfId="9" applyFont="1" applyFill="1" applyBorder="1" applyAlignment="1">
      <alignment horizontal="center" vertical="center" wrapText="1"/>
    </xf>
    <xf numFmtId="0" fontId="32" fillId="14" borderId="8" xfId="9" applyFont="1" applyFill="1" applyBorder="1" applyAlignment="1">
      <alignment horizontal="center" vertical="center" wrapText="1"/>
    </xf>
    <xf numFmtId="0" fontId="35" fillId="14" borderId="19" xfId="9" applyFont="1" applyFill="1" applyBorder="1" applyAlignment="1">
      <alignment horizontal="center" vertical="center" wrapText="1"/>
    </xf>
    <xf numFmtId="0" fontId="29" fillId="0" borderId="35" xfId="9" applyFont="1" applyBorder="1" applyAlignment="1">
      <alignment horizontal="center" vertical="center"/>
    </xf>
    <xf numFmtId="0" fontId="36" fillId="0" borderId="0" xfId="9" applyFont="1"/>
    <xf numFmtId="0" fontId="36" fillId="0" borderId="35" xfId="9" applyFont="1" applyBorder="1"/>
    <xf numFmtId="0" fontId="37" fillId="0" borderId="36" xfId="9" applyFont="1" applyBorder="1"/>
    <xf numFmtId="0" fontId="37" fillId="0" borderId="35" xfId="9" applyFont="1" applyBorder="1"/>
    <xf numFmtId="0" fontId="38" fillId="0" borderId="35" xfId="9" applyFont="1" applyBorder="1"/>
    <xf numFmtId="0" fontId="39" fillId="0" borderId="35" xfId="9" applyFont="1" applyBorder="1"/>
    <xf numFmtId="164" fontId="38" fillId="0" borderId="35" xfId="12" applyNumberFormat="1" applyFont="1" applyBorder="1"/>
    <xf numFmtId="164" fontId="34" fillId="0" borderId="35" xfId="12" applyNumberFormat="1" applyFont="1" applyBorder="1"/>
    <xf numFmtId="166" fontId="34" fillId="0" borderId="35" xfId="12" applyNumberFormat="1" applyFont="1" applyBorder="1"/>
    <xf numFmtId="164" fontId="34" fillId="0" borderId="37" xfId="12" applyNumberFormat="1" applyFont="1" applyBorder="1"/>
    <xf numFmtId="164" fontId="40" fillId="15" borderId="37" xfId="12" applyNumberFormat="1" applyFont="1" applyFill="1" applyBorder="1"/>
    <xf numFmtId="164" fontId="39" fillId="0" borderId="0" xfId="9" applyNumberFormat="1" applyFont="1"/>
    <xf numFmtId="164" fontId="34" fillId="0" borderId="36" xfId="12" applyNumberFormat="1" applyFont="1" applyBorder="1"/>
    <xf numFmtId="164" fontId="34" fillId="15" borderId="37" xfId="12" applyNumberFormat="1" applyFont="1" applyFill="1" applyBorder="1"/>
    <xf numFmtId="164" fontId="36" fillId="0" borderId="0" xfId="9" applyNumberFormat="1" applyFont="1"/>
    <xf numFmtId="0" fontId="29" fillId="0" borderId="38" xfId="9" applyFont="1" applyBorder="1"/>
    <xf numFmtId="0" fontId="39" fillId="0" borderId="39" xfId="9" applyFont="1" applyBorder="1"/>
    <xf numFmtId="0" fontId="37" fillId="0" borderId="38" xfId="9" applyFont="1" applyBorder="1"/>
    <xf numFmtId="0" fontId="38" fillId="0" borderId="38" xfId="9" applyFont="1" applyBorder="1"/>
    <xf numFmtId="0" fontId="39" fillId="0" borderId="38" xfId="9" applyFont="1" applyBorder="1"/>
    <xf numFmtId="164" fontId="38" fillId="0" borderId="38" xfId="12" applyNumberFormat="1" applyFont="1" applyBorder="1"/>
    <xf numFmtId="166" fontId="38" fillId="0" borderId="38" xfId="12" applyNumberFormat="1" applyFont="1" applyBorder="1"/>
    <xf numFmtId="166" fontId="38" fillId="13" borderId="38" xfId="12" applyNumberFormat="1" applyFont="1" applyFill="1" applyBorder="1"/>
    <xf numFmtId="164" fontId="38" fillId="0" borderId="5" xfId="12" applyNumberFormat="1" applyFont="1" applyBorder="1"/>
    <xf numFmtId="164" fontId="41" fillId="15" borderId="5" xfId="12" applyNumberFormat="1" applyFont="1" applyFill="1" applyBorder="1"/>
    <xf numFmtId="164" fontId="38" fillId="0" borderId="39" xfId="12" applyNumberFormat="1" applyFont="1" applyBorder="1"/>
    <xf numFmtId="164" fontId="38" fillId="15" borderId="5" xfId="12" applyNumberFormat="1" applyFont="1" applyFill="1" applyBorder="1"/>
    <xf numFmtId="164" fontId="38" fillId="0" borderId="38" xfId="12" applyNumberFormat="1" applyFont="1" applyFill="1" applyBorder="1"/>
    <xf numFmtId="166" fontId="38" fillId="0" borderId="38" xfId="12" applyNumberFormat="1" applyFont="1" applyFill="1" applyBorder="1"/>
    <xf numFmtId="0" fontId="35" fillId="0" borderId="35" xfId="9" applyFont="1" applyBorder="1"/>
    <xf numFmtId="0" fontId="34" fillId="0" borderId="36" xfId="9" applyFont="1" applyBorder="1"/>
    <xf numFmtId="0" fontId="34" fillId="0" borderId="35" xfId="9" applyFont="1" applyBorder="1"/>
    <xf numFmtId="164" fontId="38" fillId="0" borderId="0" xfId="9" applyNumberFormat="1" applyFont="1"/>
    <xf numFmtId="0" fontId="35" fillId="0" borderId="0" xfId="9" applyFont="1"/>
    <xf numFmtId="0" fontId="31" fillId="0" borderId="38" xfId="9" applyFont="1" applyBorder="1"/>
    <xf numFmtId="0" fontId="38" fillId="0" borderId="39" xfId="9" applyFont="1" applyBorder="1"/>
    <xf numFmtId="0" fontId="34" fillId="0" borderId="38" xfId="9" applyFont="1" applyBorder="1"/>
    <xf numFmtId="166" fontId="34" fillId="0" borderId="35" xfId="12" applyNumberFormat="1" applyFont="1" applyFill="1" applyBorder="1"/>
    <xf numFmtId="164" fontId="34" fillId="0" borderId="35" xfId="12" applyNumberFormat="1" applyFont="1" applyFill="1" applyBorder="1"/>
    <xf numFmtId="14" fontId="38" fillId="0" borderId="35" xfId="9" applyNumberFormat="1" applyFont="1" applyBorder="1"/>
    <xf numFmtId="164" fontId="38" fillId="0" borderId="35" xfId="12" applyNumberFormat="1" applyFont="1" applyFill="1" applyBorder="1"/>
    <xf numFmtId="166" fontId="38" fillId="0" borderId="35" xfId="12" applyNumberFormat="1" applyFont="1" applyFill="1" applyBorder="1"/>
    <xf numFmtId="164" fontId="34" fillId="0" borderId="37" xfId="12" applyNumberFormat="1" applyFont="1" applyFill="1" applyBorder="1"/>
    <xf numFmtId="164" fontId="34" fillId="0" borderId="36" xfId="12" applyNumberFormat="1" applyFont="1" applyFill="1" applyBorder="1"/>
    <xf numFmtId="0" fontId="34" fillId="0" borderId="39" xfId="9" applyFont="1" applyBorder="1"/>
    <xf numFmtId="164" fontId="38" fillId="0" borderId="5" xfId="12" applyNumberFormat="1" applyFont="1" applyFill="1" applyBorder="1"/>
    <xf numFmtId="164" fontId="38" fillId="0" borderId="39" xfId="12" applyNumberFormat="1" applyFont="1" applyFill="1" applyBorder="1"/>
    <xf numFmtId="0" fontId="42" fillId="0" borderId="35" xfId="9" applyFont="1" applyBorder="1"/>
    <xf numFmtId="0" fontId="43" fillId="0" borderId="36" xfId="9" applyFont="1" applyBorder="1"/>
    <xf numFmtId="0" fontId="43" fillId="0" borderId="35" xfId="9" applyFont="1" applyBorder="1"/>
    <xf numFmtId="0" fontId="44" fillId="0" borderId="35" xfId="9" applyFont="1" applyBorder="1"/>
    <xf numFmtId="164" fontId="44" fillId="0" borderId="35" xfId="12" applyNumberFormat="1" applyFont="1" applyFill="1" applyBorder="1"/>
    <xf numFmtId="164" fontId="44" fillId="0" borderId="35" xfId="12" applyNumberFormat="1" applyFont="1" applyBorder="1"/>
    <xf numFmtId="166" fontId="44" fillId="0" borderId="35" xfId="12" applyNumberFormat="1" applyFont="1" applyBorder="1"/>
    <xf numFmtId="166" fontId="43" fillId="0" borderId="35" xfId="12" applyNumberFormat="1" applyFont="1" applyBorder="1"/>
    <xf numFmtId="164" fontId="43" fillId="0" borderId="37" xfId="12" applyNumberFormat="1" applyFont="1" applyBorder="1"/>
    <xf numFmtId="164" fontId="43" fillId="15" borderId="37" xfId="12" applyNumberFormat="1" applyFont="1" applyFill="1" applyBorder="1"/>
    <xf numFmtId="164" fontId="44" fillId="0" borderId="0" xfId="9" applyNumberFormat="1" applyFont="1"/>
    <xf numFmtId="164" fontId="43" fillId="0" borderId="36" xfId="12" applyNumberFormat="1" applyFont="1" applyBorder="1"/>
    <xf numFmtId="0" fontId="45" fillId="0" borderId="0" xfId="9" applyFont="1"/>
    <xf numFmtId="0" fontId="42" fillId="0" borderId="0" xfId="9" applyFont="1"/>
    <xf numFmtId="0" fontId="45" fillId="0" borderId="38" xfId="9" applyFont="1" applyBorder="1"/>
    <xf numFmtId="0" fontId="43" fillId="0" borderId="39" xfId="9" applyFont="1" applyBorder="1"/>
    <xf numFmtId="0" fontId="43" fillId="0" borderId="38" xfId="9" applyFont="1" applyBorder="1"/>
    <xf numFmtId="0" fontId="44" fillId="0" borderId="38" xfId="9" applyFont="1" applyBorder="1"/>
    <xf numFmtId="164" fontId="44" fillId="0" borderId="38" xfId="12" applyNumberFormat="1" applyFont="1" applyFill="1" applyBorder="1"/>
    <xf numFmtId="164" fontId="44" fillId="0" borderId="38" xfId="12" applyNumberFormat="1" applyFont="1" applyBorder="1"/>
    <xf numFmtId="166" fontId="44" fillId="0" borderId="38" xfId="12" applyNumberFormat="1" applyFont="1" applyBorder="1"/>
    <xf numFmtId="164" fontId="44" fillId="0" borderId="5" xfId="12" applyNumberFormat="1" applyFont="1" applyBorder="1"/>
    <xf numFmtId="164" fontId="44" fillId="15" borderId="5" xfId="12" applyNumberFormat="1" applyFont="1" applyFill="1" applyBorder="1"/>
    <xf numFmtId="164" fontId="44" fillId="0" borderId="39" xfId="12" applyNumberFormat="1" applyFont="1" applyBorder="1"/>
    <xf numFmtId="164" fontId="44" fillId="0" borderId="38" xfId="9" applyNumberFormat="1" applyFont="1" applyBorder="1"/>
    <xf numFmtId="164" fontId="44" fillId="0" borderId="40" xfId="12" applyNumberFormat="1" applyFont="1" applyBorder="1"/>
    <xf numFmtId="0" fontId="44" fillId="0" borderId="0" xfId="9" applyFont="1"/>
    <xf numFmtId="0" fontId="43" fillId="0" borderId="41" xfId="9" applyFont="1" applyBorder="1"/>
    <xf numFmtId="164" fontId="44" fillId="0" borderId="0" xfId="12" applyNumberFormat="1" applyFont="1" applyFill="1" applyBorder="1"/>
    <xf numFmtId="164" fontId="44" fillId="0" borderId="0" xfId="12" applyNumberFormat="1" applyFont="1" applyBorder="1"/>
    <xf numFmtId="166" fontId="44" fillId="0" borderId="0" xfId="12" applyNumberFormat="1" applyFont="1" applyBorder="1"/>
    <xf numFmtId="164" fontId="38" fillId="0" borderId="0" xfId="12" applyNumberFormat="1" applyFont="1" applyFill="1" applyBorder="1"/>
    <xf numFmtId="166" fontId="38" fillId="0" borderId="0" xfId="12" applyNumberFormat="1" applyFont="1" applyFill="1" applyBorder="1"/>
    <xf numFmtId="166" fontId="46" fillId="0" borderId="0" xfId="12" applyNumberFormat="1" applyFont="1" applyFill="1" applyBorder="1"/>
    <xf numFmtId="164" fontId="35" fillId="14" borderId="0" xfId="9" applyNumberFormat="1" applyFont="1" applyFill="1"/>
    <xf numFmtId="164" fontId="13" fillId="0" borderId="0" xfId="12" applyNumberFormat="1"/>
    <xf numFmtId="0" fontId="36" fillId="0" borderId="0" xfId="9" applyFont="1" applyAlignment="1">
      <alignment horizontal="right"/>
    </xf>
    <xf numFmtId="164" fontId="36" fillId="14" borderId="0" xfId="9" applyNumberFormat="1" applyFont="1" applyFill="1"/>
    <xf numFmtId="166" fontId="36" fillId="14" borderId="0" xfId="9" applyNumberFormat="1" applyFont="1" applyFill="1"/>
    <xf numFmtId="164" fontId="36" fillId="6" borderId="0" xfId="9" applyNumberFormat="1" applyFont="1" applyFill="1"/>
    <xf numFmtId="166" fontId="34" fillId="0" borderId="0" xfId="12" applyNumberFormat="1" applyFont="1" applyFill="1" applyBorder="1" applyAlignment="1">
      <alignment horizontal="right"/>
    </xf>
    <xf numFmtId="164" fontId="34" fillId="16" borderId="37" xfId="12" applyNumberFormat="1" applyFont="1" applyFill="1" applyBorder="1"/>
    <xf numFmtId="164" fontId="29" fillId="6" borderId="0" xfId="9" applyNumberFormat="1" applyFont="1" applyFill="1"/>
    <xf numFmtId="166" fontId="38" fillId="0" borderId="0" xfId="12" applyNumberFormat="1" applyFont="1" applyFill="1" applyBorder="1" applyAlignment="1">
      <alignment horizontal="right"/>
    </xf>
    <xf numFmtId="164" fontId="38" fillId="16" borderId="5" xfId="12" applyNumberFormat="1" applyFont="1" applyFill="1" applyBorder="1"/>
    <xf numFmtId="164" fontId="35" fillId="6" borderId="0" xfId="9" applyNumberFormat="1" applyFont="1" applyFill="1"/>
    <xf numFmtId="164" fontId="35" fillId="16" borderId="5" xfId="9" applyNumberFormat="1" applyFont="1" applyFill="1" applyBorder="1"/>
    <xf numFmtId="164" fontId="35" fillId="0" borderId="0" xfId="9" applyNumberFormat="1" applyFont="1"/>
    <xf numFmtId="164" fontId="47" fillId="0" borderId="0" xfId="12" applyNumberFormat="1" applyFont="1"/>
    <xf numFmtId="164" fontId="48" fillId="0" borderId="0" xfId="9" applyNumberFormat="1" applyFont="1"/>
    <xf numFmtId="0" fontId="36" fillId="0" borderId="0" xfId="9" applyFont="1" applyAlignment="1">
      <alignment wrapText="1"/>
    </xf>
    <xf numFmtId="0" fontId="35" fillId="0" borderId="0" xfId="9" applyFont="1" applyAlignment="1">
      <alignment wrapText="1"/>
    </xf>
    <xf numFmtId="164" fontId="49" fillId="0" borderId="0" xfId="12" applyNumberFormat="1" applyFont="1"/>
    <xf numFmtId="164" fontId="28" fillId="0" borderId="0" xfId="9" applyNumberFormat="1" applyFont="1"/>
    <xf numFmtId="164" fontId="31" fillId="0" borderId="0" xfId="9" applyNumberFormat="1" applyFont="1"/>
    <xf numFmtId="0" fontId="37" fillId="0" borderId="0" xfId="9" applyFont="1"/>
    <xf numFmtId="0" fontId="39" fillId="0" borderId="0" xfId="9" applyFont="1"/>
    <xf numFmtId="14" fontId="39" fillId="0" borderId="35" xfId="9" applyNumberFormat="1" applyFont="1" applyBorder="1"/>
    <xf numFmtId="0" fontId="34" fillId="0" borderId="0" xfId="9" applyFont="1"/>
    <xf numFmtId="0" fontId="34" fillId="0" borderId="0" xfId="9" applyFont="1" applyAlignment="1">
      <alignment horizontal="right"/>
    </xf>
    <xf numFmtId="164" fontId="34" fillId="16" borderId="5" xfId="9" applyNumberFormat="1" applyFont="1" applyFill="1" applyBorder="1"/>
    <xf numFmtId="164" fontId="34" fillId="16" borderId="8" xfId="12" applyNumberFormat="1" applyFont="1" applyFill="1" applyBorder="1"/>
    <xf numFmtId="164" fontId="34" fillId="16" borderId="8" xfId="9" applyNumberFormat="1" applyFont="1" applyFill="1" applyBorder="1"/>
    <xf numFmtId="0" fontId="31" fillId="0" borderId="0" xfId="11" applyFont="1" applyAlignment="1">
      <alignment horizontal="right"/>
    </xf>
    <xf numFmtId="164" fontId="31" fillId="0" borderId="40" xfId="9" applyNumberFormat="1" applyFont="1" applyBorder="1"/>
    <xf numFmtId="164" fontId="34" fillId="15" borderId="40" xfId="12" applyNumberFormat="1" applyFont="1" applyFill="1" applyBorder="1"/>
    <xf numFmtId="164" fontId="38" fillId="0" borderId="40" xfId="12" applyNumberFormat="1" applyFont="1" applyBorder="1"/>
    <xf numFmtId="0" fontId="35" fillId="0" borderId="0" xfId="9" applyFont="1" applyAlignment="1">
      <alignment horizontal="right"/>
    </xf>
    <xf numFmtId="164" fontId="35" fillId="16" borderId="8" xfId="9" applyNumberFormat="1" applyFont="1" applyFill="1" applyBorder="1"/>
    <xf numFmtId="167" fontId="35" fillId="0" borderId="8" xfId="8" applyNumberFormat="1" applyFont="1" applyFill="1" applyBorder="1"/>
    <xf numFmtId="167" fontId="35" fillId="17" borderId="8" xfId="8" applyNumberFormat="1" applyFont="1" applyFill="1" applyBorder="1"/>
    <xf numFmtId="167" fontId="35" fillId="0" borderId="0" xfId="8" applyNumberFormat="1" applyFont="1" applyFill="1"/>
    <xf numFmtId="0" fontId="50" fillId="0" borderId="0" xfId="11" applyFont="1" applyAlignment="1">
      <alignment horizontal="right"/>
    </xf>
    <xf numFmtId="164" fontId="51" fillId="0" borderId="0" xfId="12" applyNumberFormat="1" applyFont="1" applyFill="1"/>
    <xf numFmtId="167" fontId="28" fillId="0" borderId="0" xfId="8" applyNumberFormat="1" applyFont="1"/>
    <xf numFmtId="9" fontId="29" fillId="0" borderId="0" xfId="9" applyNumberFormat="1" applyFont="1"/>
    <xf numFmtId="164" fontId="38" fillId="0" borderId="0" xfId="12" applyNumberFormat="1" applyFont="1" applyAlignment="1">
      <alignment horizontal="right"/>
    </xf>
    <xf numFmtId="164" fontId="52" fillId="0" borderId="0" xfId="12" applyNumberFormat="1" applyFont="1"/>
    <xf numFmtId="0" fontId="28" fillId="0" borderId="0" xfId="9" applyFont="1"/>
    <xf numFmtId="167" fontId="13" fillId="0" borderId="0" xfId="8" applyNumberFormat="1" applyFont="1"/>
    <xf numFmtId="167" fontId="29" fillId="0" borderId="0" xfId="9" applyNumberFormat="1" applyFont="1"/>
    <xf numFmtId="9" fontId="2" fillId="0" borderId="11" xfId="4" applyFont="1" applyBorder="1" applyAlignment="1">
      <alignment horizontal="left" wrapText="1"/>
    </xf>
    <xf numFmtId="9" fontId="2" fillId="0" borderId="12" xfId="4" applyFont="1" applyBorder="1" applyAlignment="1">
      <alignment horizontal="left" wrapText="1"/>
    </xf>
    <xf numFmtId="9" fontId="2" fillId="0" borderId="11" xfId="4" applyFont="1" applyFill="1" applyBorder="1" applyAlignment="1">
      <alignment horizontal="left" wrapText="1"/>
    </xf>
    <xf numFmtId="9" fontId="2" fillId="0" borderId="12" xfId="4" applyFont="1" applyFill="1" applyBorder="1" applyAlignment="1">
      <alignment horizontal="left" wrapText="1"/>
    </xf>
    <xf numFmtId="0" fontId="3" fillId="0" borderId="0" xfId="3" applyFont="1"/>
    <xf numFmtId="0" fontId="9" fillId="0" borderId="0" xfId="3" applyFont="1"/>
    <xf numFmtId="0" fontId="1" fillId="0" borderId="0" xfId="2"/>
    <xf numFmtId="9" fontId="2" fillId="0" borderId="11" xfId="4" applyFont="1" applyFill="1" applyBorder="1" applyAlignment="1">
      <alignment horizontal="left" vertical="center" wrapText="1"/>
    </xf>
    <xf numFmtId="9" fontId="2" fillId="0" borderId="12" xfId="4" applyFont="1" applyFill="1" applyBorder="1" applyAlignment="1">
      <alignment horizontal="left" vertical="center" wrapText="1"/>
    </xf>
  </cellXfs>
  <cellStyles count="13">
    <cellStyle name="Comma" xfId="1" builtinId="3"/>
    <cellStyle name="Comma 2" xfId="12" xr:uid="{4051B0A7-3FCA-40B9-BC98-0843B9278502}"/>
    <cellStyle name="Hyperlink" xfId="6" builtinId="8"/>
    <cellStyle name="Komats 10" xfId="5" xr:uid="{D5FD471C-A50D-4294-8D64-88A61E6000D0}"/>
    <cellStyle name="Normal" xfId="0" builtinId="0"/>
    <cellStyle name="Normal 2" xfId="9" xr:uid="{3CB84378-5309-42DD-AF0D-47CD442EE698}"/>
    <cellStyle name="Normal 2 2" xfId="7" xr:uid="{9076C56A-7ABF-4C0A-9501-6AA1077A8A28}"/>
    <cellStyle name="Normal 4" xfId="11" xr:uid="{4B2D2220-ABF3-4174-B25D-2444BCED2CF9}"/>
    <cellStyle name="Parasts 2 2 2 2" xfId="10" xr:uid="{566ED63C-7DBA-4382-BA53-33E985987145}"/>
    <cellStyle name="Parasts 2 2 5" xfId="2" xr:uid="{BED56154-49C8-42D9-8E19-9C19E46B32E3}"/>
    <cellStyle name="Parasts 2 2 5 2" xfId="3" xr:uid="{43F2B63C-64C0-405F-BF09-F07320D4F7B4}"/>
    <cellStyle name="Percent 4" xfId="8" xr:uid="{DD65275B-F5CB-4BB8-B15E-BA730DEE7FA4}"/>
    <cellStyle name="Procenti 2 3" xfId="4" xr:uid="{8D473081-2C84-4927-BC53-BFE708935C1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Saist&#299;bas\SAISTIBAS_2025\Saist&#299;bas_2025_SNOT_1.xlsx" TargetMode="External"/><Relationship Id="rId1" Type="http://schemas.openxmlformats.org/officeDocument/2006/relationships/externalLinkPath" Target="file:///C:\Users\Sarmite.Muze\Nextcloud\Finansu%20nodala%20kopmape\Saist&#299;bas\SAISTIBAS_2025\Saist&#299;bas_2025_SNO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īgumu saraksts_27062024 apst"/>
      <sheetName val="Līgumu saraksts_29082024"/>
      <sheetName val="Līgumu saraksts_2025"/>
      <sheetName val="Līgumu saraksts_2025_budžetam"/>
      <sheetName val="Līgumu saraksts_27032025"/>
      <sheetName val="Līgumu saraksts_29052025"/>
      <sheetName val="Līgumu saraksts_papildus"/>
      <sheetName val="Sheet1"/>
      <sheetName val="Fakts _Visvaris_%"/>
      <sheetName val="Fakts_Visvaris_apkalp.maksa"/>
    </sheetNames>
    <sheetDataSet>
      <sheetData sheetId="0" refreshError="1"/>
      <sheetData sheetId="1" refreshError="1"/>
      <sheetData sheetId="2">
        <row r="153">
          <cell r="R153">
            <v>3464075.6900000004</v>
          </cell>
        </row>
        <row r="154">
          <cell r="R154">
            <v>2176081.2377904006</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4200-F745-48C6-87A2-68FC7A934100}">
  <sheetPr>
    <tabColor rgb="FF92D050"/>
  </sheetPr>
  <dimension ref="A1:L291"/>
  <sheetViews>
    <sheetView tabSelected="1" zoomScale="98" zoomScaleNormal="98" zoomScaleSheetLayoutView="80" workbookViewId="0">
      <pane xSplit="4" ySplit="5" topLeftCell="F6" activePane="bottomRight" state="frozen"/>
      <selection activeCell="C1" sqref="C1"/>
      <selection pane="topRight" activeCell="E1" sqref="E1"/>
      <selection pane="bottomLeft" activeCell="C6" sqref="C6"/>
      <selection pane="bottomRight" activeCell="L8" sqref="L8"/>
    </sheetView>
  </sheetViews>
  <sheetFormatPr defaultRowHeight="13.8" outlineLevelRow="1" outlineLevelCol="2" x14ac:dyDescent="0.25"/>
  <cols>
    <col min="1" max="1" width="7" style="1" hidden="1" customWidth="1" outlineLevel="2"/>
    <col min="2" max="2" width="10.109375" style="1" hidden="1" customWidth="1" outlineLevel="2"/>
    <col min="3" max="3" width="13.33203125" style="125" customWidth="1" collapsed="1"/>
    <col min="4" max="4" width="39.109375" style="4" customWidth="1"/>
    <col min="5" max="5" width="13.33203125" style="10" hidden="1" customWidth="1" outlineLevel="1"/>
    <col min="6" max="7" width="13.33203125" style="9" customWidth="1" collapsed="1"/>
    <col min="8" max="8" width="13.33203125" style="1" hidden="1" customWidth="1" outlineLevel="1"/>
    <col min="9" max="9" width="62.88671875" style="15" hidden="1" customWidth="1" outlineLevel="1" collapsed="1"/>
    <col min="10" max="10" width="13.33203125" style="9" customWidth="1" collapsed="1"/>
    <col min="11" max="11" width="13.33203125" style="1" customWidth="1"/>
    <col min="12" max="12" width="62.88671875" style="15" customWidth="1" collapsed="1"/>
    <col min="13" max="173" width="8.88671875" style="1"/>
    <col min="174" max="175" width="0" style="1" hidden="1" customWidth="1"/>
    <col min="176" max="176" width="12.33203125" style="1" customWidth="1"/>
    <col min="177" max="177" width="47" style="1" customWidth="1"/>
    <col min="178" max="217" width="0" style="1" hidden="1" customWidth="1"/>
    <col min="218" max="219" width="13.33203125" style="1" customWidth="1"/>
    <col min="220" max="221" width="0" style="1" hidden="1" customWidth="1"/>
    <col min="222" max="222" width="13.33203125" style="1" customWidth="1"/>
    <col min="223" max="224" width="0" style="1" hidden="1" customWidth="1"/>
    <col min="225" max="225" width="13.33203125" style="1" customWidth="1"/>
    <col min="226" max="227" width="0" style="1" hidden="1" customWidth="1"/>
    <col min="228" max="228" width="13.33203125" style="1" customWidth="1"/>
    <col min="229" max="230" width="0" style="1" hidden="1" customWidth="1"/>
    <col min="231" max="231" width="13.33203125" style="1" customWidth="1"/>
    <col min="232" max="233" width="0" style="1" hidden="1" customWidth="1"/>
    <col min="234" max="235" width="13.33203125" style="1" customWidth="1"/>
    <col min="236" max="236" width="39.44140625" style="1" customWidth="1"/>
    <col min="237" max="241" width="13.33203125" style="1" customWidth="1"/>
    <col min="242" max="242" width="56.6640625" style="1" customWidth="1"/>
    <col min="243" max="243" width="11.6640625" style="1" customWidth="1"/>
    <col min="244" max="429" width="8.88671875" style="1"/>
    <col min="430" max="431" width="0" style="1" hidden="1" customWidth="1"/>
    <col min="432" max="432" width="12.33203125" style="1" customWidth="1"/>
    <col min="433" max="433" width="47" style="1" customWidth="1"/>
    <col min="434" max="473" width="0" style="1" hidden="1" customWidth="1"/>
    <col min="474" max="475" width="13.33203125" style="1" customWidth="1"/>
    <col min="476" max="477" width="0" style="1" hidden="1" customWidth="1"/>
    <col min="478" max="478" width="13.33203125" style="1" customWidth="1"/>
    <col min="479" max="480" width="0" style="1" hidden="1" customWidth="1"/>
    <col min="481" max="481" width="13.33203125" style="1" customWidth="1"/>
    <col min="482" max="483" width="0" style="1" hidden="1" customWidth="1"/>
    <col min="484" max="484" width="13.33203125" style="1" customWidth="1"/>
    <col min="485" max="486" width="0" style="1" hidden="1" customWidth="1"/>
    <col min="487" max="487" width="13.33203125" style="1" customWidth="1"/>
    <col min="488" max="489" width="0" style="1" hidden="1" customWidth="1"/>
    <col min="490" max="491" width="13.33203125" style="1" customWidth="1"/>
    <col min="492" max="492" width="39.44140625" style="1" customWidth="1"/>
    <col min="493" max="497" width="13.33203125" style="1" customWidth="1"/>
    <col min="498" max="498" width="56.6640625" style="1" customWidth="1"/>
    <col min="499" max="499" width="11.6640625" style="1" customWidth="1"/>
    <col min="500" max="685" width="8.88671875" style="1"/>
    <col min="686" max="687" width="0" style="1" hidden="1" customWidth="1"/>
    <col min="688" max="688" width="12.33203125" style="1" customWidth="1"/>
    <col min="689" max="689" width="47" style="1" customWidth="1"/>
    <col min="690" max="729" width="0" style="1" hidden="1" customWidth="1"/>
    <col min="730" max="731" width="13.33203125" style="1" customWidth="1"/>
    <col min="732" max="733" width="0" style="1" hidden="1" customWidth="1"/>
    <col min="734" max="734" width="13.33203125" style="1" customWidth="1"/>
    <col min="735" max="736" width="0" style="1" hidden="1" customWidth="1"/>
    <col min="737" max="737" width="13.33203125" style="1" customWidth="1"/>
    <col min="738" max="739" width="0" style="1" hidden="1" customWidth="1"/>
    <col min="740" max="740" width="13.33203125" style="1" customWidth="1"/>
    <col min="741" max="742" width="0" style="1" hidden="1" customWidth="1"/>
    <col min="743" max="743" width="13.33203125" style="1" customWidth="1"/>
    <col min="744" max="745" width="0" style="1" hidden="1" customWidth="1"/>
    <col min="746" max="747" width="13.33203125" style="1" customWidth="1"/>
    <col min="748" max="748" width="39.44140625" style="1" customWidth="1"/>
    <col min="749" max="753" width="13.33203125" style="1" customWidth="1"/>
    <col min="754" max="754" width="56.6640625" style="1" customWidth="1"/>
    <col min="755" max="755" width="11.6640625" style="1" customWidth="1"/>
    <col min="756" max="941" width="8.88671875" style="1"/>
    <col min="942" max="943" width="0" style="1" hidden="1" customWidth="1"/>
    <col min="944" max="944" width="12.33203125" style="1" customWidth="1"/>
    <col min="945" max="945" width="47" style="1" customWidth="1"/>
    <col min="946" max="985" width="0" style="1" hidden="1" customWidth="1"/>
    <col min="986" max="987" width="13.33203125" style="1" customWidth="1"/>
    <col min="988" max="989" width="0" style="1" hidden="1" customWidth="1"/>
    <col min="990" max="990" width="13.33203125" style="1" customWidth="1"/>
    <col min="991" max="992" width="0" style="1" hidden="1" customWidth="1"/>
    <col min="993" max="993" width="13.33203125" style="1" customWidth="1"/>
    <col min="994" max="995" width="0" style="1" hidden="1" customWidth="1"/>
    <col min="996" max="996" width="13.33203125" style="1" customWidth="1"/>
    <col min="997" max="998" width="0" style="1" hidden="1" customWidth="1"/>
    <col min="999" max="999" width="13.33203125" style="1" customWidth="1"/>
    <col min="1000" max="1001" width="0" style="1" hidden="1" customWidth="1"/>
    <col min="1002" max="1003" width="13.33203125" style="1" customWidth="1"/>
    <col min="1004" max="1004" width="39.44140625" style="1" customWidth="1"/>
    <col min="1005" max="1009" width="13.33203125" style="1" customWidth="1"/>
    <col min="1010" max="1010" width="56.6640625" style="1" customWidth="1"/>
    <col min="1011" max="1011" width="11.6640625" style="1" customWidth="1"/>
    <col min="1012" max="1197" width="8.88671875" style="1"/>
    <col min="1198" max="1199" width="0" style="1" hidden="1" customWidth="1"/>
    <col min="1200" max="1200" width="12.33203125" style="1" customWidth="1"/>
    <col min="1201" max="1201" width="47" style="1" customWidth="1"/>
    <col min="1202" max="1241" width="0" style="1" hidden="1" customWidth="1"/>
    <col min="1242" max="1243" width="13.33203125" style="1" customWidth="1"/>
    <col min="1244" max="1245" width="0" style="1" hidden="1" customWidth="1"/>
    <col min="1246" max="1246" width="13.33203125" style="1" customWidth="1"/>
    <col min="1247" max="1248" width="0" style="1" hidden="1" customWidth="1"/>
    <col min="1249" max="1249" width="13.33203125" style="1" customWidth="1"/>
    <col min="1250" max="1251" width="0" style="1" hidden="1" customWidth="1"/>
    <col min="1252" max="1252" width="13.33203125" style="1" customWidth="1"/>
    <col min="1253" max="1254" width="0" style="1" hidden="1" customWidth="1"/>
    <col min="1255" max="1255" width="13.33203125" style="1" customWidth="1"/>
    <col min="1256" max="1257" width="0" style="1" hidden="1" customWidth="1"/>
    <col min="1258" max="1259" width="13.33203125" style="1" customWidth="1"/>
    <col min="1260" max="1260" width="39.44140625" style="1" customWidth="1"/>
    <col min="1261" max="1265" width="13.33203125" style="1" customWidth="1"/>
    <col min="1266" max="1266" width="56.6640625" style="1" customWidth="1"/>
    <col min="1267" max="1267" width="11.6640625" style="1" customWidth="1"/>
    <col min="1268" max="1453" width="8.88671875" style="1"/>
    <col min="1454" max="1455" width="0" style="1" hidden="1" customWidth="1"/>
    <col min="1456" max="1456" width="12.33203125" style="1" customWidth="1"/>
    <col min="1457" max="1457" width="47" style="1" customWidth="1"/>
    <col min="1458" max="1497" width="0" style="1" hidden="1" customWidth="1"/>
    <col min="1498" max="1499" width="13.33203125" style="1" customWidth="1"/>
    <col min="1500" max="1501" width="0" style="1" hidden="1" customWidth="1"/>
    <col min="1502" max="1502" width="13.33203125" style="1" customWidth="1"/>
    <col min="1503" max="1504" width="0" style="1" hidden="1" customWidth="1"/>
    <col min="1505" max="1505" width="13.33203125" style="1" customWidth="1"/>
    <col min="1506" max="1507" width="0" style="1" hidden="1" customWidth="1"/>
    <col min="1508" max="1508" width="13.33203125" style="1" customWidth="1"/>
    <col min="1509" max="1510" width="0" style="1" hidden="1" customWidth="1"/>
    <col min="1511" max="1511" width="13.33203125" style="1" customWidth="1"/>
    <col min="1512" max="1513" width="0" style="1" hidden="1" customWidth="1"/>
    <col min="1514" max="1515" width="13.33203125" style="1" customWidth="1"/>
    <col min="1516" max="1516" width="39.44140625" style="1" customWidth="1"/>
    <col min="1517" max="1521" width="13.33203125" style="1" customWidth="1"/>
    <col min="1522" max="1522" width="56.6640625" style="1" customWidth="1"/>
    <col min="1523" max="1523" width="11.6640625" style="1" customWidth="1"/>
    <col min="1524" max="1709" width="8.88671875" style="1"/>
    <col min="1710" max="1711" width="0" style="1" hidden="1" customWidth="1"/>
    <col min="1712" max="1712" width="12.33203125" style="1" customWidth="1"/>
    <col min="1713" max="1713" width="47" style="1" customWidth="1"/>
    <col min="1714" max="1753" width="0" style="1" hidden="1" customWidth="1"/>
    <col min="1754" max="1755" width="13.33203125" style="1" customWidth="1"/>
    <col min="1756" max="1757" width="0" style="1" hidden="1" customWidth="1"/>
    <col min="1758" max="1758" width="13.33203125" style="1" customWidth="1"/>
    <col min="1759" max="1760" width="0" style="1" hidden="1" customWidth="1"/>
    <col min="1761" max="1761" width="13.33203125" style="1" customWidth="1"/>
    <col min="1762" max="1763" width="0" style="1" hidden="1" customWidth="1"/>
    <col min="1764" max="1764" width="13.33203125" style="1" customWidth="1"/>
    <col min="1765" max="1766" width="0" style="1" hidden="1" customWidth="1"/>
    <col min="1767" max="1767" width="13.33203125" style="1" customWidth="1"/>
    <col min="1768" max="1769" width="0" style="1" hidden="1" customWidth="1"/>
    <col min="1770" max="1771" width="13.33203125" style="1" customWidth="1"/>
    <col min="1772" max="1772" width="39.44140625" style="1" customWidth="1"/>
    <col min="1773" max="1777" width="13.33203125" style="1" customWidth="1"/>
    <col min="1778" max="1778" width="56.6640625" style="1" customWidth="1"/>
    <col min="1779" max="1779" width="11.6640625" style="1" customWidth="1"/>
    <col min="1780" max="1965" width="8.88671875" style="1"/>
    <col min="1966" max="1967" width="0" style="1" hidden="1" customWidth="1"/>
    <col min="1968" max="1968" width="12.33203125" style="1" customWidth="1"/>
    <col min="1969" max="1969" width="47" style="1" customWidth="1"/>
    <col min="1970" max="2009" width="0" style="1" hidden="1" customWidth="1"/>
    <col min="2010" max="2011" width="13.33203125" style="1" customWidth="1"/>
    <col min="2012" max="2013" width="0" style="1" hidden="1" customWidth="1"/>
    <col min="2014" max="2014" width="13.33203125" style="1" customWidth="1"/>
    <col min="2015" max="2016" width="0" style="1" hidden="1" customWidth="1"/>
    <col min="2017" max="2017" width="13.33203125" style="1" customWidth="1"/>
    <col min="2018" max="2019" width="0" style="1" hidden="1" customWidth="1"/>
    <col min="2020" max="2020" width="13.33203125" style="1" customWidth="1"/>
    <col min="2021" max="2022" width="0" style="1" hidden="1" customWidth="1"/>
    <col min="2023" max="2023" width="13.33203125" style="1" customWidth="1"/>
    <col min="2024" max="2025" width="0" style="1" hidden="1" customWidth="1"/>
    <col min="2026" max="2027" width="13.33203125" style="1" customWidth="1"/>
    <col min="2028" max="2028" width="39.44140625" style="1" customWidth="1"/>
    <col min="2029" max="2033" width="13.33203125" style="1" customWidth="1"/>
    <col min="2034" max="2034" width="56.6640625" style="1" customWidth="1"/>
    <col min="2035" max="2035" width="11.6640625" style="1" customWidth="1"/>
    <col min="2036" max="2221" width="8.88671875" style="1"/>
    <col min="2222" max="2223" width="0" style="1" hidden="1" customWidth="1"/>
    <col min="2224" max="2224" width="12.33203125" style="1" customWidth="1"/>
    <col min="2225" max="2225" width="47" style="1" customWidth="1"/>
    <col min="2226" max="2265" width="0" style="1" hidden="1" customWidth="1"/>
    <col min="2266" max="2267" width="13.33203125" style="1" customWidth="1"/>
    <col min="2268" max="2269" width="0" style="1" hidden="1" customWidth="1"/>
    <col min="2270" max="2270" width="13.33203125" style="1" customWidth="1"/>
    <col min="2271" max="2272" width="0" style="1" hidden="1" customWidth="1"/>
    <col min="2273" max="2273" width="13.33203125" style="1" customWidth="1"/>
    <col min="2274" max="2275" width="0" style="1" hidden="1" customWidth="1"/>
    <col min="2276" max="2276" width="13.33203125" style="1" customWidth="1"/>
    <col min="2277" max="2278" width="0" style="1" hidden="1" customWidth="1"/>
    <col min="2279" max="2279" width="13.33203125" style="1" customWidth="1"/>
    <col min="2280" max="2281" width="0" style="1" hidden="1" customWidth="1"/>
    <col min="2282" max="2283" width="13.33203125" style="1" customWidth="1"/>
    <col min="2284" max="2284" width="39.44140625" style="1" customWidth="1"/>
    <col min="2285" max="2289" width="13.33203125" style="1" customWidth="1"/>
    <col min="2290" max="2290" width="56.6640625" style="1" customWidth="1"/>
    <col min="2291" max="2291" width="11.6640625" style="1" customWidth="1"/>
    <col min="2292" max="2477" width="8.88671875" style="1"/>
    <col min="2478" max="2479" width="0" style="1" hidden="1" customWidth="1"/>
    <col min="2480" max="2480" width="12.33203125" style="1" customWidth="1"/>
    <col min="2481" max="2481" width="47" style="1" customWidth="1"/>
    <col min="2482" max="2521" width="0" style="1" hidden="1" customWidth="1"/>
    <col min="2522" max="2523" width="13.33203125" style="1" customWidth="1"/>
    <col min="2524" max="2525" width="0" style="1" hidden="1" customWidth="1"/>
    <col min="2526" max="2526" width="13.33203125" style="1" customWidth="1"/>
    <col min="2527" max="2528" width="0" style="1" hidden="1" customWidth="1"/>
    <col min="2529" max="2529" width="13.33203125" style="1" customWidth="1"/>
    <col min="2530" max="2531" width="0" style="1" hidden="1" customWidth="1"/>
    <col min="2532" max="2532" width="13.33203125" style="1" customWidth="1"/>
    <col min="2533" max="2534" width="0" style="1" hidden="1" customWidth="1"/>
    <col min="2535" max="2535" width="13.33203125" style="1" customWidth="1"/>
    <col min="2536" max="2537" width="0" style="1" hidden="1" customWidth="1"/>
    <col min="2538" max="2539" width="13.33203125" style="1" customWidth="1"/>
    <col min="2540" max="2540" width="39.44140625" style="1" customWidth="1"/>
    <col min="2541" max="2545" width="13.33203125" style="1" customWidth="1"/>
    <col min="2546" max="2546" width="56.6640625" style="1" customWidth="1"/>
    <col min="2547" max="2547" width="11.6640625" style="1" customWidth="1"/>
    <col min="2548" max="2733" width="8.88671875" style="1"/>
    <col min="2734" max="2735" width="0" style="1" hidden="1" customWidth="1"/>
    <col min="2736" max="2736" width="12.33203125" style="1" customWidth="1"/>
    <col min="2737" max="2737" width="47" style="1" customWidth="1"/>
    <col min="2738" max="2777" width="0" style="1" hidden="1" customWidth="1"/>
    <col min="2778" max="2779" width="13.33203125" style="1" customWidth="1"/>
    <col min="2780" max="2781" width="0" style="1" hidden="1" customWidth="1"/>
    <col min="2782" max="2782" width="13.33203125" style="1" customWidth="1"/>
    <col min="2783" max="2784" width="0" style="1" hidden="1" customWidth="1"/>
    <col min="2785" max="2785" width="13.33203125" style="1" customWidth="1"/>
    <col min="2786" max="2787" width="0" style="1" hidden="1" customWidth="1"/>
    <col min="2788" max="2788" width="13.33203125" style="1" customWidth="1"/>
    <col min="2789" max="2790" width="0" style="1" hidden="1" customWidth="1"/>
    <col min="2791" max="2791" width="13.33203125" style="1" customWidth="1"/>
    <col min="2792" max="2793" width="0" style="1" hidden="1" customWidth="1"/>
    <col min="2794" max="2795" width="13.33203125" style="1" customWidth="1"/>
    <col min="2796" max="2796" width="39.44140625" style="1" customWidth="1"/>
    <col min="2797" max="2801" width="13.33203125" style="1" customWidth="1"/>
    <col min="2802" max="2802" width="56.6640625" style="1" customWidth="1"/>
    <col min="2803" max="2803" width="11.6640625" style="1" customWidth="1"/>
    <col min="2804" max="2989" width="8.88671875" style="1"/>
    <col min="2990" max="2991" width="0" style="1" hidden="1" customWidth="1"/>
    <col min="2992" max="2992" width="12.33203125" style="1" customWidth="1"/>
    <col min="2993" max="2993" width="47" style="1" customWidth="1"/>
    <col min="2994" max="3033" width="0" style="1" hidden="1" customWidth="1"/>
    <col min="3034" max="3035" width="13.33203125" style="1" customWidth="1"/>
    <col min="3036" max="3037" width="0" style="1" hidden="1" customWidth="1"/>
    <col min="3038" max="3038" width="13.33203125" style="1" customWidth="1"/>
    <col min="3039" max="3040" width="0" style="1" hidden="1" customWidth="1"/>
    <col min="3041" max="3041" width="13.33203125" style="1" customWidth="1"/>
    <col min="3042" max="3043" width="0" style="1" hidden="1" customWidth="1"/>
    <col min="3044" max="3044" width="13.33203125" style="1" customWidth="1"/>
    <col min="3045" max="3046" width="0" style="1" hidden="1" customWidth="1"/>
    <col min="3047" max="3047" width="13.33203125" style="1" customWidth="1"/>
    <col min="3048" max="3049" width="0" style="1" hidden="1" customWidth="1"/>
    <col min="3050" max="3051" width="13.33203125" style="1" customWidth="1"/>
    <col min="3052" max="3052" width="39.44140625" style="1" customWidth="1"/>
    <col min="3053" max="3057" width="13.33203125" style="1" customWidth="1"/>
    <col min="3058" max="3058" width="56.6640625" style="1" customWidth="1"/>
    <col min="3059" max="3059" width="11.6640625" style="1" customWidth="1"/>
    <col min="3060" max="3245" width="8.88671875" style="1"/>
    <col min="3246" max="3247" width="0" style="1" hidden="1" customWidth="1"/>
    <col min="3248" max="3248" width="12.33203125" style="1" customWidth="1"/>
    <col min="3249" max="3249" width="47" style="1" customWidth="1"/>
    <col min="3250" max="3289" width="0" style="1" hidden="1" customWidth="1"/>
    <col min="3290" max="3291" width="13.33203125" style="1" customWidth="1"/>
    <col min="3292" max="3293" width="0" style="1" hidden="1" customWidth="1"/>
    <col min="3294" max="3294" width="13.33203125" style="1" customWidth="1"/>
    <col min="3295" max="3296" width="0" style="1" hidden="1" customWidth="1"/>
    <col min="3297" max="3297" width="13.33203125" style="1" customWidth="1"/>
    <col min="3298" max="3299" width="0" style="1" hidden="1" customWidth="1"/>
    <col min="3300" max="3300" width="13.33203125" style="1" customWidth="1"/>
    <col min="3301" max="3302" width="0" style="1" hidden="1" customWidth="1"/>
    <col min="3303" max="3303" width="13.33203125" style="1" customWidth="1"/>
    <col min="3304" max="3305" width="0" style="1" hidden="1" customWidth="1"/>
    <col min="3306" max="3307" width="13.33203125" style="1" customWidth="1"/>
    <col min="3308" max="3308" width="39.44140625" style="1" customWidth="1"/>
    <col min="3309" max="3313" width="13.33203125" style="1" customWidth="1"/>
    <col min="3314" max="3314" width="56.6640625" style="1" customWidth="1"/>
    <col min="3315" max="3315" width="11.6640625" style="1" customWidth="1"/>
    <col min="3316" max="3501" width="8.88671875" style="1"/>
    <col min="3502" max="3503" width="0" style="1" hidden="1" customWidth="1"/>
    <col min="3504" max="3504" width="12.33203125" style="1" customWidth="1"/>
    <col min="3505" max="3505" width="47" style="1" customWidth="1"/>
    <col min="3506" max="3545" width="0" style="1" hidden="1" customWidth="1"/>
    <col min="3546" max="3547" width="13.33203125" style="1" customWidth="1"/>
    <col min="3548" max="3549" width="0" style="1" hidden="1" customWidth="1"/>
    <col min="3550" max="3550" width="13.33203125" style="1" customWidth="1"/>
    <col min="3551" max="3552" width="0" style="1" hidden="1" customWidth="1"/>
    <col min="3553" max="3553" width="13.33203125" style="1" customWidth="1"/>
    <col min="3554" max="3555" width="0" style="1" hidden="1" customWidth="1"/>
    <col min="3556" max="3556" width="13.33203125" style="1" customWidth="1"/>
    <col min="3557" max="3558" width="0" style="1" hidden="1" customWidth="1"/>
    <col min="3559" max="3559" width="13.33203125" style="1" customWidth="1"/>
    <col min="3560" max="3561" width="0" style="1" hidden="1" customWidth="1"/>
    <col min="3562" max="3563" width="13.33203125" style="1" customWidth="1"/>
    <col min="3564" max="3564" width="39.44140625" style="1" customWidth="1"/>
    <col min="3565" max="3569" width="13.33203125" style="1" customWidth="1"/>
    <col min="3570" max="3570" width="56.6640625" style="1" customWidth="1"/>
    <col min="3571" max="3571" width="11.6640625" style="1" customWidth="1"/>
    <col min="3572" max="3757" width="8.88671875" style="1"/>
    <col min="3758" max="3759" width="0" style="1" hidden="1" customWidth="1"/>
    <col min="3760" max="3760" width="12.33203125" style="1" customWidth="1"/>
    <col min="3761" max="3761" width="47" style="1" customWidth="1"/>
    <col min="3762" max="3801" width="0" style="1" hidden="1" customWidth="1"/>
    <col min="3802" max="3803" width="13.33203125" style="1" customWidth="1"/>
    <col min="3804" max="3805" width="0" style="1" hidden="1" customWidth="1"/>
    <col min="3806" max="3806" width="13.33203125" style="1" customWidth="1"/>
    <col min="3807" max="3808" width="0" style="1" hidden="1" customWidth="1"/>
    <col min="3809" max="3809" width="13.33203125" style="1" customWidth="1"/>
    <col min="3810" max="3811" width="0" style="1" hidden="1" customWidth="1"/>
    <col min="3812" max="3812" width="13.33203125" style="1" customWidth="1"/>
    <col min="3813" max="3814" width="0" style="1" hidden="1" customWidth="1"/>
    <col min="3815" max="3815" width="13.33203125" style="1" customWidth="1"/>
    <col min="3816" max="3817" width="0" style="1" hidden="1" customWidth="1"/>
    <col min="3818" max="3819" width="13.33203125" style="1" customWidth="1"/>
    <col min="3820" max="3820" width="39.44140625" style="1" customWidth="1"/>
    <col min="3821" max="3825" width="13.33203125" style="1" customWidth="1"/>
    <col min="3826" max="3826" width="56.6640625" style="1" customWidth="1"/>
    <col min="3827" max="3827" width="11.6640625" style="1" customWidth="1"/>
    <col min="3828" max="4013" width="8.88671875" style="1"/>
    <col min="4014" max="4015" width="0" style="1" hidden="1" customWidth="1"/>
    <col min="4016" max="4016" width="12.33203125" style="1" customWidth="1"/>
    <col min="4017" max="4017" width="47" style="1" customWidth="1"/>
    <col min="4018" max="4057" width="0" style="1" hidden="1" customWidth="1"/>
    <col min="4058" max="4059" width="13.33203125" style="1" customWidth="1"/>
    <col min="4060" max="4061" width="0" style="1" hidden="1" customWidth="1"/>
    <col min="4062" max="4062" width="13.33203125" style="1" customWidth="1"/>
    <col min="4063" max="4064" width="0" style="1" hidden="1" customWidth="1"/>
    <col min="4065" max="4065" width="13.33203125" style="1" customWidth="1"/>
    <col min="4066" max="4067" width="0" style="1" hidden="1" customWidth="1"/>
    <col min="4068" max="4068" width="13.33203125" style="1" customWidth="1"/>
    <col min="4069" max="4070" width="0" style="1" hidden="1" customWidth="1"/>
    <col min="4071" max="4071" width="13.33203125" style="1" customWidth="1"/>
    <col min="4072" max="4073" width="0" style="1" hidden="1" customWidth="1"/>
    <col min="4074" max="4075" width="13.33203125" style="1" customWidth="1"/>
    <col min="4076" max="4076" width="39.44140625" style="1" customWidth="1"/>
    <col min="4077" max="4081" width="13.33203125" style="1" customWidth="1"/>
    <col min="4082" max="4082" width="56.6640625" style="1" customWidth="1"/>
    <col min="4083" max="4083" width="11.6640625" style="1" customWidth="1"/>
    <col min="4084" max="4269" width="8.88671875" style="1"/>
    <col min="4270" max="4271" width="0" style="1" hidden="1" customWidth="1"/>
    <col min="4272" max="4272" width="12.33203125" style="1" customWidth="1"/>
    <col min="4273" max="4273" width="47" style="1" customWidth="1"/>
    <col min="4274" max="4313" width="0" style="1" hidden="1" customWidth="1"/>
    <col min="4314" max="4315" width="13.33203125" style="1" customWidth="1"/>
    <col min="4316" max="4317" width="0" style="1" hidden="1" customWidth="1"/>
    <col min="4318" max="4318" width="13.33203125" style="1" customWidth="1"/>
    <col min="4319" max="4320" width="0" style="1" hidden="1" customWidth="1"/>
    <col min="4321" max="4321" width="13.33203125" style="1" customWidth="1"/>
    <col min="4322" max="4323" width="0" style="1" hidden="1" customWidth="1"/>
    <col min="4324" max="4324" width="13.33203125" style="1" customWidth="1"/>
    <col min="4325" max="4326" width="0" style="1" hidden="1" customWidth="1"/>
    <col min="4327" max="4327" width="13.33203125" style="1" customWidth="1"/>
    <col min="4328" max="4329" width="0" style="1" hidden="1" customWidth="1"/>
    <col min="4330" max="4331" width="13.33203125" style="1" customWidth="1"/>
    <col min="4332" max="4332" width="39.44140625" style="1" customWidth="1"/>
    <col min="4333" max="4337" width="13.33203125" style="1" customWidth="1"/>
    <col min="4338" max="4338" width="56.6640625" style="1" customWidth="1"/>
    <col min="4339" max="4339" width="11.6640625" style="1" customWidth="1"/>
    <col min="4340" max="4525" width="8.88671875" style="1"/>
    <col min="4526" max="4527" width="0" style="1" hidden="1" customWidth="1"/>
    <col min="4528" max="4528" width="12.33203125" style="1" customWidth="1"/>
    <col min="4529" max="4529" width="47" style="1" customWidth="1"/>
    <col min="4530" max="4569" width="0" style="1" hidden="1" customWidth="1"/>
    <col min="4570" max="4571" width="13.33203125" style="1" customWidth="1"/>
    <col min="4572" max="4573" width="0" style="1" hidden="1" customWidth="1"/>
    <col min="4574" max="4574" width="13.33203125" style="1" customWidth="1"/>
    <col min="4575" max="4576" width="0" style="1" hidden="1" customWidth="1"/>
    <col min="4577" max="4577" width="13.33203125" style="1" customWidth="1"/>
    <col min="4578" max="4579" width="0" style="1" hidden="1" customWidth="1"/>
    <col min="4580" max="4580" width="13.33203125" style="1" customWidth="1"/>
    <col min="4581" max="4582" width="0" style="1" hidden="1" customWidth="1"/>
    <col min="4583" max="4583" width="13.33203125" style="1" customWidth="1"/>
    <col min="4584" max="4585" width="0" style="1" hidden="1" customWidth="1"/>
    <col min="4586" max="4587" width="13.33203125" style="1" customWidth="1"/>
    <col min="4588" max="4588" width="39.44140625" style="1" customWidth="1"/>
    <col min="4589" max="4593" width="13.33203125" style="1" customWidth="1"/>
    <col min="4594" max="4594" width="56.6640625" style="1" customWidth="1"/>
    <col min="4595" max="4595" width="11.6640625" style="1" customWidth="1"/>
    <col min="4596" max="4781" width="8.88671875" style="1"/>
    <col min="4782" max="4783" width="0" style="1" hidden="1" customWidth="1"/>
    <col min="4784" max="4784" width="12.33203125" style="1" customWidth="1"/>
    <col min="4785" max="4785" width="47" style="1" customWidth="1"/>
    <col min="4786" max="4825" width="0" style="1" hidden="1" customWidth="1"/>
    <col min="4826" max="4827" width="13.33203125" style="1" customWidth="1"/>
    <col min="4828" max="4829" width="0" style="1" hidden="1" customWidth="1"/>
    <col min="4830" max="4830" width="13.33203125" style="1" customWidth="1"/>
    <col min="4831" max="4832" width="0" style="1" hidden="1" customWidth="1"/>
    <col min="4833" max="4833" width="13.33203125" style="1" customWidth="1"/>
    <col min="4834" max="4835" width="0" style="1" hidden="1" customWidth="1"/>
    <col min="4836" max="4836" width="13.33203125" style="1" customWidth="1"/>
    <col min="4837" max="4838" width="0" style="1" hidden="1" customWidth="1"/>
    <col min="4839" max="4839" width="13.33203125" style="1" customWidth="1"/>
    <col min="4840" max="4841" width="0" style="1" hidden="1" customWidth="1"/>
    <col min="4842" max="4843" width="13.33203125" style="1" customWidth="1"/>
    <col min="4844" max="4844" width="39.44140625" style="1" customWidth="1"/>
    <col min="4845" max="4849" width="13.33203125" style="1" customWidth="1"/>
    <col min="4850" max="4850" width="56.6640625" style="1" customWidth="1"/>
    <col min="4851" max="4851" width="11.6640625" style="1" customWidth="1"/>
    <col min="4852" max="5037" width="8.88671875" style="1"/>
    <col min="5038" max="5039" width="0" style="1" hidden="1" customWidth="1"/>
    <col min="5040" max="5040" width="12.33203125" style="1" customWidth="1"/>
    <col min="5041" max="5041" width="47" style="1" customWidth="1"/>
    <col min="5042" max="5081" width="0" style="1" hidden="1" customWidth="1"/>
    <col min="5082" max="5083" width="13.33203125" style="1" customWidth="1"/>
    <col min="5084" max="5085" width="0" style="1" hidden="1" customWidth="1"/>
    <col min="5086" max="5086" width="13.33203125" style="1" customWidth="1"/>
    <col min="5087" max="5088" width="0" style="1" hidden="1" customWidth="1"/>
    <col min="5089" max="5089" width="13.33203125" style="1" customWidth="1"/>
    <col min="5090" max="5091" width="0" style="1" hidden="1" customWidth="1"/>
    <col min="5092" max="5092" width="13.33203125" style="1" customWidth="1"/>
    <col min="5093" max="5094" width="0" style="1" hidden="1" customWidth="1"/>
    <col min="5095" max="5095" width="13.33203125" style="1" customWidth="1"/>
    <col min="5096" max="5097" width="0" style="1" hidden="1" customWidth="1"/>
    <col min="5098" max="5099" width="13.33203125" style="1" customWidth="1"/>
    <col min="5100" max="5100" width="39.44140625" style="1" customWidth="1"/>
    <col min="5101" max="5105" width="13.33203125" style="1" customWidth="1"/>
    <col min="5106" max="5106" width="56.6640625" style="1" customWidth="1"/>
    <col min="5107" max="5107" width="11.6640625" style="1" customWidth="1"/>
    <col min="5108" max="5293" width="8.88671875" style="1"/>
    <col min="5294" max="5295" width="0" style="1" hidden="1" customWidth="1"/>
    <col min="5296" max="5296" width="12.33203125" style="1" customWidth="1"/>
    <col min="5297" max="5297" width="47" style="1" customWidth="1"/>
    <col min="5298" max="5337" width="0" style="1" hidden="1" customWidth="1"/>
    <col min="5338" max="5339" width="13.33203125" style="1" customWidth="1"/>
    <col min="5340" max="5341" width="0" style="1" hidden="1" customWidth="1"/>
    <col min="5342" max="5342" width="13.33203125" style="1" customWidth="1"/>
    <col min="5343" max="5344" width="0" style="1" hidden="1" customWidth="1"/>
    <col min="5345" max="5345" width="13.33203125" style="1" customWidth="1"/>
    <col min="5346" max="5347" width="0" style="1" hidden="1" customWidth="1"/>
    <col min="5348" max="5348" width="13.33203125" style="1" customWidth="1"/>
    <col min="5349" max="5350" width="0" style="1" hidden="1" customWidth="1"/>
    <col min="5351" max="5351" width="13.33203125" style="1" customWidth="1"/>
    <col min="5352" max="5353" width="0" style="1" hidden="1" customWidth="1"/>
    <col min="5354" max="5355" width="13.33203125" style="1" customWidth="1"/>
    <col min="5356" max="5356" width="39.44140625" style="1" customWidth="1"/>
    <col min="5357" max="5361" width="13.33203125" style="1" customWidth="1"/>
    <col min="5362" max="5362" width="56.6640625" style="1" customWidth="1"/>
    <col min="5363" max="5363" width="11.6640625" style="1" customWidth="1"/>
    <col min="5364" max="5549" width="8.88671875" style="1"/>
    <col min="5550" max="5551" width="0" style="1" hidden="1" customWidth="1"/>
    <col min="5552" max="5552" width="12.33203125" style="1" customWidth="1"/>
    <col min="5553" max="5553" width="47" style="1" customWidth="1"/>
    <col min="5554" max="5593" width="0" style="1" hidden="1" customWidth="1"/>
    <col min="5594" max="5595" width="13.33203125" style="1" customWidth="1"/>
    <col min="5596" max="5597" width="0" style="1" hidden="1" customWidth="1"/>
    <col min="5598" max="5598" width="13.33203125" style="1" customWidth="1"/>
    <col min="5599" max="5600" width="0" style="1" hidden="1" customWidth="1"/>
    <col min="5601" max="5601" width="13.33203125" style="1" customWidth="1"/>
    <col min="5602" max="5603" width="0" style="1" hidden="1" customWidth="1"/>
    <col min="5604" max="5604" width="13.33203125" style="1" customWidth="1"/>
    <col min="5605" max="5606" width="0" style="1" hidden="1" customWidth="1"/>
    <col min="5607" max="5607" width="13.33203125" style="1" customWidth="1"/>
    <col min="5608" max="5609" width="0" style="1" hidden="1" customWidth="1"/>
    <col min="5610" max="5611" width="13.33203125" style="1" customWidth="1"/>
    <col min="5612" max="5612" width="39.44140625" style="1" customWidth="1"/>
    <col min="5613" max="5617" width="13.33203125" style="1" customWidth="1"/>
    <col min="5618" max="5618" width="56.6640625" style="1" customWidth="1"/>
    <col min="5619" max="5619" width="11.6640625" style="1" customWidth="1"/>
    <col min="5620" max="5805" width="8.88671875" style="1"/>
    <col min="5806" max="5807" width="0" style="1" hidden="1" customWidth="1"/>
    <col min="5808" max="5808" width="12.33203125" style="1" customWidth="1"/>
    <col min="5809" max="5809" width="47" style="1" customWidth="1"/>
    <col min="5810" max="5849" width="0" style="1" hidden="1" customWidth="1"/>
    <col min="5850" max="5851" width="13.33203125" style="1" customWidth="1"/>
    <col min="5852" max="5853" width="0" style="1" hidden="1" customWidth="1"/>
    <col min="5854" max="5854" width="13.33203125" style="1" customWidth="1"/>
    <col min="5855" max="5856" width="0" style="1" hidden="1" customWidth="1"/>
    <col min="5857" max="5857" width="13.33203125" style="1" customWidth="1"/>
    <col min="5858" max="5859" width="0" style="1" hidden="1" customWidth="1"/>
    <col min="5860" max="5860" width="13.33203125" style="1" customWidth="1"/>
    <col min="5861" max="5862" width="0" style="1" hidden="1" customWidth="1"/>
    <col min="5863" max="5863" width="13.33203125" style="1" customWidth="1"/>
    <col min="5864" max="5865" width="0" style="1" hidden="1" customWidth="1"/>
    <col min="5866" max="5867" width="13.33203125" style="1" customWidth="1"/>
    <col min="5868" max="5868" width="39.44140625" style="1" customWidth="1"/>
    <col min="5869" max="5873" width="13.33203125" style="1" customWidth="1"/>
    <col min="5874" max="5874" width="56.6640625" style="1" customWidth="1"/>
    <col min="5875" max="5875" width="11.6640625" style="1" customWidth="1"/>
    <col min="5876" max="6061" width="8.88671875" style="1"/>
    <col min="6062" max="6063" width="0" style="1" hidden="1" customWidth="1"/>
    <col min="6064" max="6064" width="12.33203125" style="1" customWidth="1"/>
    <col min="6065" max="6065" width="47" style="1" customWidth="1"/>
    <col min="6066" max="6105" width="0" style="1" hidden="1" customWidth="1"/>
    <col min="6106" max="6107" width="13.33203125" style="1" customWidth="1"/>
    <col min="6108" max="6109" width="0" style="1" hidden="1" customWidth="1"/>
    <col min="6110" max="6110" width="13.33203125" style="1" customWidth="1"/>
    <col min="6111" max="6112" width="0" style="1" hidden="1" customWidth="1"/>
    <col min="6113" max="6113" width="13.33203125" style="1" customWidth="1"/>
    <col min="6114" max="6115" width="0" style="1" hidden="1" customWidth="1"/>
    <col min="6116" max="6116" width="13.33203125" style="1" customWidth="1"/>
    <col min="6117" max="6118" width="0" style="1" hidden="1" customWidth="1"/>
    <col min="6119" max="6119" width="13.33203125" style="1" customWidth="1"/>
    <col min="6120" max="6121" width="0" style="1" hidden="1" customWidth="1"/>
    <col min="6122" max="6123" width="13.33203125" style="1" customWidth="1"/>
    <col min="6124" max="6124" width="39.44140625" style="1" customWidth="1"/>
    <col min="6125" max="6129" width="13.33203125" style="1" customWidth="1"/>
    <col min="6130" max="6130" width="56.6640625" style="1" customWidth="1"/>
    <col min="6131" max="6131" width="11.6640625" style="1" customWidth="1"/>
    <col min="6132" max="6317" width="8.88671875" style="1"/>
    <col min="6318" max="6319" width="0" style="1" hidden="1" customWidth="1"/>
    <col min="6320" max="6320" width="12.33203125" style="1" customWidth="1"/>
    <col min="6321" max="6321" width="47" style="1" customWidth="1"/>
    <col min="6322" max="6361" width="0" style="1" hidden="1" customWidth="1"/>
    <col min="6362" max="6363" width="13.33203125" style="1" customWidth="1"/>
    <col min="6364" max="6365" width="0" style="1" hidden="1" customWidth="1"/>
    <col min="6366" max="6366" width="13.33203125" style="1" customWidth="1"/>
    <col min="6367" max="6368" width="0" style="1" hidden="1" customWidth="1"/>
    <col min="6369" max="6369" width="13.33203125" style="1" customWidth="1"/>
    <col min="6370" max="6371" width="0" style="1" hidden="1" customWidth="1"/>
    <col min="6372" max="6372" width="13.33203125" style="1" customWidth="1"/>
    <col min="6373" max="6374" width="0" style="1" hidden="1" customWidth="1"/>
    <col min="6375" max="6375" width="13.33203125" style="1" customWidth="1"/>
    <col min="6376" max="6377" width="0" style="1" hidden="1" customWidth="1"/>
    <col min="6378" max="6379" width="13.33203125" style="1" customWidth="1"/>
    <col min="6380" max="6380" width="39.44140625" style="1" customWidth="1"/>
    <col min="6381" max="6385" width="13.33203125" style="1" customWidth="1"/>
    <col min="6386" max="6386" width="56.6640625" style="1" customWidth="1"/>
    <col min="6387" max="6387" width="11.6640625" style="1" customWidth="1"/>
    <col min="6388" max="6573" width="8.88671875" style="1"/>
    <col min="6574" max="6575" width="0" style="1" hidden="1" customWidth="1"/>
    <col min="6576" max="6576" width="12.33203125" style="1" customWidth="1"/>
    <col min="6577" max="6577" width="47" style="1" customWidth="1"/>
    <col min="6578" max="6617" width="0" style="1" hidden="1" customWidth="1"/>
    <col min="6618" max="6619" width="13.33203125" style="1" customWidth="1"/>
    <col min="6620" max="6621" width="0" style="1" hidden="1" customWidth="1"/>
    <col min="6622" max="6622" width="13.33203125" style="1" customWidth="1"/>
    <col min="6623" max="6624" width="0" style="1" hidden="1" customWidth="1"/>
    <col min="6625" max="6625" width="13.33203125" style="1" customWidth="1"/>
    <col min="6626" max="6627" width="0" style="1" hidden="1" customWidth="1"/>
    <col min="6628" max="6628" width="13.33203125" style="1" customWidth="1"/>
    <col min="6629" max="6630" width="0" style="1" hidden="1" customWidth="1"/>
    <col min="6631" max="6631" width="13.33203125" style="1" customWidth="1"/>
    <col min="6632" max="6633" width="0" style="1" hidden="1" customWidth="1"/>
    <col min="6634" max="6635" width="13.33203125" style="1" customWidth="1"/>
    <col min="6636" max="6636" width="39.44140625" style="1" customWidth="1"/>
    <col min="6637" max="6641" width="13.33203125" style="1" customWidth="1"/>
    <col min="6642" max="6642" width="56.6640625" style="1" customWidth="1"/>
    <col min="6643" max="6643" width="11.6640625" style="1" customWidth="1"/>
    <col min="6644" max="6829" width="8.88671875" style="1"/>
    <col min="6830" max="6831" width="0" style="1" hidden="1" customWidth="1"/>
    <col min="6832" max="6832" width="12.33203125" style="1" customWidth="1"/>
    <col min="6833" max="6833" width="47" style="1" customWidth="1"/>
    <col min="6834" max="6873" width="0" style="1" hidden="1" customWidth="1"/>
    <col min="6874" max="6875" width="13.33203125" style="1" customWidth="1"/>
    <col min="6876" max="6877" width="0" style="1" hidden="1" customWidth="1"/>
    <col min="6878" max="6878" width="13.33203125" style="1" customWidth="1"/>
    <col min="6879" max="6880" width="0" style="1" hidden="1" customWidth="1"/>
    <col min="6881" max="6881" width="13.33203125" style="1" customWidth="1"/>
    <col min="6882" max="6883" width="0" style="1" hidden="1" customWidth="1"/>
    <col min="6884" max="6884" width="13.33203125" style="1" customWidth="1"/>
    <col min="6885" max="6886" width="0" style="1" hidden="1" customWidth="1"/>
    <col min="6887" max="6887" width="13.33203125" style="1" customWidth="1"/>
    <col min="6888" max="6889" width="0" style="1" hidden="1" customWidth="1"/>
    <col min="6890" max="6891" width="13.33203125" style="1" customWidth="1"/>
    <col min="6892" max="6892" width="39.44140625" style="1" customWidth="1"/>
    <col min="6893" max="6897" width="13.33203125" style="1" customWidth="1"/>
    <col min="6898" max="6898" width="56.6640625" style="1" customWidth="1"/>
    <col min="6899" max="6899" width="11.6640625" style="1" customWidth="1"/>
    <col min="6900" max="7085" width="8.88671875" style="1"/>
    <col min="7086" max="7087" width="0" style="1" hidden="1" customWidth="1"/>
    <col min="7088" max="7088" width="12.33203125" style="1" customWidth="1"/>
    <col min="7089" max="7089" width="47" style="1" customWidth="1"/>
    <col min="7090" max="7129" width="0" style="1" hidden="1" customWidth="1"/>
    <col min="7130" max="7131" width="13.33203125" style="1" customWidth="1"/>
    <col min="7132" max="7133" width="0" style="1" hidden="1" customWidth="1"/>
    <col min="7134" max="7134" width="13.33203125" style="1" customWidth="1"/>
    <col min="7135" max="7136" width="0" style="1" hidden="1" customWidth="1"/>
    <col min="7137" max="7137" width="13.33203125" style="1" customWidth="1"/>
    <col min="7138" max="7139" width="0" style="1" hidden="1" customWidth="1"/>
    <col min="7140" max="7140" width="13.33203125" style="1" customWidth="1"/>
    <col min="7141" max="7142" width="0" style="1" hidden="1" customWidth="1"/>
    <col min="7143" max="7143" width="13.33203125" style="1" customWidth="1"/>
    <col min="7144" max="7145" width="0" style="1" hidden="1" customWidth="1"/>
    <col min="7146" max="7147" width="13.33203125" style="1" customWidth="1"/>
    <col min="7148" max="7148" width="39.44140625" style="1" customWidth="1"/>
    <col min="7149" max="7153" width="13.33203125" style="1" customWidth="1"/>
    <col min="7154" max="7154" width="56.6640625" style="1" customWidth="1"/>
    <col min="7155" max="7155" width="11.6640625" style="1" customWidth="1"/>
    <col min="7156" max="7341" width="8.88671875" style="1"/>
    <col min="7342" max="7343" width="0" style="1" hidden="1" customWidth="1"/>
    <col min="7344" max="7344" width="12.33203125" style="1" customWidth="1"/>
    <col min="7345" max="7345" width="47" style="1" customWidth="1"/>
    <col min="7346" max="7385" width="0" style="1" hidden="1" customWidth="1"/>
    <col min="7386" max="7387" width="13.33203125" style="1" customWidth="1"/>
    <col min="7388" max="7389" width="0" style="1" hidden="1" customWidth="1"/>
    <col min="7390" max="7390" width="13.33203125" style="1" customWidth="1"/>
    <col min="7391" max="7392" width="0" style="1" hidden="1" customWidth="1"/>
    <col min="7393" max="7393" width="13.33203125" style="1" customWidth="1"/>
    <col min="7394" max="7395" width="0" style="1" hidden="1" customWidth="1"/>
    <col min="7396" max="7396" width="13.33203125" style="1" customWidth="1"/>
    <col min="7397" max="7398" width="0" style="1" hidden="1" customWidth="1"/>
    <col min="7399" max="7399" width="13.33203125" style="1" customWidth="1"/>
    <col min="7400" max="7401" width="0" style="1" hidden="1" customWidth="1"/>
    <col min="7402" max="7403" width="13.33203125" style="1" customWidth="1"/>
    <col min="7404" max="7404" width="39.44140625" style="1" customWidth="1"/>
    <col min="7405" max="7409" width="13.33203125" style="1" customWidth="1"/>
    <col min="7410" max="7410" width="56.6640625" style="1" customWidth="1"/>
    <col min="7411" max="7411" width="11.6640625" style="1" customWidth="1"/>
    <col min="7412" max="7597" width="8.88671875" style="1"/>
    <col min="7598" max="7599" width="0" style="1" hidden="1" customWidth="1"/>
    <col min="7600" max="7600" width="12.33203125" style="1" customWidth="1"/>
    <col min="7601" max="7601" width="47" style="1" customWidth="1"/>
    <col min="7602" max="7641" width="0" style="1" hidden="1" customWidth="1"/>
    <col min="7642" max="7643" width="13.33203125" style="1" customWidth="1"/>
    <col min="7644" max="7645" width="0" style="1" hidden="1" customWidth="1"/>
    <col min="7646" max="7646" width="13.33203125" style="1" customWidth="1"/>
    <col min="7647" max="7648" width="0" style="1" hidden="1" customWidth="1"/>
    <col min="7649" max="7649" width="13.33203125" style="1" customWidth="1"/>
    <col min="7650" max="7651" width="0" style="1" hidden="1" customWidth="1"/>
    <col min="7652" max="7652" width="13.33203125" style="1" customWidth="1"/>
    <col min="7653" max="7654" width="0" style="1" hidden="1" customWidth="1"/>
    <col min="7655" max="7655" width="13.33203125" style="1" customWidth="1"/>
    <col min="7656" max="7657" width="0" style="1" hidden="1" customWidth="1"/>
    <col min="7658" max="7659" width="13.33203125" style="1" customWidth="1"/>
    <col min="7660" max="7660" width="39.44140625" style="1" customWidth="1"/>
    <col min="7661" max="7665" width="13.33203125" style="1" customWidth="1"/>
    <col min="7666" max="7666" width="56.6640625" style="1" customWidth="1"/>
    <col min="7667" max="7667" width="11.6640625" style="1" customWidth="1"/>
    <col min="7668" max="7853" width="8.88671875" style="1"/>
    <col min="7854" max="7855" width="0" style="1" hidden="1" customWidth="1"/>
    <col min="7856" max="7856" width="12.33203125" style="1" customWidth="1"/>
    <col min="7857" max="7857" width="47" style="1" customWidth="1"/>
    <col min="7858" max="7897" width="0" style="1" hidden="1" customWidth="1"/>
    <col min="7898" max="7899" width="13.33203125" style="1" customWidth="1"/>
    <col min="7900" max="7901" width="0" style="1" hidden="1" customWidth="1"/>
    <col min="7902" max="7902" width="13.33203125" style="1" customWidth="1"/>
    <col min="7903" max="7904" width="0" style="1" hidden="1" customWidth="1"/>
    <col min="7905" max="7905" width="13.33203125" style="1" customWidth="1"/>
    <col min="7906" max="7907" width="0" style="1" hidden="1" customWidth="1"/>
    <col min="7908" max="7908" width="13.33203125" style="1" customWidth="1"/>
    <col min="7909" max="7910" width="0" style="1" hidden="1" customWidth="1"/>
    <col min="7911" max="7911" width="13.33203125" style="1" customWidth="1"/>
    <col min="7912" max="7913" width="0" style="1" hidden="1" customWidth="1"/>
    <col min="7914" max="7915" width="13.33203125" style="1" customWidth="1"/>
    <col min="7916" max="7916" width="39.44140625" style="1" customWidth="1"/>
    <col min="7917" max="7921" width="13.33203125" style="1" customWidth="1"/>
    <col min="7922" max="7922" width="56.6640625" style="1" customWidth="1"/>
    <col min="7923" max="7923" width="11.6640625" style="1" customWidth="1"/>
    <col min="7924" max="8109" width="8.88671875" style="1"/>
    <col min="8110" max="8111" width="0" style="1" hidden="1" customWidth="1"/>
    <col min="8112" max="8112" width="12.33203125" style="1" customWidth="1"/>
    <col min="8113" max="8113" width="47" style="1" customWidth="1"/>
    <col min="8114" max="8153" width="0" style="1" hidden="1" customWidth="1"/>
    <col min="8154" max="8155" width="13.33203125" style="1" customWidth="1"/>
    <col min="8156" max="8157" width="0" style="1" hidden="1" customWidth="1"/>
    <col min="8158" max="8158" width="13.33203125" style="1" customWidth="1"/>
    <col min="8159" max="8160" width="0" style="1" hidden="1" customWidth="1"/>
    <col min="8161" max="8161" width="13.33203125" style="1" customWidth="1"/>
    <col min="8162" max="8163" width="0" style="1" hidden="1" customWidth="1"/>
    <col min="8164" max="8164" width="13.33203125" style="1" customWidth="1"/>
    <col min="8165" max="8166" width="0" style="1" hidden="1" customWidth="1"/>
    <col min="8167" max="8167" width="13.33203125" style="1" customWidth="1"/>
    <col min="8168" max="8169" width="0" style="1" hidden="1" customWidth="1"/>
    <col min="8170" max="8171" width="13.33203125" style="1" customWidth="1"/>
    <col min="8172" max="8172" width="39.44140625" style="1" customWidth="1"/>
    <col min="8173" max="8177" width="13.33203125" style="1" customWidth="1"/>
    <col min="8178" max="8178" width="56.6640625" style="1" customWidth="1"/>
    <col min="8179" max="8179" width="11.6640625" style="1" customWidth="1"/>
    <col min="8180" max="8365" width="8.88671875" style="1"/>
    <col min="8366" max="8367" width="0" style="1" hidden="1" customWidth="1"/>
    <col min="8368" max="8368" width="12.33203125" style="1" customWidth="1"/>
    <col min="8369" max="8369" width="47" style="1" customWidth="1"/>
    <col min="8370" max="8409" width="0" style="1" hidden="1" customWidth="1"/>
    <col min="8410" max="8411" width="13.33203125" style="1" customWidth="1"/>
    <col min="8412" max="8413" width="0" style="1" hidden="1" customWidth="1"/>
    <col min="8414" max="8414" width="13.33203125" style="1" customWidth="1"/>
    <col min="8415" max="8416" width="0" style="1" hidden="1" customWidth="1"/>
    <col min="8417" max="8417" width="13.33203125" style="1" customWidth="1"/>
    <col min="8418" max="8419" width="0" style="1" hidden="1" customWidth="1"/>
    <col min="8420" max="8420" width="13.33203125" style="1" customWidth="1"/>
    <col min="8421" max="8422" width="0" style="1" hidden="1" customWidth="1"/>
    <col min="8423" max="8423" width="13.33203125" style="1" customWidth="1"/>
    <col min="8424" max="8425" width="0" style="1" hidden="1" customWidth="1"/>
    <col min="8426" max="8427" width="13.33203125" style="1" customWidth="1"/>
    <col min="8428" max="8428" width="39.44140625" style="1" customWidth="1"/>
    <col min="8429" max="8433" width="13.33203125" style="1" customWidth="1"/>
    <col min="8434" max="8434" width="56.6640625" style="1" customWidth="1"/>
    <col min="8435" max="8435" width="11.6640625" style="1" customWidth="1"/>
    <col min="8436" max="8621" width="8.88671875" style="1"/>
    <col min="8622" max="8623" width="0" style="1" hidden="1" customWidth="1"/>
    <col min="8624" max="8624" width="12.33203125" style="1" customWidth="1"/>
    <col min="8625" max="8625" width="47" style="1" customWidth="1"/>
    <col min="8626" max="8665" width="0" style="1" hidden="1" customWidth="1"/>
    <col min="8666" max="8667" width="13.33203125" style="1" customWidth="1"/>
    <col min="8668" max="8669" width="0" style="1" hidden="1" customWidth="1"/>
    <col min="8670" max="8670" width="13.33203125" style="1" customWidth="1"/>
    <col min="8671" max="8672" width="0" style="1" hidden="1" customWidth="1"/>
    <col min="8673" max="8673" width="13.33203125" style="1" customWidth="1"/>
    <col min="8674" max="8675" width="0" style="1" hidden="1" customWidth="1"/>
    <col min="8676" max="8676" width="13.33203125" style="1" customWidth="1"/>
    <col min="8677" max="8678" width="0" style="1" hidden="1" customWidth="1"/>
    <col min="8679" max="8679" width="13.33203125" style="1" customWidth="1"/>
    <col min="8680" max="8681" width="0" style="1" hidden="1" customWidth="1"/>
    <col min="8682" max="8683" width="13.33203125" style="1" customWidth="1"/>
    <col min="8684" max="8684" width="39.44140625" style="1" customWidth="1"/>
    <col min="8685" max="8689" width="13.33203125" style="1" customWidth="1"/>
    <col min="8690" max="8690" width="56.6640625" style="1" customWidth="1"/>
    <col min="8691" max="8691" width="11.6640625" style="1" customWidth="1"/>
    <col min="8692" max="8877" width="8.88671875" style="1"/>
    <col min="8878" max="8879" width="0" style="1" hidden="1" customWidth="1"/>
    <col min="8880" max="8880" width="12.33203125" style="1" customWidth="1"/>
    <col min="8881" max="8881" width="47" style="1" customWidth="1"/>
    <col min="8882" max="8921" width="0" style="1" hidden="1" customWidth="1"/>
    <col min="8922" max="8923" width="13.33203125" style="1" customWidth="1"/>
    <col min="8924" max="8925" width="0" style="1" hidden="1" customWidth="1"/>
    <col min="8926" max="8926" width="13.33203125" style="1" customWidth="1"/>
    <col min="8927" max="8928" width="0" style="1" hidden="1" customWidth="1"/>
    <col min="8929" max="8929" width="13.33203125" style="1" customWidth="1"/>
    <col min="8930" max="8931" width="0" style="1" hidden="1" customWidth="1"/>
    <col min="8932" max="8932" width="13.33203125" style="1" customWidth="1"/>
    <col min="8933" max="8934" width="0" style="1" hidden="1" customWidth="1"/>
    <col min="8935" max="8935" width="13.33203125" style="1" customWidth="1"/>
    <col min="8936" max="8937" width="0" style="1" hidden="1" customWidth="1"/>
    <col min="8938" max="8939" width="13.33203125" style="1" customWidth="1"/>
    <col min="8940" max="8940" width="39.44140625" style="1" customWidth="1"/>
    <col min="8941" max="8945" width="13.33203125" style="1" customWidth="1"/>
    <col min="8946" max="8946" width="56.6640625" style="1" customWidth="1"/>
    <col min="8947" max="8947" width="11.6640625" style="1" customWidth="1"/>
    <col min="8948" max="9133" width="8.88671875" style="1"/>
    <col min="9134" max="9135" width="0" style="1" hidden="1" customWidth="1"/>
    <col min="9136" max="9136" width="12.33203125" style="1" customWidth="1"/>
    <col min="9137" max="9137" width="47" style="1" customWidth="1"/>
    <col min="9138" max="9177" width="0" style="1" hidden="1" customWidth="1"/>
    <col min="9178" max="9179" width="13.33203125" style="1" customWidth="1"/>
    <col min="9180" max="9181" width="0" style="1" hidden="1" customWidth="1"/>
    <col min="9182" max="9182" width="13.33203125" style="1" customWidth="1"/>
    <col min="9183" max="9184" width="0" style="1" hidden="1" customWidth="1"/>
    <col min="9185" max="9185" width="13.33203125" style="1" customWidth="1"/>
    <col min="9186" max="9187" width="0" style="1" hidden="1" customWidth="1"/>
    <col min="9188" max="9188" width="13.33203125" style="1" customWidth="1"/>
    <col min="9189" max="9190" width="0" style="1" hidden="1" customWidth="1"/>
    <col min="9191" max="9191" width="13.33203125" style="1" customWidth="1"/>
    <col min="9192" max="9193" width="0" style="1" hidden="1" customWidth="1"/>
    <col min="9194" max="9195" width="13.33203125" style="1" customWidth="1"/>
    <col min="9196" max="9196" width="39.44140625" style="1" customWidth="1"/>
    <col min="9197" max="9201" width="13.33203125" style="1" customWidth="1"/>
    <col min="9202" max="9202" width="56.6640625" style="1" customWidth="1"/>
    <col min="9203" max="9203" width="11.6640625" style="1" customWidth="1"/>
    <col min="9204" max="9389" width="8.88671875" style="1"/>
    <col min="9390" max="9391" width="0" style="1" hidden="1" customWidth="1"/>
    <col min="9392" max="9392" width="12.33203125" style="1" customWidth="1"/>
    <col min="9393" max="9393" width="47" style="1" customWidth="1"/>
    <col min="9394" max="9433" width="0" style="1" hidden="1" customWidth="1"/>
    <col min="9434" max="9435" width="13.33203125" style="1" customWidth="1"/>
    <col min="9436" max="9437" width="0" style="1" hidden="1" customWidth="1"/>
    <col min="9438" max="9438" width="13.33203125" style="1" customWidth="1"/>
    <col min="9439" max="9440" width="0" style="1" hidden="1" customWidth="1"/>
    <col min="9441" max="9441" width="13.33203125" style="1" customWidth="1"/>
    <col min="9442" max="9443" width="0" style="1" hidden="1" customWidth="1"/>
    <col min="9444" max="9444" width="13.33203125" style="1" customWidth="1"/>
    <col min="9445" max="9446" width="0" style="1" hidden="1" customWidth="1"/>
    <col min="9447" max="9447" width="13.33203125" style="1" customWidth="1"/>
    <col min="9448" max="9449" width="0" style="1" hidden="1" customWidth="1"/>
    <col min="9450" max="9451" width="13.33203125" style="1" customWidth="1"/>
    <col min="9452" max="9452" width="39.44140625" style="1" customWidth="1"/>
    <col min="9453" max="9457" width="13.33203125" style="1" customWidth="1"/>
    <col min="9458" max="9458" width="56.6640625" style="1" customWidth="1"/>
    <col min="9459" max="9459" width="11.6640625" style="1" customWidth="1"/>
    <col min="9460" max="9645" width="8.88671875" style="1"/>
    <col min="9646" max="9647" width="0" style="1" hidden="1" customWidth="1"/>
    <col min="9648" max="9648" width="12.33203125" style="1" customWidth="1"/>
    <col min="9649" max="9649" width="47" style="1" customWidth="1"/>
    <col min="9650" max="9689" width="0" style="1" hidden="1" customWidth="1"/>
    <col min="9690" max="9691" width="13.33203125" style="1" customWidth="1"/>
    <col min="9692" max="9693" width="0" style="1" hidden="1" customWidth="1"/>
    <col min="9694" max="9694" width="13.33203125" style="1" customWidth="1"/>
    <col min="9695" max="9696" width="0" style="1" hidden="1" customWidth="1"/>
    <col min="9697" max="9697" width="13.33203125" style="1" customWidth="1"/>
    <col min="9698" max="9699" width="0" style="1" hidden="1" customWidth="1"/>
    <col min="9700" max="9700" width="13.33203125" style="1" customWidth="1"/>
    <col min="9701" max="9702" width="0" style="1" hidden="1" customWidth="1"/>
    <col min="9703" max="9703" width="13.33203125" style="1" customWidth="1"/>
    <col min="9704" max="9705" width="0" style="1" hidden="1" customWidth="1"/>
    <col min="9706" max="9707" width="13.33203125" style="1" customWidth="1"/>
    <col min="9708" max="9708" width="39.44140625" style="1" customWidth="1"/>
    <col min="9709" max="9713" width="13.33203125" style="1" customWidth="1"/>
    <col min="9714" max="9714" width="56.6640625" style="1" customWidth="1"/>
    <col min="9715" max="9715" width="11.6640625" style="1" customWidth="1"/>
    <col min="9716" max="9901" width="8.88671875" style="1"/>
    <col min="9902" max="9903" width="0" style="1" hidden="1" customWidth="1"/>
    <col min="9904" max="9904" width="12.33203125" style="1" customWidth="1"/>
    <col min="9905" max="9905" width="47" style="1" customWidth="1"/>
    <col min="9906" max="9945" width="0" style="1" hidden="1" customWidth="1"/>
    <col min="9946" max="9947" width="13.33203125" style="1" customWidth="1"/>
    <col min="9948" max="9949" width="0" style="1" hidden="1" customWidth="1"/>
    <col min="9950" max="9950" width="13.33203125" style="1" customWidth="1"/>
    <col min="9951" max="9952" width="0" style="1" hidden="1" customWidth="1"/>
    <col min="9953" max="9953" width="13.33203125" style="1" customWidth="1"/>
    <col min="9954" max="9955" width="0" style="1" hidden="1" customWidth="1"/>
    <col min="9956" max="9956" width="13.33203125" style="1" customWidth="1"/>
    <col min="9957" max="9958" width="0" style="1" hidden="1" customWidth="1"/>
    <col min="9959" max="9959" width="13.33203125" style="1" customWidth="1"/>
    <col min="9960" max="9961" width="0" style="1" hidden="1" customWidth="1"/>
    <col min="9962" max="9963" width="13.33203125" style="1" customWidth="1"/>
    <col min="9964" max="9964" width="39.44140625" style="1" customWidth="1"/>
    <col min="9965" max="9969" width="13.33203125" style="1" customWidth="1"/>
    <col min="9970" max="9970" width="56.6640625" style="1" customWidth="1"/>
    <col min="9971" max="9971" width="11.6640625" style="1" customWidth="1"/>
    <col min="9972" max="10157" width="8.88671875" style="1"/>
    <col min="10158" max="10159" width="0" style="1" hidden="1" customWidth="1"/>
    <col min="10160" max="10160" width="12.33203125" style="1" customWidth="1"/>
    <col min="10161" max="10161" width="47" style="1" customWidth="1"/>
    <col min="10162" max="10201" width="0" style="1" hidden="1" customWidth="1"/>
    <col min="10202" max="10203" width="13.33203125" style="1" customWidth="1"/>
    <col min="10204" max="10205" width="0" style="1" hidden="1" customWidth="1"/>
    <col min="10206" max="10206" width="13.33203125" style="1" customWidth="1"/>
    <col min="10207" max="10208" width="0" style="1" hidden="1" customWidth="1"/>
    <col min="10209" max="10209" width="13.33203125" style="1" customWidth="1"/>
    <col min="10210" max="10211" width="0" style="1" hidden="1" customWidth="1"/>
    <col min="10212" max="10212" width="13.33203125" style="1" customWidth="1"/>
    <col min="10213" max="10214" width="0" style="1" hidden="1" customWidth="1"/>
    <col min="10215" max="10215" width="13.33203125" style="1" customWidth="1"/>
    <col min="10216" max="10217" width="0" style="1" hidden="1" customWidth="1"/>
    <col min="10218" max="10219" width="13.33203125" style="1" customWidth="1"/>
    <col min="10220" max="10220" width="39.44140625" style="1" customWidth="1"/>
    <col min="10221" max="10225" width="13.33203125" style="1" customWidth="1"/>
    <col min="10226" max="10226" width="56.6640625" style="1" customWidth="1"/>
    <col min="10227" max="10227" width="11.6640625" style="1" customWidth="1"/>
    <col min="10228" max="10413" width="8.88671875" style="1"/>
    <col min="10414" max="10415" width="0" style="1" hidden="1" customWidth="1"/>
    <col min="10416" max="10416" width="12.33203125" style="1" customWidth="1"/>
    <col min="10417" max="10417" width="47" style="1" customWidth="1"/>
    <col min="10418" max="10457" width="0" style="1" hidden="1" customWidth="1"/>
    <col min="10458" max="10459" width="13.33203125" style="1" customWidth="1"/>
    <col min="10460" max="10461" width="0" style="1" hidden="1" customWidth="1"/>
    <col min="10462" max="10462" width="13.33203125" style="1" customWidth="1"/>
    <col min="10463" max="10464" width="0" style="1" hidden="1" customWidth="1"/>
    <col min="10465" max="10465" width="13.33203125" style="1" customWidth="1"/>
    <col min="10466" max="10467" width="0" style="1" hidden="1" customWidth="1"/>
    <col min="10468" max="10468" width="13.33203125" style="1" customWidth="1"/>
    <col min="10469" max="10470" width="0" style="1" hidden="1" customWidth="1"/>
    <col min="10471" max="10471" width="13.33203125" style="1" customWidth="1"/>
    <col min="10472" max="10473" width="0" style="1" hidden="1" customWidth="1"/>
    <col min="10474" max="10475" width="13.33203125" style="1" customWidth="1"/>
    <col min="10476" max="10476" width="39.44140625" style="1" customWidth="1"/>
    <col min="10477" max="10481" width="13.33203125" style="1" customWidth="1"/>
    <col min="10482" max="10482" width="56.6640625" style="1" customWidth="1"/>
    <col min="10483" max="10483" width="11.6640625" style="1" customWidth="1"/>
    <col min="10484" max="10669" width="8.88671875" style="1"/>
    <col min="10670" max="10671" width="0" style="1" hidden="1" customWidth="1"/>
    <col min="10672" max="10672" width="12.33203125" style="1" customWidth="1"/>
    <col min="10673" max="10673" width="47" style="1" customWidth="1"/>
    <col min="10674" max="10713" width="0" style="1" hidden="1" customWidth="1"/>
    <col min="10714" max="10715" width="13.33203125" style="1" customWidth="1"/>
    <col min="10716" max="10717" width="0" style="1" hidden="1" customWidth="1"/>
    <col min="10718" max="10718" width="13.33203125" style="1" customWidth="1"/>
    <col min="10719" max="10720" width="0" style="1" hidden="1" customWidth="1"/>
    <col min="10721" max="10721" width="13.33203125" style="1" customWidth="1"/>
    <col min="10722" max="10723" width="0" style="1" hidden="1" customWidth="1"/>
    <col min="10724" max="10724" width="13.33203125" style="1" customWidth="1"/>
    <col min="10725" max="10726" width="0" style="1" hidden="1" customWidth="1"/>
    <col min="10727" max="10727" width="13.33203125" style="1" customWidth="1"/>
    <col min="10728" max="10729" width="0" style="1" hidden="1" customWidth="1"/>
    <col min="10730" max="10731" width="13.33203125" style="1" customWidth="1"/>
    <col min="10732" max="10732" width="39.44140625" style="1" customWidth="1"/>
    <col min="10733" max="10737" width="13.33203125" style="1" customWidth="1"/>
    <col min="10738" max="10738" width="56.6640625" style="1" customWidth="1"/>
    <col min="10739" max="10739" width="11.6640625" style="1" customWidth="1"/>
    <col min="10740" max="10925" width="8.88671875" style="1"/>
    <col min="10926" max="10927" width="0" style="1" hidden="1" customWidth="1"/>
    <col min="10928" max="10928" width="12.33203125" style="1" customWidth="1"/>
    <col min="10929" max="10929" width="47" style="1" customWidth="1"/>
    <col min="10930" max="10969" width="0" style="1" hidden="1" customWidth="1"/>
    <col min="10970" max="10971" width="13.33203125" style="1" customWidth="1"/>
    <col min="10972" max="10973" width="0" style="1" hidden="1" customWidth="1"/>
    <col min="10974" max="10974" width="13.33203125" style="1" customWidth="1"/>
    <col min="10975" max="10976" width="0" style="1" hidden="1" customWidth="1"/>
    <col min="10977" max="10977" width="13.33203125" style="1" customWidth="1"/>
    <col min="10978" max="10979" width="0" style="1" hidden="1" customWidth="1"/>
    <col min="10980" max="10980" width="13.33203125" style="1" customWidth="1"/>
    <col min="10981" max="10982" width="0" style="1" hidden="1" customWidth="1"/>
    <col min="10983" max="10983" width="13.33203125" style="1" customWidth="1"/>
    <col min="10984" max="10985" width="0" style="1" hidden="1" customWidth="1"/>
    <col min="10986" max="10987" width="13.33203125" style="1" customWidth="1"/>
    <col min="10988" max="10988" width="39.44140625" style="1" customWidth="1"/>
    <col min="10989" max="10993" width="13.33203125" style="1" customWidth="1"/>
    <col min="10994" max="10994" width="56.6640625" style="1" customWidth="1"/>
    <col min="10995" max="10995" width="11.6640625" style="1" customWidth="1"/>
    <col min="10996" max="11181" width="8.88671875" style="1"/>
    <col min="11182" max="11183" width="0" style="1" hidden="1" customWidth="1"/>
    <col min="11184" max="11184" width="12.33203125" style="1" customWidth="1"/>
    <col min="11185" max="11185" width="47" style="1" customWidth="1"/>
    <col min="11186" max="11225" width="0" style="1" hidden="1" customWidth="1"/>
    <col min="11226" max="11227" width="13.33203125" style="1" customWidth="1"/>
    <col min="11228" max="11229" width="0" style="1" hidden="1" customWidth="1"/>
    <col min="11230" max="11230" width="13.33203125" style="1" customWidth="1"/>
    <col min="11231" max="11232" width="0" style="1" hidden="1" customWidth="1"/>
    <col min="11233" max="11233" width="13.33203125" style="1" customWidth="1"/>
    <col min="11234" max="11235" width="0" style="1" hidden="1" customWidth="1"/>
    <col min="11236" max="11236" width="13.33203125" style="1" customWidth="1"/>
    <col min="11237" max="11238" width="0" style="1" hidden="1" customWidth="1"/>
    <col min="11239" max="11239" width="13.33203125" style="1" customWidth="1"/>
    <col min="11240" max="11241" width="0" style="1" hidden="1" customWidth="1"/>
    <col min="11242" max="11243" width="13.33203125" style="1" customWidth="1"/>
    <col min="11244" max="11244" width="39.44140625" style="1" customWidth="1"/>
    <col min="11245" max="11249" width="13.33203125" style="1" customWidth="1"/>
    <col min="11250" max="11250" width="56.6640625" style="1" customWidth="1"/>
    <col min="11251" max="11251" width="11.6640625" style="1" customWidth="1"/>
    <col min="11252" max="11437" width="8.88671875" style="1"/>
    <col min="11438" max="11439" width="0" style="1" hidden="1" customWidth="1"/>
    <col min="11440" max="11440" width="12.33203125" style="1" customWidth="1"/>
    <col min="11441" max="11441" width="47" style="1" customWidth="1"/>
    <col min="11442" max="11481" width="0" style="1" hidden="1" customWidth="1"/>
    <col min="11482" max="11483" width="13.33203125" style="1" customWidth="1"/>
    <col min="11484" max="11485" width="0" style="1" hidden="1" customWidth="1"/>
    <col min="11486" max="11486" width="13.33203125" style="1" customWidth="1"/>
    <col min="11487" max="11488" width="0" style="1" hidden="1" customWidth="1"/>
    <col min="11489" max="11489" width="13.33203125" style="1" customWidth="1"/>
    <col min="11490" max="11491" width="0" style="1" hidden="1" customWidth="1"/>
    <col min="11492" max="11492" width="13.33203125" style="1" customWidth="1"/>
    <col min="11493" max="11494" width="0" style="1" hidden="1" customWidth="1"/>
    <col min="11495" max="11495" width="13.33203125" style="1" customWidth="1"/>
    <col min="11496" max="11497" width="0" style="1" hidden="1" customWidth="1"/>
    <col min="11498" max="11499" width="13.33203125" style="1" customWidth="1"/>
    <col min="11500" max="11500" width="39.44140625" style="1" customWidth="1"/>
    <col min="11501" max="11505" width="13.33203125" style="1" customWidth="1"/>
    <col min="11506" max="11506" width="56.6640625" style="1" customWidth="1"/>
    <col min="11507" max="11507" width="11.6640625" style="1" customWidth="1"/>
    <col min="11508" max="11693" width="8.88671875" style="1"/>
    <col min="11694" max="11695" width="0" style="1" hidden="1" customWidth="1"/>
    <col min="11696" max="11696" width="12.33203125" style="1" customWidth="1"/>
    <col min="11697" max="11697" width="47" style="1" customWidth="1"/>
    <col min="11698" max="11737" width="0" style="1" hidden="1" customWidth="1"/>
    <col min="11738" max="11739" width="13.33203125" style="1" customWidth="1"/>
    <col min="11740" max="11741" width="0" style="1" hidden="1" customWidth="1"/>
    <col min="11742" max="11742" width="13.33203125" style="1" customWidth="1"/>
    <col min="11743" max="11744" width="0" style="1" hidden="1" customWidth="1"/>
    <col min="11745" max="11745" width="13.33203125" style="1" customWidth="1"/>
    <col min="11746" max="11747" width="0" style="1" hidden="1" customWidth="1"/>
    <col min="11748" max="11748" width="13.33203125" style="1" customWidth="1"/>
    <col min="11749" max="11750" width="0" style="1" hidden="1" customWidth="1"/>
    <col min="11751" max="11751" width="13.33203125" style="1" customWidth="1"/>
    <col min="11752" max="11753" width="0" style="1" hidden="1" customWidth="1"/>
    <col min="11754" max="11755" width="13.33203125" style="1" customWidth="1"/>
    <col min="11756" max="11756" width="39.44140625" style="1" customWidth="1"/>
    <col min="11757" max="11761" width="13.33203125" style="1" customWidth="1"/>
    <col min="11762" max="11762" width="56.6640625" style="1" customWidth="1"/>
    <col min="11763" max="11763" width="11.6640625" style="1" customWidth="1"/>
    <col min="11764" max="11949" width="8.88671875" style="1"/>
    <col min="11950" max="11951" width="0" style="1" hidden="1" customWidth="1"/>
    <col min="11952" max="11952" width="12.33203125" style="1" customWidth="1"/>
    <col min="11953" max="11953" width="47" style="1" customWidth="1"/>
    <col min="11954" max="11993" width="0" style="1" hidden="1" customWidth="1"/>
    <col min="11994" max="11995" width="13.33203125" style="1" customWidth="1"/>
    <col min="11996" max="11997" width="0" style="1" hidden="1" customWidth="1"/>
    <col min="11998" max="11998" width="13.33203125" style="1" customWidth="1"/>
    <col min="11999" max="12000" width="0" style="1" hidden="1" customWidth="1"/>
    <col min="12001" max="12001" width="13.33203125" style="1" customWidth="1"/>
    <col min="12002" max="12003" width="0" style="1" hidden="1" customWidth="1"/>
    <col min="12004" max="12004" width="13.33203125" style="1" customWidth="1"/>
    <col min="12005" max="12006" width="0" style="1" hidden="1" customWidth="1"/>
    <col min="12007" max="12007" width="13.33203125" style="1" customWidth="1"/>
    <col min="12008" max="12009" width="0" style="1" hidden="1" customWidth="1"/>
    <col min="12010" max="12011" width="13.33203125" style="1" customWidth="1"/>
    <col min="12012" max="12012" width="39.44140625" style="1" customWidth="1"/>
    <col min="12013" max="12017" width="13.33203125" style="1" customWidth="1"/>
    <col min="12018" max="12018" width="56.6640625" style="1" customWidth="1"/>
    <col min="12019" max="12019" width="11.6640625" style="1" customWidth="1"/>
    <col min="12020" max="12205" width="8.88671875" style="1"/>
    <col min="12206" max="12207" width="0" style="1" hidden="1" customWidth="1"/>
    <col min="12208" max="12208" width="12.33203125" style="1" customWidth="1"/>
    <col min="12209" max="12209" width="47" style="1" customWidth="1"/>
    <col min="12210" max="12249" width="0" style="1" hidden="1" customWidth="1"/>
    <col min="12250" max="12251" width="13.33203125" style="1" customWidth="1"/>
    <col min="12252" max="12253" width="0" style="1" hidden="1" customWidth="1"/>
    <col min="12254" max="12254" width="13.33203125" style="1" customWidth="1"/>
    <col min="12255" max="12256" width="0" style="1" hidden="1" customWidth="1"/>
    <col min="12257" max="12257" width="13.33203125" style="1" customWidth="1"/>
    <col min="12258" max="12259" width="0" style="1" hidden="1" customWidth="1"/>
    <col min="12260" max="12260" width="13.33203125" style="1" customWidth="1"/>
    <col min="12261" max="12262" width="0" style="1" hidden="1" customWidth="1"/>
    <col min="12263" max="12263" width="13.33203125" style="1" customWidth="1"/>
    <col min="12264" max="12265" width="0" style="1" hidden="1" customWidth="1"/>
    <col min="12266" max="12267" width="13.33203125" style="1" customWidth="1"/>
    <col min="12268" max="12268" width="39.44140625" style="1" customWidth="1"/>
    <col min="12269" max="12273" width="13.33203125" style="1" customWidth="1"/>
    <col min="12274" max="12274" width="56.6640625" style="1" customWidth="1"/>
    <col min="12275" max="12275" width="11.6640625" style="1" customWidth="1"/>
    <col min="12276" max="12461" width="8.88671875" style="1"/>
    <col min="12462" max="12463" width="0" style="1" hidden="1" customWidth="1"/>
    <col min="12464" max="12464" width="12.33203125" style="1" customWidth="1"/>
    <col min="12465" max="12465" width="47" style="1" customWidth="1"/>
    <col min="12466" max="12505" width="0" style="1" hidden="1" customWidth="1"/>
    <col min="12506" max="12507" width="13.33203125" style="1" customWidth="1"/>
    <col min="12508" max="12509" width="0" style="1" hidden="1" customWidth="1"/>
    <col min="12510" max="12510" width="13.33203125" style="1" customWidth="1"/>
    <col min="12511" max="12512" width="0" style="1" hidden="1" customWidth="1"/>
    <col min="12513" max="12513" width="13.33203125" style="1" customWidth="1"/>
    <col min="12514" max="12515" width="0" style="1" hidden="1" customWidth="1"/>
    <col min="12516" max="12516" width="13.33203125" style="1" customWidth="1"/>
    <col min="12517" max="12518" width="0" style="1" hidden="1" customWidth="1"/>
    <col min="12519" max="12519" width="13.33203125" style="1" customWidth="1"/>
    <col min="12520" max="12521" width="0" style="1" hidden="1" customWidth="1"/>
    <col min="12522" max="12523" width="13.33203125" style="1" customWidth="1"/>
    <col min="12524" max="12524" width="39.44140625" style="1" customWidth="1"/>
    <col min="12525" max="12529" width="13.33203125" style="1" customWidth="1"/>
    <col min="12530" max="12530" width="56.6640625" style="1" customWidth="1"/>
    <col min="12531" max="12531" width="11.6640625" style="1" customWidth="1"/>
    <col min="12532" max="12717" width="8.88671875" style="1"/>
    <col min="12718" max="12719" width="0" style="1" hidden="1" customWidth="1"/>
    <col min="12720" max="12720" width="12.33203125" style="1" customWidth="1"/>
    <col min="12721" max="12721" width="47" style="1" customWidth="1"/>
    <col min="12722" max="12761" width="0" style="1" hidden="1" customWidth="1"/>
    <col min="12762" max="12763" width="13.33203125" style="1" customWidth="1"/>
    <col min="12764" max="12765" width="0" style="1" hidden="1" customWidth="1"/>
    <col min="12766" max="12766" width="13.33203125" style="1" customWidth="1"/>
    <col min="12767" max="12768" width="0" style="1" hidden="1" customWidth="1"/>
    <col min="12769" max="12769" width="13.33203125" style="1" customWidth="1"/>
    <col min="12770" max="12771" width="0" style="1" hidden="1" customWidth="1"/>
    <col min="12772" max="12772" width="13.33203125" style="1" customWidth="1"/>
    <col min="12773" max="12774" width="0" style="1" hidden="1" customWidth="1"/>
    <col min="12775" max="12775" width="13.33203125" style="1" customWidth="1"/>
    <col min="12776" max="12777" width="0" style="1" hidden="1" customWidth="1"/>
    <col min="12778" max="12779" width="13.33203125" style="1" customWidth="1"/>
    <col min="12780" max="12780" width="39.44140625" style="1" customWidth="1"/>
    <col min="12781" max="12785" width="13.33203125" style="1" customWidth="1"/>
    <col min="12786" max="12786" width="56.6640625" style="1" customWidth="1"/>
    <col min="12787" max="12787" width="11.6640625" style="1" customWidth="1"/>
    <col min="12788" max="12973" width="8.88671875" style="1"/>
    <col min="12974" max="12975" width="0" style="1" hidden="1" customWidth="1"/>
    <col min="12976" max="12976" width="12.33203125" style="1" customWidth="1"/>
    <col min="12977" max="12977" width="47" style="1" customWidth="1"/>
    <col min="12978" max="13017" width="0" style="1" hidden="1" customWidth="1"/>
    <col min="13018" max="13019" width="13.33203125" style="1" customWidth="1"/>
    <col min="13020" max="13021" width="0" style="1" hidden="1" customWidth="1"/>
    <col min="13022" max="13022" width="13.33203125" style="1" customWidth="1"/>
    <col min="13023" max="13024" width="0" style="1" hidden="1" customWidth="1"/>
    <col min="13025" max="13025" width="13.33203125" style="1" customWidth="1"/>
    <col min="13026" max="13027" width="0" style="1" hidden="1" customWidth="1"/>
    <col min="13028" max="13028" width="13.33203125" style="1" customWidth="1"/>
    <col min="13029" max="13030" width="0" style="1" hidden="1" customWidth="1"/>
    <col min="13031" max="13031" width="13.33203125" style="1" customWidth="1"/>
    <col min="13032" max="13033" width="0" style="1" hidden="1" customWidth="1"/>
    <col min="13034" max="13035" width="13.33203125" style="1" customWidth="1"/>
    <col min="13036" max="13036" width="39.44140625" style="1" customWidth="1"/>
    <col min="13037" max="13041" width="13.33203125" style="1" customWidth="1"/>
    <col min="13042" max="13042" width="56.6640625" style="1" customWidth="1"/>
    <col min="13043" max="13043" width="11.6640625" style="1" customWidth="1"/>
    <col min="13044" max="13229" width="8.88671875" style="1"/>
    <col min="13230" max="13231" width="0" style="1" hidden="1" customWidth="1"/>
    <col min="13232" max="13232" width="12.33203125" style="1" customWidth="1"/>
    <col min="13233" max="13233" width="47" style="1" customWidth="1"/>
    <col min="13234" max="13273" width="0" style="1" hidden="1" customWidth="1"/>
    <col min="13274" max="13275" width="13.33203125" style="1" customWidth="1"/>
    <col min="13276" max="13277" width="0" style="1" hidden="1" customWidth="1"/>
    <col min="13278" max="13278" width="13.33203125" style="1" customWidth="1"/>
    <col min="13279" max="13280" width="0" style="1" hidden="1" customWidth="1"/>
    <col min="13281" max="13281" width="13.33203125" style="1" customWidth="1"/>
    <col min="13282" max="13283" width="0" style="1" hidden="1" customWidth="1"/>
    <col min="13284" max="13284" width="13.33203125" style="1" customWidth="1"/>
    <col min="13285" max="13286" width="0" style="1" hidden="1" customWidth="1"/>
    <col min="13287" max="13287" width="13.33203125" style="1" customWidth="1"/>
    <col min="13288" max="13289" width="0" style="1" hidden="1" customWidth="1"/>
    <col min="13290" max="13291" width="13.33203125" style="1" customWidth="1"/>
    <col min="13292" max="13292" width="39.44140625" style="1" customWidth="1"/>
    <col min="13293" max="13297" width="13.33203125" style="1" customWidth="1"/>
    <col min="13298" max="13298" width="56.6640625" style="1" customWidth="1"/>
    <col min="13299" max="13299" width="11.6640625" style="1" customWidth="1"/>
    <col min="13300" max="13485" width="8.88671875" style="1"/>
    <col min="13486" max="13487" width="0" style="1" hidden="1" customWidth="1"/>
    <col min="13488" max="13488" width="12.33203125" style="1" customWidth="1"/>
    <col min="13489" max="13489" width="47" style="1" customWidth="1"/>
    <col min="13490" max="13529" width="0" style="1" hidden="1" customWidth="1"/>
    <col min="13530" max="13531" width="13.33203125" style="1" customWidth="1"/>
    <col min="13532" max="13533" width="0" style="1" hidden="1" customWidth="1"/>
    <col min="13534" max="13534" width="13.33203125" style="1" customWidth="1"/>
    <col min="13535" max="13536" width="0" style="1" hidden="1" customWidth="1"/>
    <col min="13537" max="13537" width="13.33203125" style="1" customWidth="1"/>
    <col min="13538" max="13539" width="0" style="1" hidden="1" customWidth="1"/>
    <col min="13540" max="13540" width="13.33203125" style="1" customWidth="1"/>
    <col min="13541" max="13542" width="0" style="1" hidden="1" customWidth="1"/>
    <col min="13543" max="13543" width="13.33203125" style="1" customWidth="1"/>
    <col min="13544" max="13545" width="0" style="1" hidden="1" customWidth="1"/>
    <col min="13546" max="13547" width="13.33203125" style="1" customWidth="1"/>
    <col min="13548" max="13548" width="39.44140625" style="1" customWidth="1"/>
    <col min="13549" max="13553" width="13.33203125" style="1" customWidth="1"/>
    <col min="13554" max="13554" width="56.6640625" style="1" customWidth="1"/>
    <col min="13555" max="13555" width="11.6640625" style="1" customWidth="1"/>
    <col min="13556" max="13741" width="8.88671875" style="1"/>
    <col min="13742" max="13743" width="0" style="1" hidden="1" customWidth="1"/>
    <col min="13744" max="13744" width="12.33203125" style="1" customWidth="1"/>
    <col min="13745" max="13745" width="47" style="1" customWidth="1"/>
    <col min="13746" max="13785" width="0" style="1" hidden="1" customWidth="1"/>
    <col min="13786" max="13787" width="13.33203125" style="1" customWidth="1"/>
    <col min="13788" max="13789" width="0" style="1" hidden="1" customWidth="1"/>
    <col min="13790" max="13790" width="13.33203125" style="1" customWidth="1"/>
    <col min="13791" max="13792" width="0" style="1" hidden="1" customWidth="1"/>
    <col min="13793" max="13793" width="13.33203125" style="1" customWidth="1"/>
    <col min="13794" max="13795" width="0" style="1" hidden="1" customWidth="1"/>
    <col min="13796" max="13796" width="13.33203125" style="1" customWidth="1"/>
    <col min="13797" max="13798" width="0" style="1" hidden="1" customWidth="1"/>
    <col min="13799" max="13799" width="13.33203125" style="1" customWidth="1"/>
    <col min="13800" max="13801" width="0" style="1" hidden="1" customWidth="1"/>
    <col min="13802" max="13803" width="13.33203125" style="1" customWidth="1"/>
    <col min="13804" max="13804" width="39.44140625" style="1" customWidth="1"/>
    <col min="13805" max="13809" width="13.33203125" style="1" customWidth="1"/>
    <col min="13810" max="13810" width="56.6640625" style="1" customWidth="1"/>
    <col min="13811" max="13811" width="11.6640625" style="1" customWidth="1"/>
    <col min="13812" max="13997" width="8.88671875" style="1"/>
    <col min="13998" max="13999" width="0" style="1" hidden="1" customWidth="1"/>
    <col min="14000" max="14000" width="12.33203125" style="1" customWidth="1"/>
    <col min="14001" max="14001" width="47" style="1" customWidth="1"/>
    <col min="14002" max="14041" width="0" style="1" hidden="1" customWidth="1"/>
    <col min="14042" max="14043" width="13.33203125" style="1" customWidth="1"/>
    <col min="14044" max="14045" width="0" style="1" hidden="1" customWidth="1"/>
    <col min="14046" max="14046" width="13.33203125" style="1" customWidth="1"/>
    <col min="14047" max="14048" width="0" style="1" hidden="1" customWidth="1"/>
    <col min="14049" max="14049" width="13.33203125" style="1" customWidth="1"/>
    <col min="14050" max="14051" width="0" style="1" hidden="1" customWidth="1"/>
    <col min="14052" max="14052" width="13.33203125" style="1" customWidth="1"/>
    <col min="14053" max="14054" width="0" style="1" hidden="1" customWidth="1"/>
    <col min="14055" max="14055" width="13.33203125" style="1" customWidth="1"/>
    <col min="14056" max="14057" width="0" style="1" hidden="1" customWidth="1"/>
    <col min="14058" max="14059" width="13.33203125" style="1" customWidth="1"/>
    <col min="14060" max="14060" width="39.44140625" style="1" customWidth="1"/>
    <col min="14061" max="14065" width="13.33203125" style="1" customWidth="1"/>
    <col min="14066" max="14066" width="56.6640625" style="1" customWidth="1"/>
    <col min="14067" max="14067" width="11.6640625" style="1" customWidth="1"/>
    <col min="14068" max="14253" width="8.88671875" style="1"/>
    <col min="14254" max="14255" width="0" style="1" hidden="1" customWidth="1"/>
    <col min="14256" max="14256" width="12.33203125" style="1" customWidth="1"/>
    <col min="14257" max="14257" width="47" style="1" customWidth="1"/>
    <col min="14258" max="14297" width="0" style="1" hidden="1" customWidth="1"/>
    <col min="14298" max="14299" width="13.33203125" style="1" customWidth="1"/>
    <col min="14300" max="14301" width="0" style="1" hidden="1" customWidth="1"/>
    <col min="14302" max="14302" width="13.33203125" style="1" customWidth="1"/>
    <col min="14303" max="14304" width="0" style="1" hidden="1" customWidth="1"/>
    <col min="14305" max="14305" width="13.33203125" style="1" customWidth="1"/>
    <col min="14306" max="14307" width="0" style="1" hidden="1" customWidth="1"/>
    <col min="14308" max="14308" width="13.33203125" style="1" customWidth="1"/>
    <col min="14309" max="14310" width="0" style="1" hidden="1" customWidth="1"/>
    <col min="14311" max="14311" width="13.33203125" style="1" customWidth="1"/>
    <col min="14312" max="14313" width="0" style="1" hidden="1" customWidth="1"/>
    <col min="14314" max="14315" width="13.33203125" style="1" customWidth="1"/>
    <col min="14316" max="14316" width="39.44140625" style="1" customWidth="1"/>
    <col min="14317" max="14321" width="13.33203125" style="1" customWidth="1"/>
    <col min="14322" max="14322" width="56.6640625" style="1" customWidth="1"/>
    <col min="14323" max="14323" width="11.6640625" style="1" customWidth="1"/>
    <col min="14324" max="14509" width="8.88671875" style="1"/>
    <col min="14510" max="14511" width="0" style="1" hidden="1" customWidth="1"/>
    <col min="14512" max="14512" width="12.33203125" style="1" customWidth="1"/>
    <col min="14513" max="14513" width="47" style="1" customWidth="1"/>
    <col min="14514" max="14553" width="0" style="1" hidden="1" customWidth="1"/>
    <col min="14554" max="14555" width="13.33203125" style="1" customWidth="1"/>
    <col min="14556" max="14557" width="0" style="1" hidden="1" customWidth="1"/>
    <col min="14558" max="14558" width="13.33203125" style="1" customWidth="1"/>
    <col min="14559" max="14560" width="0" style="1" hidden="1" customWidth="1"/>
    <col min="14561" max="14561" width="13.33203125" style="1" customWidth="1"/>
    <col min="14562" max="14563" width="0" style="1" hidden="1" customWidth="1"/>
    <col min="14564" max="14564" width="13.33203125" style="1" customWidth="1"/>
    <col min="14565" max="14566" width="0" style="1" hidden="1" customWidth="1"/>
    <col min="14567" max="14567" width="13.33203125" style="1" customWidth="1"/>
    <col min="14568" max="14569" width="0" style="1" hidden="1" customWidth="1"/>
    <col min="14570" max="14571" width="13.33203125" style="1" customWidth="1"/>
    <col min="14572" max="14572" width="39.44140625" style="1" customWidth="1"/>
    <col min="14573" max="14577" width="13.33203125" style="1" customWidth="1"/>
    <col min="14578" max="14578" width="56.6640625" style="1" customWidth="1"/>
    <col min="14579" max="14579" width="11.6640625" style="1" customWidth="1"/>
    <col min="14580" max="14765" width="8.88671875" style="1"/>
    <col min="14766" max="14767" width="0" style="1" hidden="1" customWidth="1"/>
    <col min="14768" max="14768" width="12.33203125" style="1" customWidth="1"/>
    <col min="14769" max="14769" width="47" style="1" customWidth="1"/>
    <col min="14770" max="14809" width="0" style="1" hidden="1" customWidth="1"/>
    <col min="14810" max="14811" width="13.33203125" style="1" customWidth="1"/>
    <col min="14812" max="14813" width="0" style="1" hidden="1" customWidth="1"/>
    <col min="14814" max="14814" width="13.33203125" style="1" customWidth="1"/>
    <col min="14815" max="14816" width="0" style="1" hidden="1" customWidth="1"/>
    <col min="14817" max="14817" width="13.33203125" style="1" customWidth="1"/>
    <col min="14818" max="14819" width="0" style="1" hidden="1" customWidth="1"/>
    <col min="14820" max="14820" width="13.33203125" style="1" customWidth="1"/>
    <col min="14821" max="14822" width="0" style="1" hidden="1" customWidth="1"/>
    <col min="14823" max="14823" width="13.33203125" style="1" customWidth="1"/>
    <col min="14824" max="14825" width="0" style="1" hidden="1" customWidth="1"/>
    <col min="14826" max="14827" width="13.33203125" style="1" customWidth="1"/>
    <col min="14828" max="14828" width="39.44140625" style="1" customWidth="1"/>
    <col min="14829" max="14833" width="13.33203125" style="1" customWidth="1"/>
    <col min="14834" max="14834" width="56.6640625" style="1" customWidth="1"/>
    <col min="14835" max="14835" width="11.6640625" style="1" customWidth="1"/>
    <col min="14836" max="15021" width="8.88671875" style="1"/>
    <col min="15022" max="15023" width="0" style="1" hidden="1" customWidth="1"/>
    <col min="15024" max="15024" width="12.33203125" style="1" customWidth="1"/>
    <col min="15025" max="15025" width="47" style="1" customWidth="1"/>
    <col min="15026" max="15065" width="0" style="1" hidden="1" customWidth="1"/>
    <col min="15066" max="15067" width="13.33203125" style="1" customWidth="1"/>
    <col min="15068" max="15069" width="0" style="1" hidden="1" customWidth="1"/>
    <col min="15070" max="15070" width="13.33203125" style="1" customWidth="1"/>
    <col min="15071" max="15072" width="0" style="1" hidden="1" customWidth="1"/>
    <col min="15073" max="15073" width="13.33203125" style="1" customWidth="1"/>
    <col min="15074" max="15075" width="0" style="1" hidden="1" customWidth="1"/>
    <col min="15076" max="15076" width="13.33203125" style="1" customWidth="1"/>
    <col min="15077" max="15078" width="0" style="1" hidden="1" customWidth="1"/>
    <col min="15079" max="15079" width="13.33203125" style="1" customWidth="1"/>
    <col min="15080" max="15081" width="0" style="1" hidden="1" customWidth="1"/>
    <col min="15082" max="15083" width="13.33203125" style="1" customWidth="1"/>
    <col min="15084" max="15084" width="39.44140625" style="1" customWidth="1"/>
    <col min="15085" max="15089" width="13.33203125" style="1" customWidth="1"/>
    <col min="15090" max="15090" width="56.6640625" style="1" customWidth="1"/>
    <col min="15091" max="15091" width="11.6640625" style="1" customWidth="1"/>
    <col min="15092" max="15277" width="8.88671875" style="1"/>
    <col min="15278" max="15279" width="0" style="1" hidden="1" customWidth="1"/>
    <col min="15280" max="15280" width="12.33203125" style="1" customWidth="1"/>
    <col min="15281" max="15281" width="47" style="1" customWidth="1"/>
    <col min="15282" max="15321" width="0" style="1" hidden="1" customWidth="1"/>
    <col min="15322" max="15323" width="13.33203125" style="1" customWidth="1"/>
    <col min="15324" max="15325" width="0" style="1" hidden="1" customWidth="1"/>
    <col min="15326" max="15326" width="13.33203125" style="1" customWidth="1"/>
    <col min="15327" max="15328" width="0" style="1" hidden="1" customWidth="1"/>
    <col min="15329" max="15329" width="13.33203125" style="1" customWidth="1"/>
    <col min="15330" max="15331" width="0" style="1" hidden="1" customWidth="1"/>
    <col min="15332" max="15332" width="13.33203125" style="1" customWidth="1"/>
    <col min="15333" max="15334" width="0" style="1" hidden="1" customWidth="1"/>
    <col min="15335" max="15335" width="13.33203125" style="1" customWidth="1"/>
    <col min="15336" max="15337" width="0" style="1" hidden="1" customWidth="1"/>
    <col min="15338" max="15339" width="13.33203125" style="1" customWidth="1"/>
    <col min="15340" max="15340" width="39.44140625" style="1" customWidth="1"/>
    <col min="15341" max="15345" width="13.33203125" style="1" customWidth="1"/>
    <col min="15346" max="15346" width="56.6640625" style="1" customWidth="1"/>
    <col min="15347" max="15347" width="11.6640625" style="1" customWidth="1"/>
    <col min="15348" max="15533" width="8.88671875" style="1"/>
    <col min="15534" max="15535" width="0" style="1" hidden="1" customWidth="1"/>
    <col min="15536" max="15536" width="12.33203125" style="1" customWidth="1"/>
    <col min="15537" max="15537" width="47" style="1" customWidth="1"/>
    <col min="15538" max="15577" width="0" style="1" hidden="1" customWidth="1"/>
    <col min="15578" max="15579" width="13.33203125" style="1" customWidth="1"/>
    <col min="15580" max="15581" width="0" style="1" hidden="1" customWidth="1"/>
    <col min="15582" max="15582" width="13.33203125" style="1" customWidth="1"/>
    <col min="15583" max="15584" width="0" style="1" hidden="1" customWidth="1"/>
    <col min="15585" max="15585" width="13.33203125" style="1" customWidth="1"/>
    <col min="15586" max="15587" width="0" style="1" hidden="1" customWidth="1"/>
    <col min="15588" max="15588" width="13.33203125" style="1" customWidth="1"/>
    <col min="15589" max="15590" width="0" style="1" hidden="1" customWidth="1"/>
    <col min="15591" max="15591" width="13.33203125" style="1" customWidth="1"/>
    <col min="15592" max="15593" width="0" style="1" hidden="1" customWidth="1"/>
    <col min="15594" max="15595" width="13.33203125" style="1" customWidth="1"/>
    <col min="15596" max="15596" width="39.44140625" style="1" customWidth="1"/>
    <col min="15597" max="15601" width="13.33203125" style="1" customWidth="1"/>
    <col min="15602" max="15602" width="56.6640625" style="1" customWidth="1"/>
    <col min="15603" max="15603" width="11.6640625" style="1" customWidth="1"/>
    <col min="15604" max="15789" width="8.88671875" style="1"/>
    <col min="15790" max="15791" width="0" style="1" hidden="1" customWidth="1"/>
    <col min="15792" max="15792" width="12.33203125" style="1" customWidth="1"/>
    <col min="15793" max="15793" width="47" style="1" customWidth="1"/>
    <col min="15794" max="15833" width="0" style="1" hidden="1" customWidth="1"/>
    <col min="15834" max="15835" width="13.33203125" style="1" customWidth="1"/>
    <col min="15836" max="15837" width="0" style="1" hidden="1" customWidth="1"/>
    <col min="15838" max="15838" width="13.33203125" style="1" customWidth="1"/>
    <col min="15839" max="15840" width="0" style="1" hidden="1" customWidth="1"/>
    <col min="15841" max="15841" width="13.33203125" style="1" customWidth="1"/>
    <col min="15842" max="15843" width="0" style="1" hidden="1" customWidth="1"/>
    <col min="15844" max="15844" width="13.33203125" style="1" customWidth="1"/>
    <col min="15845" max="15846" width="0" style="1" hidden="1" customWidth="1"/>
    <col min="15847" max="15847" width="13.33203125" style="1" customWidth="1"/>
    <col min="15848" max="15849" width="0" style="1" hidden="1" customWidth="1"/>
    <col min="15850" max="15851" width="13.33203125" style="1" customWidth="1"/>
    <col min="15852" max="15852" width="39.44140625" style="1" customWidth="1"/>
    <col min="15853" max="15857" width="13.33203125" style="1" customWidth="1"/>
    <col min="15858" max="15858" width="56.6640625" style="1" customWidth="1"/>
    <col min="15859" max="15859" width="11.6640625" style="1" customWidth="1"/>
    <col min="15860" max="16045" width="8.88671875" style="1"/>
    <col min="16046" max="16047" width="0" style="1" hidden="1" customWidth="1"/>
    <col min="16048" max="16048" width="12.33203125" style="1" customWidth="1"/>
    <col min="16049" max="16049" width="47" style="1" customWidth="1"/>
    <col min="16050" max="16089" width="0" style="1" hidden="1" customWidth="1"/>
    <col min="16090" max="16091" width="13.33203125" style="1" customWidth="1"/>
    <col min="16092" max="16093" width="0" style="1" hidden="1" customWidth="1"/>
    <col min="16094" max="16094" width="13.33203125" style="1" customWidth="1"/>
    <col min="16095" max="16096" width="0" style="1" hidden="1" customWidth="1"/>
    <col min="16097" max="16097" width="13.33203125" style="1" customWidth="1"/>
    <col min="16098" max="16099" width="0" style="1" hidden="1" customWidth="1"/>
    <col min="16100" max="16100" width="13.33203125" style="1" customWidth="1"/>
    <col min="16101" max="16102" width="0" style="1" hidden="1" customWidth="1"/>
    <col min="16103" max="16103" width="13.33203125" style="1" customWidth="1"/>
    <col min="16104" max="16105" width="0" style="1" hidden="1" customWidth="1"/>
    <col min="16106" max="16107" width="13.33203125" style="1" customWidth="1"/>
    <col min="16108" max="16108" width="39.44140625" style="1" customWidth="1"/>
    <col min="16109" max="16113" width="13.33203125" style="1" customWidth="1"/>
    <col min="16114" max="16114" width="56.6640625" style="1" customWidth="1"/>
    <col min="16115" max="16115" width="11.6640625" style="1" customWidth="1"/>
    <col min="16116" max="16314" width="8.88671875" style="1"/>
    <col min="16315" max="16347" width="8.109375" style="1" customWidth="1"/>
    <col min="16348" max="16355" width="8.88671875" style="1"/>
    <col min="16356" max="16356" width="8.109375" style="1" customWidth="1"/>
    <col min="16357" max="16384" width="8.88671875" style="1"/>
  </cols>
  <sheetData>
    <row r="1" spans="1:12" ht="24.6" outlineLevel="1" x14ac:dyDescent="0.4">
      <c r="C1" s="2" t="s">
        <v>0</v>
      </c>
      <c r="D1" s="3"/>
      <c r="E1" s="7"/>
      <c r="F1" s="6"/>
      <c r="G1" s="6"/>
      <c r="H1" s="4"/>
      <c r="I1" s="8"/>
      <c r="J1" s="6"/>
      <c r="K1" s="4"/>
      <c r="L1" s="8"/>
    </row>
    <row r="2" spans="1:12" ht="24.6" outlineLevel="1" x14ac:dyDescent="0.4">
      <c r="C2" s="382" t="s">
        <v>1</v>
      </c>
      <c r="D2" s="382"/>
      <c r="H2" s="5"/>
      <c r="I2" s="11"/>
      <c r="K2" s="5"/>
      <c r="L2" s="11"/>
    </row>
    <row r="3" spans="1:12" ht="20.399999999999999" outlineLevel="1" x14ac:dyDescent="0.35">
      <c r="C3" s="383" t="s">
        <v>2</v>
      </c>
      <c r="D3" s="383"/>
      <c r="E3" s="14">
        <v>37257977</v>
      </c>
      <c r="F3" s="13">
        <v>37257977</v>
      </c>
      <c r="G3" s="13">
        <f>G104-G133-G42</f>
        <v>37259477</v>
      </c>
      <c r="H3" s="12"/>
      <c r="J3" s="13">
        <f>J104-J133-J42+J85</f>
        <v>37259477</v>
      </c>
      <c r="K3" s="12"/>
    </row>
    <row r="4" spans="1:12" ht="14.4" outlineLevel="1" thickBot="1" x14ac:dyDescent="0.3">
      <c r="C4" s="16"/>
      <c r="E4" s="14"/>
      <c r="F4" s="13"/>
      <c r="G4" s="13"/>
      <c r="H4" s="15"/>
      <c r="J4" s="13"/>
      <c r="K4" s="15"/>
    </row>
    <row r="5" spans="1:12" ht="55.2" customHeight="1" thickBot="1" x14ac:dyDescent="0.3">
      <c r="C5" s="17" t="s">
        <v>3</v>
      </c>
      <c r="D5" s="18" t="s">
        <v>4</v>
      </c>
      <c r="E5" s="21" t="s">
        <v>6</v>
      </c>
      <c r="F5" s="20" t="s">
        <v>6</v>
      </c>
      <c r="G5" s="20" t="s">
        <v>7</v>
      </c>
      <c r="H5" s="19" t="s">
        <v>8</v>
      </c>
      <c r="I5" s="22" t="s">
        <v>9</v>
      </c>
      <c r="J5" s="20" t="s">
        <v>10</v>
      </c>
      <c r="K5" s="19" t="s">
        <v>11</v>
      </c>
      <c r="L5" s="22" t="s">
        <v>9</v>
      </c>
    </row>
    <row r="6" spans="1:12" x14ac:dyDescent="0.25">
      <c r="C6" s="23" t="s">
        <v>12</v>
      </c>
      <c r="D6" s="24" t="s">
        <v>13</v>
      </c>
      <c r="E6" s="26">
        <v>42715458</v>
      </c>
      <c r="F6" s="25">
        <v>42715458</v>
      </c>
      <c r="G6" s="25">
        <f t="shared" ref="G6" si="0">ROUND((G7+G10+G13+G16+G19),0)</f>
        <v>42715458</v>
      </c>
      <c r="H6" s="27">
        <f>G6-F6</f>
        <v>0</v>
      </c>
      <c r="I6" s="28"/>
      <c r="J6" s="25">
        <f>ROUND((J7+J10+J13+J16+J19),0)</f>
        <v>41763189</v>
      </c>
      <c r="K6" s="27">
        <f>J6-G6</f>
        <v>-952269</v>
      </c>
      <c r="L6" s="28"/>
    </row>
    <row r="7" spans="1:12" x14ac:dyDescent="0.25">
      <c r="B7" s="1" t="s">
        <v>14</v>
      </c>
      <c r="C7" s="29" t="s">
        <v>15</v>
      </c>
      <c r="D7" s="30" t="s">
        <v>16</v>
      </c>
      <c r="E7" s="33">
        <v>39439118</v>
      </c>
      <c r="F7" s="32">
        <v>39439118</v>
      </c>
      <c r="G7" s="32">
        <f>SUM(G8:G8)</f>
        <v>39439118</v>
      </c>
      <c r="H7" s="31">
        <f t="shared" ref="H7:H70" si="1">G7-F7</f>
        <v>0</v>
      </c>
      <c r="I7" s="34"/>
      <c r="J7" s="32">
        <f>SUM(J8:J8)</f>
        <v>38486849</v>
      </c>
      <c r="K7" s="31">
        <f t="shared" ref="K7:K70" si="2">J7-G7</f>
        <v>-952269</v>
      </c>
      <c r="L7" s="34"/>
    </row>
    <row r="8" spans="1:12" ht="33" customHeight="1" x14ac:dyDescent="0.25">
      <c r="A8" s="1" t="s">
        <v>17</v>
      </c>
      <c r="B8" s="35" t="s">
        <v>18</v>
      </c>
      <c r="C8" s="36" t="s">
        <v>19</v>
      </c>
      <c r="D8" s="37" t="s">
        <v>20</v>
      </c>
      <c r="E8" s="39">
        <v>39439118</v>
      </c>
      <c r="F8" s="39">
        <v>39439118</v>
      </c>
      <c r="G8" s="39">
        <f>ROUND(F8,0)</f>
        <v>39439118</v>
      </c>
      <c r="H8" s="38">
        <f t="shared" si="1"/>
        <v>0</v>
      </c>
      <c r="I8" s="40"/>
      <c r="J8" s="39">
        <f>ROUND(G8,0)-952269</f>
        <v>38486849</v>
      </c>
      <c r="K8" s="38">
        <f t="shared" si="2"/>
        <v>-952269</v>
      </c>
      <c r="L8" s="41" t="s">
        <v>21</v>
      </c>
    </row>
    <row r="9" spans="1:12" ht="32.4" customHeight="1" x14ac:dyDescent="0.25">
      <c r="C9" s="23" t="s">
        <v>22</v>
      </c>
      <c r="D9" s="24" t="s">
        <v>23</v>
      </c>
      <c r="E9" s="26">
        <v>3211340</v>
      </c>
      <c r="F9" s="25">
        <v>3211340</v>
      </c>
      <c r="G9" s="25">
        <f>G10+G13+G16</f>
        <v>3211340</v>
      </c>
      <c r="H9" s="27">
        <f t="shared" si="1"/>
        <v>0</v>
      </c>
      <c r="I9" s="28"/>
      <c r="J9" s="25">
        <f>J10+J13+J16</f>
        <v>3211340</v>
      </c>
      <c r="K9" s="27">
        <f t="shared" si="2"/>
        <v>0</v>
      </c>
      <c r="L9" s="28"/>
    </row>
    <row r="10" spans="1:12" x14ac:dyDescent="0.25">
      <c r="B10" s="1" t="s">
        <v>24</v>
      </c>
      <c r="C10" s="42" t="s">
        <v>25</v>
      </c>
      <c r="D10" s="43" t="s">
        <v>26</v>
      </c>
      <c r="E10" s="46">
        <v>2082625</v>
      </c>
      <c r="F10" s="45">
        <v>2082625</v>
      </c>
      <c r="G10" s="45">
        <f>SUM(G11:G12)</f>
        <v>2082625</v>
      </c>
      <c r="H10" s="44">
        <f t="shared" si="1"/>
        <v>0</v>
      </c>
      <c r="I10" s="47"/>
      <c r="J10" s="45">
        <f>SUM(J11:J12)</f>
        <v>2082625</v>
      </c>
      <c r="K10" s="44">
        <f t="shared" si="2"/>
        <v>0</v>
      </c>
      <c r="L10" s="47"/>
    </row>
    <row r="11" spans="1:12" x14ac:dyDescent="0.25">
      <c r="A11" s="1" t="s">
        <v>17</v>
      </c>
      <c r="B11" s="35" t="s">
        <v>27</v>
      </c>
      <c r="C11" s="36" t="s">
        <v>28</v>
      </c>
      <c r="D11" s="37" t="s">
        <v>20</v>
      </c>
      <c r="E11" s="48">
        <v>1945625</v>
      </c>
      <c r="F11" s="39">
        <v>1945625</v>
      </c>
      <c r="G11" s="39">
        <f>ROUND(F11,0)</f>
        <v>1945625</v>
      </c>
      <c r="H11" s="38">
        <f t="shared" si="1"/>
        <v>0</v>
      </c>
      <c r="I11" s="49"/>
      <c r="J11" s="39">
        <f t="shared" ref="J11:J12" si="3">ROUND(G11,0)</f>
        <v>1945625</v>
      </c>
      <c r="K11" s="38">
        <f t="shared" si="2"/>
        <v>0</v>
      </c>
      <c r="L11" s="49"/>
    </row>
    <row r="12" spans="1:12" x14ac:dyDescent="0.25">
      <c r="A12" s="1" t="s">
        <v>17</v>
      </c>
      <c r="B12" s="35" t="s">
        <v>29</v>
      </c>
      <c r="C12" s="36" t="s">
        <v>30</v>
      </c>
      <c r="D12" s="37" t="s">
        <v>31</v>
      </c>
      <c r="E12" s="48">
        <v>137000</v>
      </c>
      <c r="F12" s="39">
        <v>137000</v>
      </c>
      <c r="G12" s="39">
        <f>ROUND(F12,0)</f>
        <v>137000</v>
      </c>
      <c r="H12" s="38">
        <f t="shared" si="1"/>
        <v>0</v>
      </c>
      <c r="I12" s="40"/>
      <c r="J12" s="39">
        <f t="shared" si="3"/>
        <v>137000</v>
      </c>
      <c r="K12" s="38">
        <f t="shared" si="2"/>
        <v>0</v>
      </c>
      <c r="L12" s="40"/>
    </row>
    <row r="13" spans="1:12" x14ac:dyDescent="0.25">
      <c r="B13" s="1" t="s">
        <v>32</v>
      </c>
      <c r="C13" s="42" t="s">
        <v>33</v>
      </c>
      <c r="D13" s="43" t="s">
        <v>34</v>
      </c>
      <c r="E13" s="46">
        <v>392228</v>
      </c>
      <c r="F13" s="45">
        <v>392228</v>
      </c>
      <c r="G13" s="45">
        <f>SUM(G14:G15)</f>
        <v>392228</v>
      </c>
      <c r="H13" s="44">
        <f t="shared" si="1"/>
        <v>0</v>
      </c>
      <c r="I13" s="47"/>
      <c r="J13" s="45">
        <f>SUM(J14:J15)</f>
        <v>392228</v>
      </c>
      <c r="K13" s="44">
        <f t="shared" si="2"/>
        <v>0</v>
      </c>
      <c r="L13" s="47"/>
    </row>
    <row r="14" spans="1:12" x14ac:dyDescent="0.25">
      <c r="A14" s="1" t="s">
        <v>17</v>
      </c>
      <c r="B14" s="35" t="s">
        <v>35</v>
      </c>
      <c r="C14" s="36" t="s">
        <v>36</v>
      </c>
      <c r="D14" s="37" t="s">
        <v>37</v>
      </c>
      <c r="E14" s="48">
        <v>362228</v>
      </c>
      <c r="F14" s="39">
        <v>362228</v>
      </c>
      <c r="G14" s="39">
        <f>ROUND(F14,0)</f>
        <v>362228</v>
      </c>
      <c r="H14" s="38">
        <f t="shared" si="1"/>
        <v>0</v>
      </c>
      <c r="I14" s="50"/>
      <c r="J14" s="39">
        <f t="shared" ref="J14:J15" si="4">ROUND(G14,0)</f>
        <v>362228</v>
      </c>
      <c r="K14" s="38">
        <f t="shared" si="2"/>
        <v>0</v>
      </c>
      <c r="L14" s="50"/>
    </row>
    <row r="15" spans="1:12" x14ac:dyDescent="0.25">
      <c r="A15" s="1" t="s">
        <v>17</v>
      </c>
      <c r="B15" s="35" t="s">
        <v>38</v>
      </c>
      <c r="C15" s="36" t="s">
        <v>39</v>
      </c>
      <c r="D15" s="37" t="s">
        <v>31</v>
      </c>
      <c r="E15" s="48">
        <v>30000</v>
      </c>
      <c r="F15" s="39">
        <v>30000</v>
      </c>
      <c r="G15" s="39">
        <f>ROUND(F15,0)</f>
        <v>30000</v>
      </c>
      <c r="H15" s="38">
        <f t="shared" si="1"/>
        <v>0</v>
      </c>
      <c r="I15" s="40"/>
      <c r="J15" s="39">
        <f t="shared" si="4"/>
        <v>30000</v>
      </c>
      <c r="K15" s="38">
        <f t="shared" si="2"/>
        <v>0</v>
      </c>
      <c r="L15" s="40"/>
    </row>
    <row r="16" spans="1:12" ht="27.6" x14ac:dyDescent="0.25">
      <c r="B16" s="1" t="s">
        <v>40</v>
      </c>
      <c r="C16" s="42" t="s">
        <v>41</v>
      </c>
      <c r="D16" s="43" t="s">
        <v>42</v>
      </c>
      <c r="E16" s="46">
        <v>736487</v>
      </c>
      <c r="F16" s="45">
        <v>736487</v>
      </c>
      <c r="G16" s="45">
        <f>SUM(G17:G18)</f>
        <v>736487</v>
      </c>
      <c r="H16" s="44">
        <f t="shared" si="1"/>
        <v>0</v>
      </c>
      <c r="I16" s="47"/>
      <c r="J16" s="45">
        <f>SUM(J17:J18)</f>
        <v>736487</v>
      </c>
      <c r="K16" s="44">
        <f t="shared" si="2"/>
        <v>0</v>
      </c>
      <c r="L16" s="47"/>
    </row>
    <row r="17" spans="1:12" ht="18.75" customHeight="1" x14ac:dyDescent="0.25">
      <c r="A17" s="1" t="s">
        <v>17</v>
      </c>
      <c r="B17" s="35" t="s">
        <v>43</v>
      </c>
      <c r="C17" s="36" t="s">
        <v>44</v>
      </c>
      <c r="D17" s="37" t="s">
        <v>37</v>
      </c>
      <c r="E17" s="48">
        <v>665899</v>
      </c>
      <c r="F17" s="39">
        <v>665899</v>
      </c>
      <c r="G17" s="39">
        <f>ROUND(F17,0)</f>
        <v>665899</v>
      </c>
      <c r="H17" s="38">
        <f t="shared" si="1"/>
        <v>0</v>
      </c>
      <c r="I17" s="50"/>
      <c r="J17" s="39">
        <f t="shared" ref="J17:J18" si="5">ROUND(G17,0)</f>
        <v>665899</v>
      </c>
      <c r="K17" s="38">
        <f t="shared" si="2"/>
        <v>0</v>
      </c>
      <c r="L17" s="50"/>
    </row>
    <row r="18" spans="1:12" x14ac:dyDescent="0.25">
      <c r="A18" s="1" t="s">
        <v>17</v>
      </c>
      <c r="B18" s="35" t="s">
        <v>45</v>
      </c>
      <c r="C18" s="36" t="s">
        <v>46</v>
      </c>
      <c r="D18" s="37" t="s">
        <v>31</v>
      </c>
      <c r="E18" s="48">
        <v>70588</v>
      </c>
      <c r="F18" s="39">
        <v>70588</v>
      </c>
      <c r="G18" s="39">
        <f>ROUND(F18,0)</f>
        <v>70588</v>
      </c>
      <c r="H18" s="38">
        <f t="shared" si="1"/>
        <v>0</v>
      </c>
      <c r="I18" s="49"/>
      <c r="J18" s="39">
        <f t="shared" si="5"/>
        <v>70588</v>
      </c>
      <c r="K18" s="38">
        <f t="shared" si="2"/>
        <v>0</v>
      </c>
      <c r="L18" s="49"/>
    </row>
    <row r="19" spans="1:12" ht="28.2" x14ac:dyDescent="0.3">
      <c r="B19" s="51"/>
      <c r="C19" s="42" t="s">
        <v>47</v>
      </c>
      <c r="D19" s="43" t="s">
        <v>48</v>
      </c>
      <c r="E19" s="46">
        <v>65000</v>
      </c>
      <c r="F19" s="45">
        <v>65000</v>
      </c>
      <c r="G19" s="45">
        <f t="shared" ref="G19" si="6">SUM(G20:G21)</f>
        <v>65000</v>
      </c>
      <c r="H19" s="44">
        <f t="shared" si="1"/>
        <v>0</v>
      </c>
      <c r="I19" s="47"/>
      <c r="J19" s="45">
        <f t="shared" ref="J19" si="7">SUM(J20:J21)</f>
        <v>65000</v>
      </c>
      <c r="K19" s="44">
        <f t="shared" si="2"/>
        <v>0</v>
      </c>
      <c r="L19" s="47"/>
    </row>
    <row r="20" spans="1:12" ht="14.4" customHeight="1" outlineLevel="1" x14ac:dyDescent="0.25">
      <c r="B20" s="35" t="s">
        <v>49</v>
      </c>
      <c r="C20" s="36" t="s">
        <v>50</v>
      </c>
      <c r="D20" s="37" t="s">
        <v>51</v>
      </c>
      <c r="E20" s="48">
        <v>5000</v>
      </c>
      <c r="F20" s="39">
        <v>5000</v>
      </c>
      <c r="G20" s="39">
        <f>ROUND(F20,0)</f>
        <v>5000</v>
      </c>
      <c r="H20" s="38">
        <f t="shared" si="1"/>
        <v>0</v>
      </c>
      <c r="I20" s="50"/>
      <c r="J20" s="39">
        <f t="shared" ref="J20:J21" si="8">ROUND(G20,0)</f>
        <v>5000</v>
      </c>
      <c r="K20" s="38">
        <f t="shared" si="2"/>
        <v>0</v>
      </c>
      <c r="L20" s="50"/>
    </row>
    <row r="21" spans="1:12" ht="15.6" customHeight="1" x14ac:dyDescent="0.25">
      <c r="B21" s="35" t="s">
        <v>52</v>
      </c>
      <c r="C21" s="36" t="s">
        <v>50</v>
      </c>
      <c r="D21" s="37" t="s">
        <v>53</v>
      </c>
      <c r="E21" s="48">
        <v>60000</v>
      </c>
      <c r="F21" s="39">
        <v>60000</v>
      </c>
      <c r="G21" s="39">
        <f>ROUND(F21,0)</f>
        <v>60000</v>
      </c>
      <c r="H21" s="38">
        <f t="shared" si="1"/>
        <v>0</v>
      </c>
      <c r="I21" s="52"/>
      <c r="J21" s="39">
        <f t="shared" si="8"/>
        <v>60000</v>
      </c>
      <c r="K21" s="38">
        <f t="shared" si="2"/>
        <v>0</v>
      </c>
      <c r="L21" s="52"/>
    </row>
    <row r="22" spans="1:12" ht="15.75" customHeight="1" x14ac:dyDescent="0.25">
      <c r="B22" s="1" t="s">
        <v>54</v>
      </c>
      <c r="C22" s="42" t="s">
        <v>55</v>
      </c>
      <c r="D22" s="43" t="s">
        <v>56</v>
      </c>
      <c r="E22" s="46">
        <v>144060</v>
      </c>
      <c r="F22" s="45">
        <v>144060</v>
      </c>
      <c r="G22" s="45">
        <f t="shared" ref="G22" si="9">G23+G27</f>
        <v>144060</v>
      </c>
      <c r="H22" s="44">
        <f t="shared" si="1"/>
        <v>0</v>
      </c>
      <c r="I22" s="47"/>
      <c r="J22" s="45">
        <f t="shared" ref="J22" si="10">J23+J27</f>
        <v>144060</v>
      </c>
      <c r="K22" s="44">
        <f t="shared" si="2"/>
        <v>0</v>
      </c>
      <c r="L22" s="47"/>
    </row>
    <row r="23" spans="1:12" x14ac:dyDescent="0.25">
      <c r="A23" s="1" t="s">
        <v>17</v>
      </c>
      <c r="B23" s="1" t="s">
        <v>57</v>
      </c>
      <c r="C23" s="36" t="s">
        <v>58</v>
      </c>
      <c r="D23" s="37" t="s">
        <v>59</v>
      </c>
      <c r="E23" s="48">
        <v>6100</v>
      </c>
      <c r="F23" s="39">
        <v>6100</v>
      </c>
      <c r="G23" s="39">
        <f>G24+G25+G26</f>
        <v>6100</v>
      </c>
      <c r="H23" s="38">
        <f t="shared" si="1"/>
        <v>0</v>
      </c>
      <c r="I23" s="49"/>
      <c r="J23" s="39">
        <f>J24+J25+J26</f>
        <v>6100</v>
      </c>
      <c r="K23" s="38">
        <f t="shared" si="2"/>
        <v>0</v>
      </c>
      <c r="L23" s="49"/>
    </row>
    <row r="24" spans="1:12" ht="26.4" x14ac:dyDescent="0.25">
      <c r="B24" s="35" t="s">
        <v>60</v>
      </c>
      <c r="C24" s="53" t="s">
        <v>61</v>
      </c>
      <c r="D24" s="54" t="s">
        <v>62</v>
      </c>
      <c r="E24" s="48">
        <v>1100</v>
      </c>
      <c r="F24" s="39">
        <v>1100</v>
      </c>
      <c r="G24" s="39">
        <f>ROUND(F24,0)</f>
        <v>1100</v>
      </c>
      <c r="H24" s="38">
        <f t="shared" si="1"/>
        <v>0</v>
      </c>
      <c r="I24" s="49"/>
      <c r="J24" s="39">
        <f t="shared" ref="J24:J26" si="11">ROUND(G24,0)</f>
        <v>1100</v>
      </c>
      <c r="K24" s="38">
        <f t="shared" si="2"/>
        <v>0</v>
      </c>
      <c r="L24" s="49"/>
    </row>
    <row r="25" spans="1:12" ht="26.4" x14ac:dyDescent="0.25">
      <c r="B25" s="35" t="s">
        <v>63</v>
      </c>
      <c r="C25" s="53" t="s">
        <v>64</v>
      </c>
      <c r="D25" s="54" t="s">
        <v>65</v>
      </c>
      <c r="E25" s="48">
        <v>4500</v>
      </c>
      <c r="F25" s="39">
        <v>4500</v>
      </c>
      <c r="G25" s="39">
        <f>ROUND(F25,0)</f>
        <v>4500</v>
      </c>
      <c r="H25" s="38">
        <f t="shared" si="1"/>
        <v>0</v>
      </c>
      <c r="I25" s="49"/>
      <c r="J25" s="39">
        <f t="shared" si="11"/>
        <v>4500</v>
      </c>
      <c r="K25" s="38">
        <f t="shared" si="2"/>
        <v>0</v>
      </c>
      <c r="L25" s="49"/>
    </row>
    <row r="26" spans="1:12" ht="26.4" x14ac:dyDescent="0.25">
      <c r="B26" s="35" t="s">
        <v>66</v>
      </c>
      <c r="C26" s="53" t="s">
        <v>67</v>
      </c>
      <c r="D26" s="54" t="s">
        <v>68</v>
      </c>
      <c r="E26" s="48">
        <v>500</v>
      </c>
      <c r="F26" s="39">
        <v>500</v>
      </c>
      <c r="G26" s="39">
        <f>ROUND(F26,0)</f>
        <v>500</v>
      </c>
      <c r="H26" s="38">
        <f t="shared" si="1"/>
        <v>0</v>
      </c>
      <c r="I26" s="49"/>
      <c r="J26" s="39">
        <f t="shared" si="11"/>
        <v>500</v>
      </c>
      <c r="K26" s="38">
        <f t="shared" si="2"/>
        <v>0</v>
      </c>
      <c r="L26" s="49"/>
    </row>
    <row r="27" spans="1:12" x14ac:dyDescent="0.25">
      <c r="A27" s="1" t="s">
        <v>17</v>
      </c>
      <c r="B27" s="1" t="s">
        <v>69</v>
      </c>
      <c r="C27" s="36" t="s">
        <v>70</v>
      </c>
      <c r="D27" s="37" t="s">
        <v>71</v>
      </c>
      <c r="E27" s="48">
        <v>137960</v>
      </c>
      <c r="F27" s="39">
        <v>137960</v>
      </c>
      <c r="G27" s="39">
        <f t="shared" ref="G27" si="12">SUM(G28:G33)</f>
        <v>137960</v>
      </c>
      <c r="H27" s="38">
        <f t="shared" si="1"/>
        <v>0</v>
      </c>
      <c r="I27" s="49"/>
      <c r="J27" s="39">
        <f t="shared" ref="J27" si="13">SUM(J28:J33)</f>
        <v>137960</v>
      </c>
      <c r="K27" s="38">
        <f t="shared" si="2"/>
        <v>0</v>
      </c>
      <c r="L27" s="49"/>
    </row>
    <row r="28" spans="1:12" ht="26.4" x14ac:dyDescent="0.25">
      <c r="B28" s="35" t="s">
        <v>72</v>
      </c>
      <c r="C28" s="53" t="s">
        <v>73</v>
      </c>
      <c r="D28" s="54" t="s">
        <v>74</v>
      </c>
      <c r="E28" s="48">
        <v>100</v>
      </c>
      <c r="F28" s="39">
        <v>100</v>
      </c>
      <c r="G28" s="39">
        <f t="shared" ref="G28:G33" si="14">ROUND(F28,0)</f>
        <v>100</v>
      </c>
      <c r="H28" s="38">
        <f t="shared" si="1"/>
        <v>0</v>
      </c>
      <c r="I28" s="49"/>
      <c r="J28" s="39">
        <f t="shared" ref="J28:J33" si="15">ROUND(G28,0)</f>
        <v>100</v>
      </c>
      <c r="K28" s="38">
        <f t="shared" si="2"/>
        <v>0</v>
      </c>
      <c r="L28" s="49"/>
    </row>
    <row r="29" spans="1:12" ht="26.4" x14ac:dyDescent="0.25">
      <c r="B29" s="55" t="s">
        <v>75</v>
      </c>
      <c r="C29" s="53" t="s">
        <v>76</v>
      </c>
      <c r="D29" s="54" t="s">
        <v>77</v>
      </c>
      <c r="E29" s="48">
        <v>1860</v>
      </c>
      <c r="F29" s="39">
        <v>1860</v>
      </c>
      <c r="G29" s="39">
        <f t="shared" si="14"/>
        <v>1860</v>
      </c>
      <c r="H29" s="38">
        <f t="shared" si="1"/>
        <v>0</v>
      </c>
      <c r="I29" s="49"/>
      <c r="J29" s="39">
        <f t="shared" si="15"/>
        <v>1860</v>
      </c>
      <c r="K29" s="38">
        <f t="shared" si="2"/>
        <v>0</v>
      </c>
      <c r="L29" s="49"/>
    </row>
    <row r="30" spans="1:12" ht="25.95" customHeight="1" x14ac:dyDescent="0.25">
      <c r="B30" s="35" t="s">
        <v>78</v>
      </c>
      <c r="C30" s="53" t="s">
        <v>79</v>
      </c>
      <c r="D30" s="54" t="s">
        <v>80</v>
      </c>
      <c r="E30" s="48">
        <v>33000</v>
      </c>
      <c r="F30" s="39">
        <v>33000</v>
      </c>
      <c r="G30" s="39">
        <f t="shared" si="14"/>
        <v>33000</v>
      </c>
      <c r="H30" s="38">
        <f t="shared" si="1"/>
        <v>0</v>
      </c>
      <c r="I30" s="49"/>
      <c r="J30" s="39">
        <f t="shared" si="15"/>
        <v>33000</v>
      </c>
      <c r="K30" s="38">
        <f t="shared" si="2"/>
        <v>0</v>
      </c>
      <c r="L30" s="49"/>
    </row>
    <row r="31" spans="1:12" ht="26.4" x14ac:dyDescent="0.25">
      <c r="B31" s="35" t="s">
        <v>81</v>
      </c>
      <c r="C31" s="53" t="s">
        <v>82</v>
      </c>
      <c r="D31" s="54" t="s">
        <v>83</v>
      </c>
      <c r="E31" s="48">
        <v>13000</v>
      </c>
      <c r="F31" s="39">
        <v>13000</v>
      </c>
      <c r="G31" s="39">
        <f t="shared" si="14"/>
        <v>13000</v>
      </c>
      <c r="H31" s="38">
        <f t="shared" si="1"/>
        <v>0</v>
      </c>
      <c r="I31" s="49"/>
      <c r="J31" s="39">
        <f t="shared" si="15"/>
        <v>13000</v>
      </c>
      <c r="K31" s="38">
        <f t="shared" si="2"/>
        <v>0</v>
      </c>
      <c r="L31" s="49"/>
    </row>
    <row r="32" spans="1:12" x14ac:dyDescent="0.25">
      <c r="B32" s="35" t="s">
        <v>84</v>
      </c>
      <c r="C32" s="53" t="s">
        <v>85</v>
      </c>
      <c r="D32" s="54" t="s">
        <v>86</v>
      </c>
      <c r="E32" s="48">
        <v>85000</v>
      </c>
      <c r="F32" s="39">
        <v>85000</v>
      </c>
      <c r="G32" s="39">
        <f t="shared" si="14"/>
        <v>85000</v>
      </c>
      <c r="H32" s="38">
        <f t="shared" si="1"/>
        <v>0</v>
      </c>
      <c r="I32" s="49"/>
      <c r="J32" s="39">
        <f t="shared" si="15"/>
        <v>85000</v>
      </c>
      <c r="K32" s="38">
        <f t="shared" si="2"/>
        <v>0</v>
      </c>
      <c r="L32" s="49"/>
    </row>
    <row r="33" spans="1:12" x14ac:dyDescent="0.25">
      <c r="B33" s="35" t="s">
        <v>87</v>
      </c>
      <c r="C33" s="53" t="s">
        <v>88</v>
      </c>
      <c r="D33" s="54" t="s">
        <v>89</v>
      </c>
      <c r="E33" s="48">
        <v>5000</v>
      </c>
      <c r="F33" s="39">
        <v>5000</v>
      </c>
      <c r="G33" s="39">
        <f t="shared" si="14"/>
        <v>5000</v>
      </c>
      <c r="H33" s="38">
        <f t="shared" si="1"/>
        <v>0</v>
      </c>
      <c r="I33" s="49"/>
      <c r="J33" s="39">
        <f t="shared" si="15"/>
        <v>5000</v>
      </c>
      <c r="K33" s="38">
        <f t="shared" si="2"/>
        <v>0</v>
      </c>
      <c r="L33" s="49"/>
    </row>
    <row r="34" spans="1:12" ht="18" customHeight="1" x14ac:dyDescent="0.25">
      <c r="B34" s="1" t="s">
        <v>90</v>
      </c>
      <c r="C34" s="42" t="s">
        <v>91</v>
      </c>
      <c r="D34" s="43" t="s">
        <v>92</v>
      </c>
      <c r="E34" s="46">
        <v>130000</v>
      </c>
      <c r="F34" s="45">
        <v>130000</v>
      </c>
      <c r="G34" s="45">
        <f>G35+G36</f>
        <v>130000</v>
      </c>
      <c r="H34" s="44">
        <f t="shared" si="1"/>
        <v>0</v>
      </c>
      <c r="I34" s="56"/>
      <c r="J34" s="45">
        <f>J35+J36</f>
        <v>130000</v>
      </c>
      <c r="K34" s="44">
        <f t="shared" si="2"/>
        <v>0</v>
      </c>
      <c r="L34" s="56"/>
    </row>
    <row r="35" spans="1:12" ht="16.5" customHeight="1" x14ac:dyDescent="0.3">
      <c r="B35" s="51" t="s">
        <v>93</v>
      </c>
      <c r="C35" s="36" t="s">
        <v>94</v>
      </c>
      <c r="D35" s="37" t="s">
        <v>92</v>
      </c>
      <c r="E35" s="48">
        <v>90000</v>
      </c>
      <c r="F35" s="39">
        <v>90000</v>
      </c>
      <c r="G35" s="39">
        <f>ROUND(F35,0)</f>
        <v>90000</v>
      </c>
      <c r="H35" s="38">
        <f t="shared" si="1"/>
        <v>0</v>
      </c>
      <c r="I35" s="40"/>
      <c r="J35" s="39">
        <f t="shared" ref="J35:J36" si="16">ROUND(G35,0)</f>
        <v>90000</v>
      </c>
      <c r="K35" s="38">
        <f t="shared" si="2"/>
        <v>0</v>
      </c>
      <c r="L35" s="40"/>
    </row>
    <row r="36" spans="1:12" ht="28.2" x14ac:dyDescent="0.3">
      <c r="B36" s="51" t="s">
        <v>95</v>
      </c>
      <c r="C36" s="36" t="s">
        <v>96</v>
      </c>
      <c r="D36" s="37" t="s">
        <v>97</v>
      </c>
      <c r="E36" s="48">
        <v>40000</v>
      </c>
      <c r="F36" s="39">
        <v>40000</v>
      </c>
      <c r="G36" s="39">
        <f>ROUND(F36,0)</f>
        <v>40000</v>
      </c>
      <c r="H36" s="38">
        <f t="shared" si="1"/>
        <v>0</v>
      </c>
      <c r="I36" s="40"/>
      <c r="J36" s="39">
        <f t="shared" si="16"/>
        <v>40000</v>
      </c>
      <c r="K36" s="38">
        <f t="shared" si="2"/>
        <v>0</v>
      </c>
      <c r="L36" s="40"/>
    </row>
    <row r="37" spans="1:12" ht="15" customHeight="1" x14ac:dyDescent="0.25">
      <c r="B37" s="1" t="s">
        <v>98</v>
      </c>
      <c r="C37" s="42" t="s">
        <v>99</v>
      </c>
      <c r="D37" s="43" t="s">
        <v>100</v>
      </c>
      <c r="E37" s="46">
        <v>35728</v>
      </c>
      <c r="F37" s="45">
        <v>35728</v>
      </c>
      <c r="G37" s="45">
        <f>G38+G39+G40</f>
        <v>35728</v>
      </c>
      <c r="H37" s="44">
        <f t="shared" si="1"/>
        <v>0</v>
      </c>
      <c r="I37" s="47"/>
      <c r="J37" s="45">
        <f>J38+J39+J40</f>
        <v>35728</v>
      </c>
      <c r="K37" s="44">
        <f t="shared" si="2"/>
        <v>0</v>
      </c>
      <c r="L37" s="47"/>
    </row>
    <row r="38" spans="1:12" ht="66" customHeight="1" x14ac:dyDescent="0.25">
      <c r="A38" s="1" t="s">
        <v>17</v>
      </c>
      <c r="B38" s="4" t="s">
        <v>101</v>
      </c>
      <c r="C38" s="36" t="s">
        <v>102</v>
      </c>
      <c r="D38" s="57" t="s">
        <v>103</v>
      </c>
      <c r="E38" s="48">
        <v>25728</v>
      </c>
      <c r="F38" s="39">
        <v>25728</v>
      </c>
      <c r="G38" s="39">
        <f>ROUND(F38,0)</f>
        <v>25728</v>
      </c>
      <c r="H38" s="38">
        <f t="shared" si="1"/>
        <v>0</v>
      </c>
      <c r="I38" s="41"/>
      <c r="J38" s="39">
        <f t="shared" ref="J38:J40" si="17">ROUND(G38,0)</f>
        <v>25728</v>
      </c>
      <c r="K38" s="38">
        <f t="shared" si="2"/>
        <v>0</v>
      </c>
      <c r="L38" s="41"/>
    </row>
    <row r="39" spans="1:12" ht="27.75" customHeight="1" x14ac:dyDescent="0.25">
      <c r="B39" s="1" t="s">
        <v>104</v>
      </c>
      <c r="C39" s="36" t="s">
        <v>105</v>
      </c>
      <c r="D39" s="37" t="s">
        <v>106</v>
      </c>
      <c r="E39" s="48">
        <v>0</v>
      </c>
      <c r="F39" s="39">
        <v>0</v>
      </c>
      <c r="G39" s="39">
        <f>ROUND(F39,0)</f>
        <v>0</v>
      </c>
      <c r="H39" s="38">
        <f t="shared" si="1"/>
        <v>0</v>
      </c>
      <c r="I39" s="41"/>
      <c r="J39" s="39">
        <f t="shared" si="17"/>
        <v>0</v>
      </c>
      <c r="K39" s="38">
        <f t="shared" si="2"/>
        <v>0</v>
      </c>
      <c r="L39" s="41"/>
    </row>
    <row r="40" spans="1:12" x14ac:dyDescent="0.25">
      <c r="B40" s="1" t="s">
        <v>107</v>
      </c>
      <c r="C40" s="36" t="s">
        <v>108</v>
      </c>
      <c r="D40" s="37" t="s">
        <v>109</v>
      </c>
      <c r="E40" s="48">
        <v>10000</v>
      </c>
      <c r="F40" s="39">
        <v>10000</v>
      </c>
      <c r="G40" s="39">
        <f>ROUND(F40,0)</f>
        <v>10000</v>
      </c>
      <c r="H40" s="38">
        <f t="shared" si="1"/>
        <v>0</v>
      </c>
      <c r="I40" s="40"/>
      <c r="J40" s="39">
        <f t="shared" si="17"/>
        <v>10000</v>
      </c>
      <c r="K40" s="38">
        <f t="shared" si="2"/>
        <v>0</v>
      </c>
      <c r="L40" s="40"/>
    </row>
    <row r="41" spans="1:12" ht="26.4" customHeight="1" x14ac:dyDescent="0.25">
      <c r="B41" s="1" t="s">
        <v>110</v>
      </c>
      <c r="C41" s="58" t="s">
        <v>111</v>
      </c>
      <c r="D41" s="43" t="s">
        <v>112</v>
      </c>
      <c r="E41" s="46">
        <v>0</v>
      </c>
      <c r="F41" s="45">
        <v>0</v>
      </c>
      <c r="G41" s="45">
        <f>ROUND(E41,0)</f>
        <v>0</v>
      </c>
      <c r="H41" s="44">
        <f t="shared" si="1"/>
        <v>0</v>
      </c>
      <c r="I41" s="56"/>
      <c r="J41" s="45">
        <f>ROUND(G41,0)</f>
        <v>0</v>
      </c>
      <c r="K41" s="44">
        <f t="shared" si="2"/>
        <v>0</v>
      </c>
      <c r="L41" s="56"/>
    </row>
    <row r="42" spans="1:12" ht="31.5" customHeight="1" x14ac:dyDescent="0.25">
      <c r="C42" s="58" t="s">
        <v>113</v>
      </c>
      <c r="D42" s="43" t="s">
        <v>114</v>
      </c>
      <c r="E42" s="46">
        <v>17618701</v>
      </c>
      <c r="F42" s="45">
        <v>17618701</v>
      </c>
      <c r="G42" s="45">
        <f t="shared" ref="G42" si="18">G43+G66+G85</f>
        <v>17672389</v>
      </c>
      <c r="H42" s="44">
        <f t="shared" si="1"/>
        <v>53688</v>
      </c>
      <c r="I42" s="44"/>
      <c r="J42" s="45">
        <f t="shared" ref="J42" si="19">J43+J66+J85</f>
        <v>18762239</v>
      </c>
      <c r="K42" s="44">
        <f t="shared" si="2"/>
        <v>1089850</v>
      </c>
      <c r="L42" s="44"/>
    </row>
    <row r="43" spans="1:12" ht="17.399999999999999" customHeight="1" x14ac:dyDescent="0.25">
      <c r="B43" s="35"/>
      <c r="C43" s="59" t="s">
        <v>115</v>
      </c>
      <c r="D43" s="60" t="s">
        <v>116</v>
      </c>
      <c r="E43" s="63">
        <v>9758404</v>
      </c>
      <c r="F43" s="64">
        <v>9758404</v>
      </c>
      <c r="G43" s="64">
        <f t="shared" ref="G43" si="20">SUM(G44:G47)+G50+SUM(G54:G65)</f>
        <v>9781664</v>
      </c>
      <c r="H43" s="65">
        <f t="shared" si="1"/>
        <v>23260</v>
      </c>
      <c r="I43" s="65"/>
      <c r="J43" s="64">
        <f t="shared" ref="J43" si="21">SUM(J44:J47)+J50+SUM(J54:J65)</f>
        <v>9919245</v>
      </c>
      <c r="K43" s="65">
        <f t="shared" si="2"/>
        <v>137581</v>
      </c>
      <c r="L43" s="65"/>
    </row>
    <row r="44" spans="1:12" ht="16.95" customHeight="1" x14ac:dyDescent="0.25">
      <c r="A44" s="1" t="s">
        <v>117</v>
      </c>
      <c r="B44" s="1" t="s">
        <v>118</v>
      </c>
      <c r="C44" s="53" t="s">
        <v>119</v>
      </c>
      <c r="D44" s="37" t="s">
        <v>120</v>
      </c>
      <c r="E44" s="48">
        <v>718764</v>
      </c>
      <c r="F44" s="39">
        <v>718764</v>
      </c>
      <c r="G44" s="39">
        <f>ROUND(F44,0)</f>
        <v>718764</v>
      </c>
      <c r="H44" s="38">
        <f t="shared" si="1"/>
        <v>0</v>
      </c>
      <c r="I44" s="41"/>
      <c r="J44" s="39">
        <f t="shared" ref="J44:J46" si="22">ROUND(G44,0)</f>
        <v>718764</v>
      </c>
      <c r="K44" s="38">
        <f t="shared" si="2"/>
        <v>0</v>
      </c>
      <c r="L44" s="41"/>
    </row>
    <row r="45" spans="1:12" ht="13.95" customHeight="1" x14ac:dyDescent="0.3">
      <c r="A45" s="1" t="s">
        <v>117</v>
      </c>
      <c r="B45" s="51" t="s">
        <v>121</v>
      </c>
      <c r="C45" s="53" t="s">
        <v>122</v>
      </c>
      <c r="D45" s="37" t="s">
        <v>123</v>
      </c>
      <c r="E45" s="48">
        <v>313180</v>
      </c>
      <c r="F45" s="39">
        <v>313180</v>
      </c>
      <c r="G45" s="39">
        <f>ROUND(F45,0)</f>
        <v>313180</v>
      </c>
      <c r="H45" s="38">
        <f t="shared" si="1"/>
        <v>0</v>
      </c>
      <c r="I45" s="40"/>
      <c r="J45" s="39">
        <f t="shared" si="22"/>
        <v>313180</v>
      </c>
      <c r="K45" s="38">
        <f t="shared" si="2"/>
        <v>0</v>
      </c>
      <c r="L45" s="40"/>
    </row>
    <row r="46" spans="1:12" ht="14.4" x14ac:dyDescent="0.3">
      <c r="B46" s="51" t="s">
        <v>124</v>
      </c>
      <c r="C46" s="53" t="s">
        <v>125</v>
      </c>
      <c r="D46" s="37" t="s">
        <v>126</v>
      </c>
      <c r="E46" s="48">
        <v>341692</v>
      </c>
      <c r="F46" s="39">
        <v>341692</v>
      </c>
      <c r="G46" s="39">
        <f>ROUND(F46,0)</f>
        <v>341692</v>
      </c>
      <c r="H46" s="38">
        <f t="shared" si="1"/>
        <v>0</v>
      </c>
      <c r="I46" s="41"/>
      <c r="J46" s="39">
        <f t="shared" si="22"/>
        <v>341692</v>
      </c>
      <c r="K46" s="38">
        <f t="shared" si="2"/>
        <v>0</v>
      </c>
      <c r="L46" s="41"/>
    </row>
    <row r="47" spans="1:12" ht="14.25" customHeight="1" x14ac:dyDescent="0.3">
      <c r="A47" s="1" t="s">
        <v>117</v>
      </c>
      <c r="B47" s="51" t="s">
        <v>127</v>
      </c>
      <c r="C47" s="53" t="s">
        <v>128</v>
      </c>
      <c r="D47" s="37" t="s">
        <v>129</v>
      </c>
      <c r="E47" s="66">
        <v>0</v>
      </c>
      <c r="F47" s="38">
        <v>0</v>
      </c>
      <c r="G47" s="39">
        <f t="shared" ref="G47" si="23">G48+G49</f>
        <v>0</v>
      </c>
      <c r="H47" s="38">
        <f t="shared" si="1"/>
        <v>0</v>
      </c>
      <c r="I47" s="38"/>
      <c r="J47" s="39">
        <f t="shared" ref="J47" si="24">J48+J49</f>
        <v>117542</v>
      </c>
      <c r="K47" s="38">
        <f t="shared" si="2"/>
        <v>117542</v>
      </c>
      <c r="L47" s="38"/>
    </row>
    <row r="48" spans="1:12" ht="14.25" customHeight="1" x14ac:dyDescent="0.3">
      <c r="B48" s="51"/>
      <c r="C48" s="53" t="s">
        <v>130</v>
      </c>
      <c r="D48" s="54" t="s">
        <v>131</v>
      </c>
      <c r="E48" s="48">
        <v>0</v>
      </c>
      <c r="F48" s="39">
        <v>0</v>
      </c>
      <c r="G48" s="39">
        <f>ROUND(F48,0)</f>
        <v>0</v>
      </c>
      <c r="H48" s="38">
        <f t="shared" si="1"/>
        <v>0</v>
      </c>
      <c r="I48" s="41"/>
      <c r="J48" s="39">
        <f>ROUND(G48,0)+117542</f>
        <v>117542</v>
      </c>
      <c r="K48" s="38">
        <f t="shared" si="2"/>
        <v>117542</v>
      </c>
      <c r="L48" s="41" t="s">
        <v>132</v>
      </c>
    </row>
    <row r="49" spans="1:12" ht="29.4" customHeight="1" x14ac:dyDescent="0.3">
      <c r="B49" s="51"/>
      <c r="C49" s="53" t="s">
        <v>133</v>
      </c>
      <c r="D49" s="54" t="s">
        <v>134</v>
      </c>
      <c r="E49" s="48">
        <v>0</v>
      </c>
      <c r="F49" s="39">
        <v>0</v>
      </c>
      <c r="G49" s="39">
        <f>ROUND(F49,0)</f>
        <v>0</v>
      </c>
      <c r="H49" s="38">
        <f t="shared" si="1"/>
        <v>0</v>
      </c>
      <c r="I49" s="41"/>
      <c r="J49" s="39">
        <f>ROUND(G49,0)</f>
        <v>0</v>
      </c>
      <c r="K49" s="38">
        <f t="shared" si="2"/>
        <v>0</v>
      </c>
      <c r="L49" s="41"/>
    </row>
    <row r="50" spans="1:12" ht="13.95" customHeight="1" x14ac:dyDescent="0.25">
      <c r="B50" s="1" t="s">
        <v>135</v>
      </c>
      <c r="C50" s="53" t="s">
        <v>136</v>
      </c>
      <c r="D50" s="37" t="s">
        <v>137</v>
      </c>
      <c r="E50" s="69">
        <v>7121916</v>
      </c>
      <c r="F50" s="68">
        <v>7121916</v>
      </c>
      <c r="G50" s="68">
        <f>G51+G52+G53</f>
        <v>7137676</v>
      </c>
      <c r="H50" s="67">
        <f t="shared" si="1"/>
        <v>15760</v>
      </c>
      <c r="I50" s="70"/>
      <c r="J50" s="68">
        <f>J51+J52+J53</f>
        <v>7137676</v>
      </c>
      <c r="K50" s="67">
        <f t="shared" si="2"/>
        <v>0</v>
      </c>
      <c r="L50" s="70"/>
    </row>
    <row r="51" spans="1:12" s="75" customFormat="1" ht="14.4" x14ac:dyDescent="0.3">
      <c r="A51" s="1" t="s">
        <v>117</v>
      </c>
      <c r="B51" s="51" t="s">
        <v>138</v>
      </c>
      <c r="C51" s="53" t="s">
        <v>139</v>
      </c>
      <c r="D51" s="54" t="s">
        <v>140</v>
      </c>
      <c r="E51" s="73">
        <v>1065868</v>
      </c>
      <c r="F51" s="72">
        <v>1065868</v>
      </c>
      <c r="G51" s="72">
        <f t="shared" ref="G51:G64" si="25">ROUND(F51,0)</f>
        <v>1065868</v>
      </c>
      <c r="H51" s="71">
        <f t="shared" si="1"/>
        <v>0</v>
      </c>
      <c r="I51" s="74"/>
      <c r="J51" s="72">
        <f t="shared" ref="J51:J64" si="26">ROUND(G51,0)</f>
        <v>1065868</v>
      </c>
      <c r="K51" s="71">
        <f t="shared" si="2"/>
        <v>0</v>
      </c>
      <c r="L51" s="74"/>
    </row>
    <row r="52" spans="1:12" s="75" customFormat="1" ht="14.4" x14ac:dyDescent="0.3">
      <c r="A52" s="1" t="s">
        <v>117</v>
      </c>
      <c r="B52" s="51" t="s">
        <v>141</v>
      </c>
      <c r="C52" s="53" t="s">
        <v>142</v>
      </c>
      <c r="D52" s="54" t="s">
        <v>143</v>
      </c>
      <c r="E52" s="73">
        <v>5542646</v>
      </c>
      <c r="F52" s="72">
        <v>5542646</v>
      </c>
      <c r="G52" s="72">
        <f t="shared" si="25"/>
        <v>5542646</v>
      </c>
      <c r="H52" s="71">
        <f t="shared" si="1"/>
        <v>0</v>
      </c>
      <c r="I52" s="74"/>
      <c r="J52" s="72">
        <f t="shared" si="26"/>
        <v>5542646</v>
      </c>
      <c r="K52" s="71">
        <f t="shared" si="2"/>
        <v>0</v>
      </c>
      <c r="L52" s="74"/>
    </row>
    <row r="53" spans="1:12" s="75" customFormat="1" ht="18" customHeight="1" x14ac:dyDescent="0.25">
      <c r="A53" s="1" t="s">
        <v>117</v>
      </c>
      <c r="B53" s="1"/>
      <c r="C53" s="53" t="s">
        <v>144</v>
      </c>
      <c r="D53" s="54" t="s">
        <v>145</v>
      </c>
      <c r="E53" s="73">
        <v>513402</v>
      </c>
      <c r="F53" s="72">
        <v>513402</v>
      </c>
      <c r="G53" s="72">
        <f>ROUND(F53,0)+15760</f>
        <v>529162</v>
      </c>
      <c r="H53" s="71">
        <f t="shared" si="1"/>
        <v>15760</v>
      </c>
      <c r="I53" s="74" t="s">
        <v>146</v>
      </c>
      <c r="J53" s="72">
        <f t="shared" si="26"/>
        <v>529162</v>
      </c>
      <c r="K53" s="71">
        <f t="shared" si="2"/>
        <v>0</v>
      </c>
      <c r="L53" s="74"/>
    </row>
    <row r="54" spans="1:12" ht="31.5" customHeight="1" x14ac:dyDescent="0.25">
      <c r="A54" s="1" t="s">
        <v>117</v>
      </c>
      <c r="B54" s="1" t="s">
        <v>147</v>
      </c>
      <c r="C54" s="53" t="s">
        <v>148</v>
      </c>
      <c r="D54" s="37" t="s">
        <v>149</v>
      </c>
      <c r="E54" s="48">
        <v>26360</v>
      </c>
      <c r="F54" s="39">
        <v>26360</v>
      </c>
      <c r="G54" s="39">
        <f t="shared" si="25"/>
        <v>26360</v>
      </c>
      <c r="H54" s="38">
        <f t="shared" si="1"/>
        <v>0</v>
      </c>
      <c r="I54" s="49"/>
      <c r="J54" s="39">
        <f t="shared" si="26"/>
        <v>26360</v>
      </c>
      <c r="K54" s="38">
        <f t="shared" si="2"/>
        <v>0</v>
      </c>
      <c r="L54" s="49"/>
    </row>
    <row r="55" spans="1:12" ht="19.2" customHeight="1" x14ac:dyDescent="0.3">
      <c r="A55" s="1" t="s">
        <v>117</v>
      </c>
      <c r="B55" s="51" t="s">
        <v>150</v>
      </c>
      <c r="C55" s="53" t="s">
        <v>151</v>
      </c>
      <c r="D55" s="37" t="s">
        <v>152</v>
      </c>
      <c r="E55" s="48">
        <v>37535</v>
      </c>
      <c r="F55" s="39">
        <v>37535</v>
      </c>
      <c r="G55" s="39">
        <f t="shared" si="25"/>
        <v>37535</v>
      </c>
      <c r="H55" s="38">
        <f t="shared" si="1"/>
        <v>0</v>
      </c>
      <c r="I55" s="40"/>
      <c r="J55" s="39">
        <f t="shared" si="26"/>
        <v>37535</v>
      </c>
      <c r="K55" s="38">
        <f t="shared" si="2"/>
        <v>0</v>
      </c>
      <c r="L55" s="40"/>
    </row>
    <row r="56" spans="1:12" ht="19.2" customHeight="1" x14ac:dyDescent="0.3">
      <c r="B56" s="51" t="s">
        <v>150</v>
      </c>
      <c r="C56" s="53" t="s">
        <v>153</v>
      </c>
      <c r="D56" s="37" t="s">
        <v>154</v>
      </c>
      <c r="E56" s="48">
        <v>11142</v>
      </c>
      <c r="F56" s="39">
        <v>11142</v>
      </c>
      <c r="G56" s="39">
        <f t="shared" si="25"/>
        <v>11142</v>
      </c>
      <c r="H56" s="38">
        <f t="shared" si="1"/>
        <v>0</v>
      </c>
      <c r="I56" s="40"/>
      <c r="J56" s="39">
        <f t="shared" si="26"/>
        <v>11142</v>
      </c>
      <c r="K56" s="38">
        <f t="shared" si="2"/>
        <v>0</v>
      </c>
      <c r="L56" s="40"/>
    </row>
    <row r="57" spans="1:12" ht="30.6" customHeight="1" x14ac:dyDescent="0.25">
      <c r="B57" s="1" t="s">
        <v>155</v>
      </c>
      <c r="C57" s="53" t="s">
        <v>156</v>
      </c>
      <c r="D57" s="37" t="s">
        <v>157</v>
      </c>
      <c r="E57" s="48">
        <v>580000</v>
      </c>
      <c r="F57" s="39">
        <v>580000</v>
      </c>
      <c r="G57" s="39">
        <f t="shared" si="25"/>
        <v>580000</v>
      </c>
      <c r="H57" s="38">
        <f t="shared" si="1"/>
        <v>0</v>
      </c>
      <c r="I57" s="41"/>
      <c r="J57" s="39">
        <f t="shared" si="26"/>
        <v>580000</v>
      </c>
      <c r="K57" s="38">
        <f t="shared" si="2"/>
        <v>0</v>
      </c>
      <c r="L57" s="41"/>
    </row>
    <row r="58" spans="1:12" ht="31.5" customHeight="1" x14ac:dyDescent="0.25">
      <c r="C58" s="53" t="s">
        <v>158</v>
      </c>
      <c r="D58" s="37" t="s">
        <v>159</v>
      </c>
      <c r="E58" s="48">
        <v>0</v>
      </c>
      <c r="F58" s="39">
        <v>0</v>
      </c>
      <c r="G58" s="39">
        <f t="shared" si="25"/>
        <v>0</v>
      </c>
      <c r="H58" s="38">
        <f t="shared" si="1"/>
        <v>0</v>
      </c>
      <c r="I58" s="40"/>
      <c r="J58" s="39">
        <f t="shared" si="26"/>
        <v>0</v>
      </c>
      <c r="K58" s="38">
        <f t="shared" si="2"/>
        <v>0</v>
      </c>
      <c r="L58" s="40"/>
    </row>
    <row r="59" spans="1:12" ht="31.5" customHeight="1" x14ac:dyDescent="0.25">
      <c r="C59" s="53"/>
      <c r="D59" s="37" t="s">
        <v>160</v>
      </c>
      <c r="E59" s="48">
        <v>0</v>
      </c>
      <c r="F59" s="39">
        <v>0</v>
      </c>
      <c r="G59" s="39">
        <f t="shared" si="25"/>
        <v>0</v>
      </c>
      <c r="H59" s="38">
        <f t="shared" si="1"/>
        <v>0</v>
      </c>
      <c r="I59" s="40"/>
      <c r="J59" s="39">
        <f t="shared" si="26"/>
        <v>0</v>
      </c>
      <c r="K59" s="38">
        <f t="shared" si="2"/>
        <v>0</v>
      </c>
      <c r="L59" s="40"/>
    </row>
    <row r="60" spans="1:12" ht="28.2" customHeight="1" x14ac:dyDescent="0.25">
      <c r="B60" s="76" t="s">
        <v>161</v>
      </c>
      <c r="C60" s="53" t="s">
        <v>162</v>
      </c>
      <c r="D60" s="77" t="s">
        <v>163</v>
      </c>
      <c r="E60" s="48">
        <v>406576</v>
      </c>
      <c r="F60" s="39">
        <v>406576</v>
      </c>
      <c r="G60" s="39">
        <f t="shared" si="25"/>
        <v>406576</v>
      </c>
      <c r="H60" s="38">
        <f t="shared" si="1"/>
        <v>0</v>
      </c>
      <c r="I60" s="41"/>
      <c r="J60" s="39">
        <f t="shared" si="26"/>
        <v>406576</v>
      </c>
      <c r="K60" s="38">
        <f t="shared" si="2"/>
        <v>0</v>
      </c>
      <c r="L60" s="41"/>
    </row>
    <row r="61" spans="1:12" ht="58.95" customHeight="1" x14ac:dyDescent="0.25">
      <c r="C61" s="53"/>
      <c r="D61" s="37" t="s">
        <v>164</v>
      </c>
      <c r="E61" s="48">
        <v>0</v>
      </c>
      <c r="F61" s="39">
        <v>0</v>
      </c>
      <c r="G61" s="39">
        <f t="shared" si="25"/>
        <v>0</v>
      </c>
      <c r="H61" s="38">
        <f t="shared" si="1"/>
        <v>0</v>
      </c>
      <c r="I61" s="41"/>
      <c r="J61" s="39">
        <f t="shared" si="26"/>
        <v>0</v>
      </c>
      <c r="K61" s="38">
        <f t="shared" si="2"/>
        <v>0</v>
      </c>
      <c r="L61" s="41"/>
    </row>
    <row r="62" spans="1:12" ht="33.75" customHeight="1" x14ac:dyDescent="0.25">
      <c r="B62" s="1" t="s">
        <v>165</v>
      </c>
      <c r="C62" s="53" t="s">
        <v>166</v>
      </c>
      <c r="D62" s="37" t="s">
        <v>167</v>
      </c>
      <c r="E62" s="48">
        <v>70000</v>
      </c>
      <c r="F62" s="39">
        <v>70000</v>
      </c>
      <c r="G62" s="39">
        <f t="shared" si="25"/>
        <v>70000</v>
      </c>
      <c r="H62" s="38">
        <f t="shared" si="1"/>
        <v>0</v>
      </c>
      <c r="I62" s="41"/>
      <c r="J62" s="39">
        <f t="shared" si="26"/>
        <v>70000</v>
      </c>
      <c r="K62" s="38">
        <f t="shared" si="2"/>
        <v>0</v>
      </c>
      <c r="L62" s="41"/>
    </row>
    <row r="63" spans="1:12" ht="17.399999999999999" customHeight="1" x14ac:dyDescent="0.25">
      <c r="B63" s="1" t="s">
        <v>135</v>
      </c>
      <c r="C63" s="53" t="s">
        <v>168</v>
      </c>
      <c r="D63" s="37" t="s">
        <v>169</v>
      </c>
      <c r="E63" s="48">
        <v>0</v>
      </c>
      <c r="F63" s="39">
        <v>0</v>
      </c>
      <c r="G63" s="39">
        <f t="shared" si="25"/>
        <v>0</v>
      </c>
      <c r="H63" s="38">
        <f t="shared" si="1"/>
        <v>0</v>
      </c>
      <c r="I63" s="41"/>
      <c r="J63" s="39">
        <f t="shared" si="26"/>
        <v>0</v>
      </c>
      <c r="K63" s="38">
        <f t="shared" si="2"/>
        <v>0</v>
      </c>
      <c r="L63" s="41"/>
    </row>
    <row r="64" spans="1:12" ht="14.4" x14ac:dyDescent="0.3">
      <c r="A64" s="1" t="s">
        <v>117</v>
      </c>
      <c r="B64" s="51" t="s">
        <v>170</v>
      </c>
      <c r="C64" s="53" t="s">
        <v>171</v>
      </c>
      <c r="D64" s="79" t="s">
        <v>172</v>
      </c>
      <c r="E64" s="48">
        <v>12607</v>
      </c>
      <c r="F64" s="39">
        <v>12607</v>
      </c>
      <c r="G64" s="39">
        <f t="shared" si="25"/>
        <v>12607</v>
      </c>
      <c r="H64" s="38">
        <f t="shared" si="1"/>
        <v>0</v>
      </c>
      <c r="I64" s="80"/>
      <c r="J64" s="39">
        <f t="shared" si="26"/>
        <v>12607</v>
      </c>
      <c r="K64" s="38">
        <f t="shared" si="2"/>
        <v>0</v>
      </c>
      <c r="L64" s="80"/>
    </row>
    <row r="65" spans="1:12" ht="47.25" customHeight="1" x14ac:dyDescent="0.25">
      <c r="A65" s="76" t="s">
        <v>173</v>
      </c>
      <c r="B65" s="1" t="s">
        <v>174</v>
      </c>
      <c r="C65" s="53" t="s">
        <v>175</v>
      </c>
      <c r="D65" s="37" t="s">
        <v>176</v>
      </c>
      <c r="E65" s="48">
        <v>118632</v>
      </c>
      <c r="F65" s="39">
        <v>118632</v>
      </c>
      <c r="G65" s="39">
        <f>ROUND(F65,0)+7500</f>
        <v>126132</v>
      </c>
      <c r="H65" s="38">
        <f t="shared" si="1"/>
        <v>7500</v>
      </c>
      <c r="I65" s="80" t="s">
        <v>177</v>
      </c>
      <c r="J65" s="39">
        <f>ROUND(G65,0)+15584+4455</f>
        <v>146171</v>
      </c>
      <c r="K65" s="38">
        <f t="shared" si="2"/>
        <v>20039</v>
      </c>
      <c r="L65" s="80" t="s">
        <v>667</v>
      </c>
    </row>
    <row r="66" spans="1:12" ht="33" customHeight="1" x14ac:dyDescent="0.25">
      <c r="C66" s="59" t="s">
        <v>179</v>
      </c>
      <c r="D66" s="60" t="s">
        <v>180</v>
      </c>
      <c r="E66" s="81">
        <v>7860297</v>
      </c>
      <c r="F66" s="62">
        <v>7860297</v>
      </c>
      <c r="G66" s="62">
        <f t="shared" ref="G66" si="27">SUM(G67:G84)</f>
        <v>7890725</v>
      </c>
      <c r="H66" s="61">
        <f t="shared" si="1"/>
        <v>30428</v>
      </c>
      <c r="I66" s="82"/>
      <c r="J66" s="62">
        <f t="shared" ref="J66" si="28">SUM(J67:J84)</f>
        <v>7890725</v>
      </c>
      <c r="K66" s="61">
        <f t="shared" si="2"/>
        <v>0</v>
      </c>
      <c r="L66" s="82"/>
    </row>
    <row r="67" spans="1:12" x14ac:dyDescent="0.25">
      <c r="A67" s="1" t="s">
        <v>181</v>
      </c>
      <c r="B67" s="1" t="s">
        <v>182</v>
      </c>
      <c r="C67" s="53" t="s">
        <v>183</v>
      </c>
      <c r="D67" s="79" t="s">
        <v>184</v>
      </c>
      <c r="E67" s="48">
        <v>0</v>
      </c>
      <c r="F67" s="39">
        <v>0</v>
      </c>
      <c r="G67" s="39">
        <f t="shared" ref="G67:G84" si="29">ROUND(F67,0)</f>
        <v>0</v>
      </c>
      <c r="H67" s="38">
        <f t="shared" si="1"/>
        <v>0</v>
      </c>
      <c r="I67" s="50"/>
      <c r="J67" s="39">
        <f t="shared" ref="J67:J83" si="30">ROUND(G67,0)</f>
        <v>0</v>
      </c>
      <c r="K67" s="38">
        <f t="shared" si="2"/>
        <v>0</v>
      </c>
      <c r="L67" s="50"/>
    </row>
    <row r="68" spans="1:12" ht="28.5" customHeight="1" x14ac:dyDescent="0.25">
      <c r="B68" s="76" t="s">
        <v>185</v>
      </c>
      <c r="C68" s="53" t="s">
        <v>186</v>
      </c>
      <c r="D68" s="79" t="s">
        <v>187</v>
      </c>
      <c r="E68" s="48">
        <v>0</v>
      </c>
      <c r="F68" s="39">
        <v>0</v>
      </c>
      <c r="G68" s="39">
        <f t="shared" si="29"/>
        <v>0</v>
      </c>
      <c r="H68" s="38">
        <f t="shared" si="1"/>
        <v>0</v>
      </c>
      <c r="I68" s="41"/>
      <c r="J68" s="39">
        <f t="shared" si="30"/>
        <v>0</v>
      </c>
      <c r="K68" s="38">
        <f t="shared" si="2"/>
        <v>0</v>
      </c>
      <c r="L68" s="41"/>
    </row>
    <row r="69" spans="1:12" ht="30" customHeight="1" x14ac:dyDescent="0.25">
      <c r="B69" s="1" t="s">
        <v>188</v>
      </c>
      <c r="C69" s="53" t="s">
        <v>189</v>
      </c>
      <c r="D69" s="79" t="s">
        <v>190</v>
      </c>
      <c r="E69" s="48">
        <v>638646</v>
      </c>
      <c r="F69" s="39">
        <v>638646</v>
      </c>
      <c r="G69" s="39">
        <f t="shared" si="29"/>
        <v>638646</v>
      </c>
      <c r="H69" s="38">
        <f t="shared" si="1"/>
        <v>0</v>
      </c>
      <c r="I69" s="50"/>
      <c r="J69" s="39">
        <f t="shared" si="30"/>
        <v>638646</v>
      </c>
      <c r="K69" s="38">
        <f t="shared" si="2"/>
        <v>0</v>
      </c>
      <c r="L69" s="50"/>
    </row>
    <row r="70" spans="1:12" ht="27.6" x14ac:dyDescent="0.25">
      <c r="B70" s="1" t="s">
        <v>191</v>
      </c>
      <c r="C70" s="53" t="s">
        <v>183</v>
      </c>
      <c r="D70" s="79" t="s">
        <v>192</v>
      </c>
      <c r="E70" s="48">
        <v>103070</v>
      </c>
      <c r="F70" s="39">
        <v>103070</v>
      </c>
      <c r="G70" s="39">
        <f t="shared" si="29"/>
        <v>103070</v>
      </c>
      <c r="H70" s="38">
        <f t="shared" si="1"/>
        <v>0</v>
      </c>
      <c r="I70" s="50"/>
      <c r="J70" s="39">
        <f t="shared" si="30"/>
        <v>103070</v>
      </c>
      <c r="K70" s="38">
        <f t="shared" si="2"/>
        <v>0</v>
      </c>
      <c r="L70" s="50"/>
    </row>
    <row r="71" spans="1:12" hidden="1" outlineLevel="1" x14ac:dyDescent="0.25">
      <c r="B71" s="83"/>
      <c r="C71" s="53" t="s">
        <v>193</v>
      </c>
      <c r="D71" s="79" t="s">
        <v>194</v>
      </c>
      <c r="E71" s="48">
        <v>0</v>
      </c>
      <c r="F71" s="39">
        <v>0</v>
      </c>
      <c r="G71" s="39">
        <f t="shared" si="29"/>
        <v>0</v>
      </c>
      <c r="H71" s="38">
        <f t="shared" ref="H71:H119" si="31">G71-F71</f>
        <v>0</v>
      </c>
      <c r="I71" s="50"/>
      <c r="J71" s="39">
        <f t="shared" si="30"/>
        <v>0</v>
      </c>
      <c r="K71" s="38">
        <f t="shared" ref="K71:K119" si="32">J71-G71</f>
        <v>0</v>
      </c>
      <c r="L71" s="50"/>
    </row>
    <row r="72" spans="1:12" ht="55.2" hidden="1" outlineLevel="1" x14ac:dyDescent="0.25">
      <c r="B72" s="1" t="s">
        <v>173</v>
      </c>
      <c r="C72" s="53" t="s">
        <v>195</v>
      </c>
      <c r="D72" s="79" t="s">
        <v>196</v>
      </c>
      <c r="E72" s="48">
        <v>0</v>
      </c>
      <c r="F72" s="39">
        <v>0</v>
      </c>
      <c r="G72" s="39">
        <f t="shared" si="29"/>
        <v>0</v>
      </c>
      <c r="H72" s="38">
        <f t="shared" si="31"/>
        <v>0</v>
      </c>
      <c r="I72" s="50"/>
      <c r="J72" s="39">
        <f t="shared" si="30"/>
        <v>0</v>
      </c>
      <c r="K72" s="38">
        <f t="shared" si="32"/>
        <v>0</v>
      </c>
      <c r="L72" s="50"/>
    </row>
    <row r="73" spans="1:12" ht="41.4" hidden="1" outlineLevel="1" x14ac:dyDescent="0.25">
      <c r="B73" s="83"/>
      <c r="C73" s="53" t="s">
        <v>197</v>
      </c>
      <c r="D73" s="79" t="s">
        <v>198</v>
      </c>
      <c r="E73" s="48">
        <v>0</v>
      </c>
      <c r="F73" s="39">
        <v>0</v>
      </c>
      <c r="G73" s="39">
        <f t="shared" si="29"/>
        <v>0</v>
      </c>
      <c r="H73" s="38">
        <f t="shared" si="31"/>
        <v>0</v>
      </c>
      <c r="I73" s="50"/>
      <c r="J73" s="39">
        <f t="shared" si="30"/>
        <v>0</v>
      </c>
      <c r="K73" s="38">
        <f t="shared" si="32"/>
        <v>0</v>
      </c>
      <c r="L73" s="50"/>
    </row>
    <row r="74" spans="1:12" collapsed="1" x14ac:dyDescent="0.25">
      <c r="A74" s="76" t="s">
        <v>199</v>
      </c>
      <c r="B74" s="83"/>
      <c r="C74" s="53" t="s">
        <v>200</v>
      </c>
      <c r="D74" s="79" t="s">
        <v>201</v>
      </c>
      <c r="E74" s="48">
        <v>267455</v>
      </c>
      <c r="F74" s="39">
        <v>267455</v>
      </c>
      <c r="G74" s="39">
        <f t="shared" si="29"/>
        <v>267455</v>
      </c>
      <c r="H74" s="38">
        <f t="shared" si="31"/>
        <v>0</v>
      </c>
      <c r="I74" s="50"/>
      <c r="J74" s="39">
        <f t="shared" si="30"/>
        <v>267455</v>
      </c>
      <c r="K74" s="38">
        <f t="shared" si="32"/>
        <v>0</v>
      </c>
      <c r="L74" s="50"/>
    </row>
    <row r="75" spans="1:12" ht="58.2" hidden="1" customHeight="1" outlineLevel="1" x14ac:dyDescent="0.25">
      <c r="A75" s="76" t="s">
        <v>173</v>
      </c>
      <c r="B75" s="83"/>
      <c r="C75" s="53" t="s">
        <v>202</v>
      </c>
      <c r="D75" s="79" t="s">
        <v>203</v>
      </c>
      <c r="E75" s="48">
        <v>0</v>
      </c>
      <c r="F75" s="39">
        <v>0</v>
      </c>
      <c r="G75" s="39">
        <f t="shared" si="29"/>
        <v>0</v>
      </c>
      <c r="H75" s="38">
        <f t="shared" si="31"/>
        <v>0</v>
      </c>
      <c r="I75" s="50"/>
      <c r="J75" s="39">
        <f t="shared" si="30"/>
        <v>0</v>
      </c>
      <c r="K75" s="38">
        <f t="shared" si="32"/>
        <v>0</v>
      </c>
      <c r="L75" s="50"/>
    </row>
    <row r="76" spans="1:12" ht="41.4" hidden="1" outlineLevel="1" x14ac:dyDescent="0.25">
      <c r="B76" s="1" t="s">
        <v>204</v>
      </c>
      <c r="C76" s="53" t="s">
        <v>205</v>
      </c>
      <c r="D76" s="79" t="s">
        <v>206</v>
      </c>
      <c r="E76" s="48">
        <v>0</v>
      </c>
      <c r="F76" s="39">
        <v>0</v>
      </c>
      <c r="G76" s="39">
        <f t="shared" si="29"/>
        <v>0</v>
      </c>
      <c r="H76" s="38">
        <f t="shared" si="31"/>
        <v>0</v>
      </c>
      <c r="I76" s="52"/>
      <c r="J76" s="39">
        <f t="shared" si="30"/>
        <v>0</v>
      </c>
      <c r="K76" s="38">
        <f t="shared" si="32"/>
        <v>0</v>
      </c>
      <c r="L76" s="52"/>
    </row>
    <row r="77" spans="1:12" ht="42" collapsed="1" x14ac:dyDescent="0.3">
      <c r="B77" s="51" t="s">
        <v>207</v>
      </c>
      <c r="C77" s="53" t="s">
        <v>208</v>
      </c>
      <c r="D77" s="79" t="s">
        <v>209</v>
      </c>
      <c r="E77" s="48">
        <v>217332</v>
      </c>
      <c r="F77" s="39">
        <v>217332</v>
      </c>
      <c r="G77" s="39">
        <f t="shared" si="29"/>
        <v>217332</v>
      </c>
      <c r="H77" s="38">
        <f t="shared" si="31"/>
        <v>0</v>
      </c>
      <c r="I77" s="84"/>
      <c r="J77" s="39">
        <f t="shared" si="30"/>
        <v>217332</v>
      </c>
      <c r="K77" s="38">
        <f t="shared" si="32"/>
        <v>0</v>
      </c>
      <c r="L77" s="84"/>
    </row>
    <row r="78" spans="1:12" ht="14.4" x14ac:dyDescent="0.3">
      <c r="B78" s="51" t="s">
        <v>210</v>
      </c>
      <c r="C78" s="53" t="s">
        <v>211</v>
      </c>
      <c r="D78" s="79" t="s">
        <v>212</v>
      </c>
      <c r="E78" s="48">
        <v>308659</v>
      </c>
      <c r="F78" s="39">
        <v>308659</v>
      </c>
      <c r="G78" s="39">
        <f t="shared" si="29"/>
        <v>308659</v>
      </c>
      <c r="H78" s="38">
        <f t="shared" si="31"/>
        <v>0</v>
      </c>
      <c r="I78" s="84"/>
      <c r="J78" s="39">
        <f t="shared" si="30"/>
        <v>308659</v>
      </c>
      <c r="K78" s="38">
        <f t="shared" si="32"/>
        <v>0</v>
      </c>
      <c r="L78" s="84"/>
    </row>
    <row r="79" spans="1:12" ht="14.4" hidden="1" outlineLevel="1" x14ac:dyDescent="0.3">
      <c r="B79" s="51"/>
      <c r="C79" s="53" t="s">
        <v>213</v>
      </c>
      <c r="D79" s="79" t="s">
        <v>214</v>
      </c>
      <c r="E79" s="48">
        <v>0</v>
      </c>
      <c r="F79" s="39">
        <v>0</v>
      </c>
      <c r="G79" s="39">
        <f t="shared" si="29"/>
        <v>0</v>
      </c>
      <c r="H79" s="38">
        <f t="shared" si="31"/>
        <v>0</v>
      </c>
      <c r="I79" s="84"/>
      <c r="J79" s="39">
        <f t="shared" si="30"/>
        <v>0</v>
      </c>
      <c r="K79" s="38">
        <f t="shared" si="32"/>
        <v>0</v>
      </c>
      <c r="L79" s="84"/>
    </row>
    <row r="80" spans="1:12" ht="28.2" collapsed="1" x14ac:dyDescent="0.3">
      <c r="B80" s="51" t="s">
        <v>215</v>
      </c>
      <c r="C80" s="53" t="s">
        <v>216</v>
      </c>
      <c r="D80" s="79" t="s">
        <v>217</v>
      </c>
      <c r="E80" s="48">
        <v>2500000</v>
      </c>
      <c r="F80" s="39">
        <v>2500000</v>
      </c>
      <c r="G80" s="39">
        <f t="shared" si="29"/>
        <v>2500000</v>
      </c>
      <c r="H80" s="38">
        <f t="shared" si="31"/>
        <v>0</v>
      </c>
      <c r="I80" s="84"/>
      <c r="J80" s="39">
        <f t="shared" si="30"/>
        <v>2500000</v>
      </c>
      <c r="K80" s="38">
        <f t="shared" si="32"/>
        <v>0</v>
      </c>
      <c r="L80" s="84"/>
    </row>
    <row r="81" spans="1:12" ht="30.75" customHeight="1" x14ac:dyDescent="0.3">
      <c r="B81" s="85" t="s">
        <v>218</v>
      </c>
      <c r="C81" s="53" t="s">
        <v>219</v>
      </c>
      <c r="D81" s="79" t="s">
        <v>220</v>
      </c>
      <c r="E81" s="48">
        <v>0</v>
      </c>
      <c r="F81" s="39">
        <v>0</v>
      </c>
      <c r="G81" s="39">
        <f>ROUND(F81,0)+30428</f>
        <v>30428</v>
      </c>
      <c r="H81" s="38">
        <f t="shared" si="31"/>
        <v>30428</v>
      </c>
      <c r="I81" s="86" t="s">
        <v>221</v>
      </c>
      <c r="J81" s="39">
        <f t="shared" si="30"/>
        <v>30428</v>
      </c>
      <c r="K81" s="38">
        <f t="shared" si="32"/>
        <v>0</v>
      </c>
      <c r="L81" s="86"/>
    </row>
    <row r="82" spans="1:12" ht="48.6" customHeight="1" x14ac:dyDescent="0.3">
      <c r="B82" s="51" t="s">
        <v>222</v>
      </c>
      <c r="C82" s="53" t="s">
        <v>223</v>
      </c>
      <c r="D82" s="79" t="s">
        <v>224</v>
      </c>
      <c r="E82" s="48">
        <v>830550</v>
      </c>
      <c r="F82" s="39">
        <v>830550</v>
      </c>
      <c r="G82" s="39">
        <f t="shared" si="29"/>
        <v>830550</v>
      </c>
      <c r="H82" s="38">
        <f t="shared" si="31"/>
        <v>0</v>
      </c>
      <c r="I82" s="84"/>
      <c r="J82" s="39">
        <f t="shared" si="30"/>
        <v>830550</v>
      </c>
      <c r="K82" s="38">
        <f t="shared" si="32"/>
        <v>0</v>
      </c>
      <c r="L82" s="84"/>
    </row>
    <row r="83" spans="1:12" ht="28.2" x14ac:dyDescent="0.3">
      <c r="B83" s="85" t="s">
        <v>225</v>
      </c>
      <c r="C83" s="53" t="s">
        <v>226</v>
      </c>
      <c r="D83" s="79" t="s">
        <v>227</v>
      </c>
      <c r="E83" s="48">
        <v>2661252</v>
      </c>
      <c r="F83" s="39">
        <v>2661252</v>
      </c>
      <c r="G83" s="39">
        <f t="shared" si="29"/>
        <v>2661252</v>
      </c>
      <c r="H83" s="38">
        <f t="shared" si="31"/>
        <v>0</v>
      </c>
      <c r="I83" s="84"/>
      <c r="J83" s="39">
        <f t="shared" si="30"/>
        <v>2661252</v>
      </c>
      <c r="K83" s="38">
        <f t="shared" si="32"/>
        <v>0</v>
      </c>
      <c r="L83" s="84"/>
    </row>
    <row r="84" spans="1:12" ht="27.6" x14ac:dyDescent="0.25">
      <c r="B84" s="76" t="s">
        <v>173</v>
      </c>
      <c r="C84" s="53" t="s">
        <v>228</v>
      </c>
      <c r="D84" s="79" t="s">
        <v>229</v>
      </c>
      <c r="E84" s="48">
        <v>333333</v>
      </c>
      <c r="F84" s="39">
        <v>333333</v>
      </c>
      <c r="G84" s="39">
        <f t="shared" si="29"/>
        <v>333333</v>
      </c>
      <c r="H84" s="38">
        <f t="shared" si="31"/>
        <v>0</v>
      </c>
      <c r="I84" s="84"/>
      <c r="J84" s="39">
        <f>ROUND(G84,0)</f>
        <v>333333</v>
      </c>
      <c r="K84" s="38">
        <f t="shared" si="32"/>
        <v>0</v>
      </c>
      <c r="L84" s="84"/>
    </row>
    <row r="85" spans="1:12" ht="27.6" x14ac:dyDescent="0.25">
      <c r="B85" s="35" t="s">
        <v>230</v>
      </c>
      <c r="C85" s="59" t="s">
        <v>231</v>
      </c>
      <c r="D85" s="60" t="s">
        <v>232</v>
      </c>
      <c r="E85" s="81">
        <v>0</v>
      </c>
      <c r="F85" s="62">
        <v>0</v>
      </c>
      <c r="G85" s="62">
        <f>ROUND(E85,0)</f>
        <v>0</v>
      </c>
      <c r="H85" s="61">
        <f t="shared" si="31"/>
        <v>0</v>
      </c>
      <c r="I85" s="82"/>
      <c r="J85" s="62">
        <f>ROUND(G85,0)+952269</f>
        <v>952269</v>
      </c>
      <c r="K85" s="61">
        <f t="shared" si="32"/>
        <v>952269</v>
      </c>
      <c r="L85" s="82" t="s">
        <v>21</v>
      </c>
    </row>
    <row r="86" spans="1:12" x14ac:dyDescent="0.25">
      <c r="C86" s="58" t="s">
        <v>233</v>
      </c>
      <c r="D86" s="43" t="s">
        <v>234</v>
      </c>
      <c r="E86" s="46">
        <v>350000</v>
      </c>
      <c r="F86" s="45">
        <v>350000</v>
      </c>
      <c r="G86" s="45">
        <f>G87+G88</f>
        <v>350000</v>
      </c>
      <c r="H86" s="44">
        <f t="shared" si="31"/>
        <v>0</v>
      </c>
      <c r="I86" s="47"/>
      <c r="J86" s="45">
        <f>J87+J88</f>
        <v>350000</v>
      </c>
      <c r="K86" s="44">
        <f t="shared" si="32"/>
        <v>0</v>
      </c>
      <c r="L86" s="47"/>
    </row>
    <row r="87" spans="1:12" ht="32.25" customHeight="1" x14ac:dyDescent="0.25">
      <c r="B87" s="1" t="s">
        <v>235</v>
      </c>
      <c r="C87" s="36" t="s">
        <v>236</v>
      </c>
      <c r="D87" s="37" t="s">
        <v>237</v>
      </c>
      <c r="E87" s="48">
        <v>350000</v>
      </c>
      <c r="F87" s="39">
        <v>350000</v>
      </c>
      <c r="G87" s="39">
        <f>ROUND(F87,0)</f>
        <v>350000</v>
      </c>
      <c r="H87" s="38">
        <f t="shared" si="31"/>
        <v>0</v>
      </c>
      <c r="I87" s="41"/>
      <c r="J87" s="39">
        <f t="shared" ref="J87:J88" si="33">ROUND(G87,0)</f>
        <v>350000</v>
      </c>
      <c r="K87" s="38">
        <f t="shared" si="32"/>
        <v>0</v>
      </c>
      <c r="L87" s="41"/>
    </row>
    <row r="88" spans="1:12" ht="16.2" customHeight="1" x14ac:dyDescent="0.25">
      <c r="B88" s="1" t="s">
        <v>238</v>
      </c>
      <c r="C88" s="36" t="s">
        <v>239</v>
      </c>
      <c r="D88" s="37" t="s">
        <v>240</v>
      </c>
      <c r="E88" s="48">
        <v>0</v>
      </c>
      <c r="F88" s="39">
        <v>0</v>
      </c>
      <c r="G88" s="39">
        <f>ROUND(F88,0)</f>
        <v>0</v>
      </c>
      <c r="H88" s="38">
        <f t="shared" si="31"/>
        <v>0</v>
      </c>
      <c r="I88" s="40"/>
      <c r="J88" s="39">
        <f t="shared" si="33"/>
        <v>0</v>
      </c>
      <c r="K88" s="38">
        <f t="shared" si="32"/>
        <v>0</v>
      </c>
      <c r="L88" s="40"/>
    </row>
    <row r="89" spans="1:12" ht="35.4" customHeight="1" x14ac:dyDescent="0.25">
      <c r="C89" s="58" t="s">
        <v>241</v>
      </c>
      <c r="D89" s="43" t="s">
        <v>242</v>
      </c>
      <c r="E89" s="46">
        <v>800455</v>
      </c>
      <c r="F89" s="45">
        <v>800455</v>
      </c>
      <c r="G89" s="45">
        <f t="shared" ref="G89" si="34">G90+G93+G96+G100+G103</f>
        <v>801955</v>
      </c>
      <c r="H89" s="44">
        <f t="shared" si="31"/>
        <v>1500</v>
      </c>
      <c r="I89" s="87"/>
      <c r="J89" s="45">
        <f t="shared" ref="J89" si="35">J90+J93+J96+J100+J103</f>
        <v>801955</v>
      </c>
      <c r="K89" s="44">
        <f t="shared" si="32"/>
        <v>0</v>
      </c>
      <c r="L89" s="87"/>
    </row>
    <row r="90" spans="1:12" x14ac:dyDescent="0.25">
      <c r="A90" s="1" t="s">
        <v>17</v>
      </c>
      <c r="B90" s="1" t="s">
        <v>243</v>
      </c>
      <c r="C90" s="36" t="s">
        <v>244</v>
      </c>
      <c r="D90" s="37" t="s">
        <v>245</v>
      </c>
      <c r="E90" s="48">
        <v>219800</v>
      </c>
      <c r="F90" s="39">
        <v>219800</v>
      </c>
      <c r="G90" s="39">
        <f>SUM(G91:G92)</f>
        <v>219800</v>
      </c>
      <c r="H90" s="38">
        <f t="shared" si="31"/>
        <v>0</v>
      </c>
      <c r="I90" s="40"/>
      <c r="J90" s="39">
        <f>SUM(J91:J92)</f>
        <v>219800</v>
      </c>
      <c r="K90" s="38">
        <f t="shared" si="32"/>
        <v>0</v>
      </c>
      <c r="L90" s="40"/>
    </row>
    <row r="91" spans="1:12" ht="14.25" customHeight="1" x14ac:dyDescent="0.25">
      <c r="B91" s="1" t="s">
        <v>246</v>
      </c>
      <c r="C91" s="88" t="s">
        <v>247</v>
      </c>
      <c r="D91" s="89" t="s">
        <v>248</v>
      </c>
      <c r="E91" s="48">
        <v>61000</v>
      </c>
      <c r="F91" s="39">
        <v>61000</v>
      </c>
      <c r="G91" s="39">
        <f>ROUND(F91,0)</f>
        <v>61000</v>
      </c>
      <c r="H91" s="38">
        <f t="shared" si="31"/>
        <v>0</v>
      </c>
      <c r="I91" s="49"/>
      <c r="J91" s="39">
        <f t="shared" ref="J91:J92" si="36">ROUND(G91,0)</f>
        <v>61000</v>
      </c>
      <c r="K91" s="38">
        <f t="shared" si="32"/>
        <v>0</v>
      </c>
      <c r="L91" s="49"/>
    </row>
    <row r="92" spans="1:12" ht="30" customHeight="1" x14ac:dyDescent="0.25">
      <c r="B92" s="1" t="s">
        <v>249</v>
      </c>
      <c r="C92" s="88" t="s">
        <v>250</v>
      </c>
      <c r="D92" s="89" t="s">
        <v>251</v>
      </c>
      <c r="E92" s="48">
        <v>158800</v>
      </c>
      <c r="F92" s="39">
        <v>158800</v>
      </c>
      <c r="G92" s="39">
        <f>ROUND(F92,0)</f>
        <v>158800</v>
      </c>
      <c r="H92" s="38">
        <f t="shared" si="31"/>
        <v>0</v>
      </c>
      <c r="I92" s="49"/>
      <c r="J92" s="39">
        <f t="shared" si="36"/>
        <v>158800</v>
      </c>
      <c r="K92" s="38">
        <f t="shared" si="32"/>
        <v>0</v>
      </c>
      <c r="L92" s="49"/>
    </row>
    <row r="93" spans="1:12" ht="13.95" customHeight="1" x14ac:dyDescent="0.25">
      <c r="C93" s="36" t="s">
        <v>252</v>
      </c>
      <c r="D93" s="37" t="s">
        <v>253</v>
      </c>
      <c r="E93" s="48">
        <v>59312</v>
      </c>
      <c r="F93" s="39">
        <v>59312</v>
      </c>
      <c r="G93" s="39">
        <f t="shared" ref="G93" si="37">G94+G95</f>
        <v>60812</v>
      </c>
      <c r="H93" s="38">
        <f t="shared" si="31"/>
        <v>1500</v>
      </c>
      <c r="I93" s="90"/>
      <c r="J93" s="39">
        <f t="shared" ref="J93" si="38">J94+J95</f>
        <v>60812</v>
      </c>
      <c r="K93" s="38">
        <f t="shared" si="32"/>
        <v>0</v>
      </c>
      <c r="L93" s="90"/>
    </row>
    <row r="94" spans="1:12" ht="27.6" x14ac:dyDescent="0.25">
      <c r="B94" s="1" t="s">
        <v>254</v>
      </c>
      <c r="C94" s="88" t="s">
        <v>255</v>
      </c>
      <c r="D94" s="89" t="s">
        <v>256</v>
      </c>
      <c r="E94" s="48">
        <v>59312</v>
      </c>
      <c r="F94" s="39">
        <v>59312</v>
      </c>
      <c r="G94" s="39">
        <f>ROUND(F94,0)+1500</f>
        <v>60812</v>
      </c>
      <c r="H94" s="38">
        <f>G94-F94</f>
        <v>1500</v>
      </c>
      <c r="I94" s="80" t="s">
        <v>257</v>
      </c>
      <c r="J94" s="39">
        <f t="shared" ref="J94:J95" si="39">ROUND(G94,0)</f>
        <v>60812</v>
      </c>
      <c r="K94" s="38">
        <f t="shared" si="32"/>
        <v>0</v>
      </c>
      <c r="L94" s="80"/>
    </row>
    <row r="95" spans="1:12" ht="15.75" customHeight="1" x14ac:dyDescent="0.25">
      <c r="B95" s="91" t="s">
        <v>258</v>
      </c>
      <c r="C95" s="88" t="s">
        <v>259</v>
      </c>
      <c r="D95" s="79" t="s">
        <v>260</v>
      </c>
      <c r="E95" s="48">
        <v>0</v>
      </c>
      <c r="F95" s="39">
        <v>0</v>
      </c>
      <c r="G95" s="39">
        <f>ROUND(F95,0)</f>
        <v>0</v>
      </c>
      <c r="H95" s="38">
        <f t="shared" si="31"/>
        <v>0</v>
      </c>
      <c r="I95" s="49"/>
      <c r="J95" s="39">
        <f t="shared" si="39"/>
        <v>0</v>
      </c>
      <c r="K95" s="38">
        <f t="shared" si="32"/>
        <v>0</v>
      </c>
      <c r="L95" s="49"/>
    </row>
    <row r="96" spans="1:12" x14ac:dyDescent="0.25">
      <c r="A96" s="1" t="s">
        <v>17</v>
      </c>
      <c r="B96" s="1" t="s">
        <v>261</v>
      </c>
      <c r="C96" s="36" t="s">
        <v>262</v>
      </c>
      <c r="D96" s="37" t="s">
        <v>263</v>
      </c>
      <c r="E96" s="48">
        <v>322370</v>
      </c>
      <c r="F96" s="39">
        <v>322370</v>
      </c>
      <c r="G96" s="39">
        <f>SUM(G97:G99)</f>
        <v>322370</v>
      </c>
      <c r="H96" s="38">
        <f t="shared" si="31"/>
        <v>0</v>
      </c>
      <c r="I96" s="40"/>
      <c r="J96" s="39">
        <f>SUM(J97:J99)</f>
        <v>322370</v>
      </c>
      <c r="K96" s="38">
        <f t="shared" si="32"/>
        <v>0</v>
      </c>
      <c r="L96" s="40"/>
    </row>
    <row r="97" spans="1:12" ht="16.5" customHeight="1" x14ac:dyDescent="0.25">
      <c r="B97" s="1" t="s">
        <v>264</v>
      </c>
      <c r="C97" s="88" t="s">
        <v>265</v>
      </c>
      <c r="D97" s="89" t="s">
        <v>266</v>
      </c>
      <c r="E97" s="48">
        <v>236370</v>
      </c>
      <c r="F97" s="39">
        <v>236370</v>
      </c>
      <c r="G97" s="39">
        <f>ROUND(F97,0)</f>
        <v>236370</v>
      </c>
      <c r="H97" s="38">
        <f t="shared" si="31"/>
        <v>0</v>
      </c>
      <c r="I97" s="41"/>
      <c r="J97" s="39">
        <f t="shared" ref="J97:J99" si="40">ROUND(G97,0)</f>
        <v>236370</v>
      </c>
      <c r="K97" s="38">
        <f t="shared" si="32"/>
        <v>0</v>
      </c>
      <c r="L97" s="41"/>
    </row>
    <row r="98" spans="1:12" x14ac:dyDescent="0.25">
      <c r="B98" s="1" t="s">
        <v>267</v>
      </c>
      <c r="C98" s="88" t="s">
        <v>268</v>
      </c>
      <c r="D98" s="89" t="s">
        <v>269</v>
      </c>
      <c r="E98" s="48">
        <v>86000</v>
      </c>
      <c r="F98" s="39">
        <v>86000</v>
      </c>
      <c r="G98" s="39">
        <f>ROUND(F98,0)</f>
        <v>86000</v>
      </c>
      <c r="H98" s="38">
        <f t="shared" si="31"/>
        <v>0</v>
      </c>
      <c r="I98" s="40"/>
      <c r="J98" s="39">
        <f t="shared" si="40"/>
        <v>86000</v>
      </c>
      <c r="K98" s="38">
        <f t="shared" si="32"/>
        <v>0</v>
      </c>
      <c r="L98" s="40"/>
    </row>
    <row r="99" spans="1:12" x14ac:dyDescent="0.25">
      <c r="B99" s="1" t="s">
        <v>270</v>
      </c>
      <c r="C99" s="88" t="s">
        <v>271</v>
      </c>
      <c r="D99" s="79" t="s">
        <v>272</v>
      </c>
      <c r="E99" s="48">
        <v>0</v>
      </c>
      <c r="F99" s="39">
        <v>0</v>
      </c>
      <c r="G99" s="39">
        <f>ROUND(F99,0)</f>
        <v>0</v>
      </c>
      <c r="H99" s="38">
        <f t="shared" si="31"/>
        <v>0</v>
      </c>
      <c r="I99" s="40"/>
      <c r="J99" s="39">
        <f t="shared" si="40"/>
        <v>0</v>
      </c>
      <c r="K99" s="38">
        <f t="shared" si="32"/>
        <v>0</v>
      </c>
      <c r="L99" s="40"/>
    </row>
    <row r="100" spans="1:12" ht="25.2" customHeight="1" x14ac:dyDescent="0.25">
      <c r="A100" s="1" t="s">
        <v>17</v>
      </c>
      <c r="B100" s="1" t="s">
        <v>273</v>
      </c>
      <c r="C100" s="36" t="s">
        <v>274</v>
      </c>
      <c r="D100" s="37" t="s">
        <v>275</v>
      </c>
      <c r="E100" s="48">
        <v>98350</v>
      </c>
      <c r="F100" s="39">
        <v>98350</v>
      </c>
      <c r="G100" s="39">
        <f t="shared" ref="G100" si="41">SUM(G101:G102)</f>
        <v>98350</v>
      </c>
      <c r="H100" s="38">
        <f t="shared" si="31"/>
        <v>0</v>
      </c>
      <c r="I100" s="41"/>
      <c r="J100" s="39">
        <f t="shared" ref="J100" si="42">SUM(J101:J102)</f>
        <v>98350</v>
      </c>
      <c r="K100" s="38">
        <f t="shared" si="32"/>
        <v>0</v>
      </c>
      <c r="L100" s="41"/>
    </row>
    <row r="101" spans="1:12" ht="28.2" customHeight="1" x14ac:dyDescent="0.25">
      <c r="A101" s="76" t="s">
        <v>276</v>
      </c>
      <c r="C101" s="88" t="s">
        <v>277</v>
      </c>
      <c r="D101" s="89" t="s">
        <v>275</v>
      </c>
      <c r="E101" s="48">
        <v>98350</v>
      </c>
      <c r="F101" s="39">
        <v>98350</v>
      </c>
      <c r="G101" s="39">
        <f>ROUND(F101,0)</f>
        <v>98350</v>
      </c>
      <c r="H101" s="38">
        <f t="shared" si="31"/>
        <v>0</v>
      </c>
      <c r="I101" s="40"/>
      <c r="J101" s="39">
        <f t="shared" ref="J101:J103" si="43">ROUND(G101,0)</f>
        <v>98350</v>
      </c>
      <c r="K101" s="38">
        <f t="shared" si="32"/>
        <v>0</v>
      </c>
      <c r="L101" s="40"/>
    </row>
    <row r="102" spans="1:12" ht="16.5" customHeight="1" x14ac:dyDescent="0.25">
      <c r="B102" s="1" t="s">
        <v>278</v>
      </c>
      <c r="C102" s="88" t="s">
        <v>279</v>
      </c>
      <c r="D102" s="89" t="s">
        <v>280</v>
      </c>
      <c r="E102" s="48">
        <v>0</v>
      </c>
      <c r="F102" s="39">
        <v>0</v>
      </c>
      <c r="G102" s="39">
        <f>ROUND(F102,0)</f>
        <v>0</v>
      </c>
      <c r="H102" s="38">
        <f t="shared" si="31"/>
        <v>0</v>
      </c>
      <c r="I102" s="40"/>
      <c r="J102" s="39">
        <f t="shared" si="43"/>
        <v>0</v>
      </c>
      <c r="K102" s="38">
        <f t="shared" si="32"/>
        <v>0</v>
      </c>
      <c r="L102" s="40"/>
    </row>
    <row r="103" spans="1:12" ht="15" customHeight="1" thickBot="1" x14ac:dyDescent="0.35">
      <c r="A103" s="1" t="s">
        <v>17</v>
      </c>
      <c r="B103" s="51" t="s">
        <v>281</v>
      </c>
      <c r="C103" s="36" t="s">
        <v>282</v>
      </c>
      <c r="D103" s="37" t="s">
        <v>283</v>
      </c>
      <c r="E103" s="48">
        <v>100623</v>
      </c>
      <c r="F103" s="39">
        <v>100623</v>
      </c>
      <c r="G103" s="39">
        <f>ROUND(F103,0)</f>
        <v>100623</v>
      </c>
      <c r="H103" s="38">
        <f t="shared" si="31"/>
        <v>0</v>
      </c>
      <c r="I103" s="41"/>
      <c r="J103" s="39">
        <f t="shared" si="43"/>
        <v>100623</v>
      </c>
      <c r="K103" s="38">
        <f t="shared" si="32"/>
        <v>0</v>
      </c>
      <c r="L103" s="41"/>
    </row>
    <row r="104" spans="1:12" ht="15" customHeight="1" thickBot="1" x14ac:dyDescent="0.3">
      <c r="C104" s="92"/>
      <c r="D104" s="93" t="s">
        <v>284</v>
      </c>
      <c r="E104" s="96">
        <v>61794402</v>
      </c>
      <c r="F104" s="95">
        <v>61794402</v>
      </c>
      <c r="G104" s="95">
        <f t="shared" ref="G104" si="44">G7+G10+G13+G16+G19+G22+G34+G37+G41+G42+G86+G89</f>
        <v>61849590</v>
      </c>
      <c r="H104" s="94">
        <f t="shared" si="31"/>
        <v>55188</v>
      </c>
      <c r="I104" s="97"/>
      <c r="J104" s="95">
        <f t="shared" ref="J104" si="45">J7+J10+J13+J16+J19+J22+J34+J37+J41+J42+J86+J89</f>
        <v>61987171</v>
      </c>
      <c r="K104" s="94">
        <f t="shared" si="32"/>
        <v>137581</v>
      </c>
      <c r="L104" s="97"/>
    </row>
    <row r="105" spans="1:12" ht="14.4" thickBot="1" x14ac:dyDescent="0.3">
      <c r="C105" s="98" t="s">
        <v>285</v>
      </c>
      <c r="D105" s="99" t="s">
        <v>286</v>
      </c>
      <c r="E105" s="102">
        <v>6694243.2000000002</v>
      </c>
      <c r="F105" s="101">
        <v>6694243.2000000002</v>
      </c>
      <c r="G105" s="101">
        <f>SUM(G106:G107)</f>
        <v>6694243</v>
      </c>
      <c r="H105" s="100">
        <f t="shared" si="31"/>
        <v>-0.20000000018626451</v>
      </c>
      <c r="I105" s="103"/>
      <c r="J105" s="101">
        <f>SUM(J106:J107)</f>
        <v>6694243</v>
      </c>
      <c r="K105" s="100">
        <f t="shared" si="32"/>
        <v>0</v>
      </c>
      <c r="L105" s="103"/>
    </row>
    <row r="106" spans="1:12" ht="14.4" customHeight="1" x14ac:dyDescent="0.25">
      <c r="C106" s="36" t="s">
        <v>287</v>
      </c>
      <c r="D106" s="37" t="s">
        <v>288</v>
      </c>
      <c r="E106" s="48">
        <v>1040957</v>
      </c>
      <c r="F106" s="39">
        <v>1040957</v>
      </c>
      <c r="G106" s="39">
        <f>ROUND(F106,0)</f>
        <v>1040957</v>
      </c>
      <c r="H106" s="38">
        <f t="shared" si="31"/>
        <v>0</v>
      </c>
      <c r="I106" s="41"/>
      <c r="J106" s="39">
        <f t="shared" ref="J106:J107" si="46">ROUND(G106,0)</f>
        <v>1040957</v>
      </c>
      <c r="K106" s="38">
        <f t="shared" si="32"/>
        <v>0</v>
      </c>
      <c r="L106" s="41"/>
    </row>
    <row r="107" spans="1:12" x14ac:dyDescent="0.25">
      <c r="C107" s="36" t="s">
        <v>289</v>
      </c>
      <c r="D107" s="37" t="s">
        <v>290</v>
      </c>
      <c r="E107" s="48">
        <v>5653286</v>
      </c>
      <c r="F107" s="39">
        <v>5653286</v>
      </c>
      <c r="G107" s="39">
        <f>ROUND(F107,0)</f>
        <v>5653286</v>
      </c>
      <c r="H107" s="38">
        <f t="shared" si="31"/>
        <v>0</v>
      </c>
      <c r="I107" s="40"/>
      <c r="J107" s="39">
        <f t="shared" si="46"/>
        <v>5653286</v>
      </c>
      <c r="K107" s="38">
        <f t="shared" si="32"/>
        <v>0</v>
      </c>
      <c r="L107" s="40"/>
    </row>
    <row r="108" spans="1:12" x14ac:dyDescent="0.25">
      <c r="C108" s="58" t="s">
        <v>291</v>
      </c>
      <c r="D108" s="104" t="s">
        <v>292</v>
      </c>
      <c r="E108" s="106">
        <v>6608118</v>
      </c>
      <c r="F108" s="105">
        <v>6608118</v>
      </c>
      <c r="G108" s="105">
        <f t="shared" ref="G108" si="47">SUM(G109:G118)</f>
        <v>6608118</v>
      </c>
      <c r="H108" s="44">
        <f t="shared" si="31"/>
        <v>0</v>
      </c>
      <c r="I108" s="47"/>
      <c r="J108" s="105">
        <f t="shared" ref="J108" si="48">SUM(J109:J118)</f>
        <v>6668106</v>
      </c>
      <c r="K108" s="44">
        <f t="shared" si="32"/>
        <v>59988</v>
      </c>
      <c r="L108" s="47"/>
    </row>
    <row r="109" spans="1:12" outlineLevel="1" x14ac:dyDescent="0.25">
      <c r="A109" s="76"/>
      <c r="B109" s="76"/>
      <c r="C109" s="88" t="s">
        <v>293</v>
      </c>
      <c r="D109" s="107" t="s">
        <v>294</v>
      </c>
      <c r="E109" s="109">
        <v>85000</v>
      </c>
      <c r="F109" s="108">
        <v>85000</v>
      </c>
      <c r="G109" s="110">
        <f t="shared" ref="G109:G118" si="49">ROUND(F109,0)</f>
        <v>85000</v>
      </c>
      <c r="H109" s="111">
        <f t="shared" si="31"/>
        <v>0</v>
      </c>
      <c r="I109" s="52"/>
      <c r="J109" s="110">
        <f t="shared" ref="J109:J118" si="50">ROUND(G109,0)</f>
        <v>85000</v>
      </c>
      <c r="K109" s="111">
        <f t="shared" si="32"/>
        <v>0</v>
      </c>
      <c r="L109" s="52"/>
    </row>
    <row r="110" spans="1:12" ht="30" customHeight="1" x14ac:dyDescent="0.25">
      <c r="A110" s="76" t="s">
        <v>215</v>
      </c>
      <c r="B110" s="76"/>
      <c r="C110" s="88" t="s">
        <v>295</v>
      </c>
      <c r="D110" s="107" t="s">
        <v>217</v>
      </c>
      <c r="E110" s="109">
        <v>3100179</v>
      </c>
      <c r="F110" s="108">
        <v>3100179</v>
      </c>
      <c r="G110" s="110">
        <f t="shared" si="49"/>
        <v>3100179</v>
      </c>
      <c r="H110" s="111">
        <f t="shared" si="31"/>
        <v>0</v>
      </c>
      <c r="I110" s="52"/>
      <c r="J110" s="110">
        <f t="shared" si="50"/>
        <v>3100179</v>
      </c>
      <c r="K110" s="111">
        <f t="shared" si="32"/>
        <v>0</v>
      </c>
      <c r="L110" s="52"/>
    </row>
    <row r="111" spans="1:12" x14ac:dyDescent="0.25">
      <c r="A111" s="76" t="s">
        <v>181</v>
      </c>
      <c r="B111" s="76" t="s">
        <v>296</v>
      </c>
      <c r="C111" s="88" t="s">
        <v>297</v>
      </c>
      <c r="D111" s="107" t="s">
        <v>298</v>
      </c>
      <c r="E111" s="109">
        <v>85000</v>
      </c>
      <c r="F111" s="108">
        <v>85000</v>
      </c>
      <c r="G111" s="110">
        <f t="shared" si="49"/>
        <v>85000</v>
      </c>
      <c r="H111" s="111">
        <f t="shared" si="31"/>
        <v>0</v>
      </c>
      <c r="I111" s="52"/>
      <c r="J111" s="110">
        <f t="shared" si="50"/>
        <v>85000</v>
      </c>
      <c r="K111" s="111">
        <f t="shared" si="32"/>
        <v>0</v>
      </c>
      <c r="L111" s="52"/>
    </row>
    <row r="112" spans="1:12" ht="32.4" customHeight="1" x14ac:dyDescent="0.25">
      <c r="A112" s="76"/>
      <c r="B112" s="76"/>
      <c r="C112" s="88" t="s">
        <v>299</v>
      </c>
      <c r="D112" s="107" t="s">
        <v>300</v>
      </c>
      <c r="E112" s="109">
        <v>255000</v>
      </c>
      <c r="F112" s="108">
        <v>255000</v>
      </c>
      <c r="G112" s="110">
        <f t="shared" si="49"/>
        <v>255000</v>
      </c>
      <c r="H112" s="111">
        <f t="shared" si="31"/>
        <v>0</v>
      </c>
      <c r="I112" s="50"/>
      <c r="J112" s="110">
        <f t="shared" si="50"/>
        <v>255000</v>
      </c>
      <c r="K112" s="111">
        <f t="shared" si="32"/>
        <v>0</v>
      </c>
      <c r="L112" s="50"/>
    </row>
    <row r="113" spans="1:12" ht="67.95" customHeight="1" x14ac:dyDescent="0.25">
      <c r="A113" s="76"/>
      <c r="B113" s="76"/>
      <c r="C113" s="88" t="s">
        <v>301</v>
      </c>
      <c r="D113" s="113" t="s">
        <v>302</v>
      </c>
      <c r="E113" s="109">
        <v>474147</v>
      </c>
      <c r="F113" s="114">
        <v>474147</v>
      </c>
      <c r="G113" s="115">
        <f t="shared" si="49"/>
        <v>474147</v>
      </c>
      <c r="H113" s="116">
        <f t="shared" si="31"/>
        <v>0</v>
      </c>
      <c r="I113" s="50"/>
      <c r="J113" s="115">
        <f t="shared" si="50"/>
        <v>474147</v>
      </c>
      <c r="K113" s="116">
        <f t="shared" si="32"/>
        <v>0</v>
      </c>
      <c r="L113" s="50"/>
    </row>
    <row r="114" spans="1:12" ht="16.95" customHeight="1" x14ac:dyDescent="0.25">
      <c r="B114" s="76"/>
      <c r="C114" s="88" t="s">
        <v>297</v>
      </c>
      <c r="D114" s="107" t="s">
        <v>303</v>
      </c>
      <c r="E114" s="109">
        <v>510000</v>
      </c>
      <c r="F114" s="108">
        <v>510000</v>
      </c>
      <c r="G114" s="117">
        <f t="shared" si="49"/>
        <v>510000</v>
      </c>
      <c r="H114" s="116">
        <f t="shared" si="31"/>
        <v>0</v>
      </c>
      <c r="I114" s="50"/>
      <c r="J114" s="117">
        <f t="shared" si="50"/>
        <v>510000</v>
      </c>
      <c r="K114" s="116">
        <f t="shared" si="32"/>
        <v>0</v>
      </c>
      <c r="L114" s="50"/>
    </row>
    <row r="115" spans="1:12" ht="29.25" customHeight="1" x14ac:dyDescent="0.25">
      <c r="B115" s="76" t="s">
        <v>188</v>
      </c>
      <c r="C115" s="88" t="s">
        <v>304</v>
      </c>
      <c r="D115" s="113" t="s">
        <v>190</v>
      </c>
      <c r="E115" s="109">
        <v>295238</v>
      </c>
      <c r="F115" s="114">
        <v>295238</v>
      </c>
      <c r="G115" s="115">
        <f t="shared" si="49"/>
        <v>295238</v>
      </c>
      <c r="H115" s="38">
        <f t="shared" si="31"/>
        <v>0</v>
      </c>
      <c r="I115" s="118"/>
      <c r="J115" s="115">
        <f t="shared" si="50"/>
        <v>295238</v>
      </c>
      <c r="K115" s="38">
        <f t="shared" si="32"/>
        <v>0</v>
      </c>
      <c r="L115" s="118"/>
    </row>
    <row r="116" spans="1:12" ht="18.600000000000001" customHeight="1" outlineLevel="1" x14ac:dyDescent="0.25">
      <c r="B116" s="76" t="s">
        <v>210</v>
      </c>
      <c r="C116" s="119" t="s">
        <v>305</v>
      </c>
      <c r="D116" s="113" t="s">
        <v>212</v>
      </c>
      <c r="E116" s="109">
        <v>70622</v>
      </c>
      <c r="F116" s="114">
        <v>70622</v>
      </c>
      <c r="G116" s="112">
        <f t="shared" si="49"/>
        <v>70622</v>
      </c>
      <c r="H116" s="120">
        <f t="shared" si="31"/>
        <v>0</v>
      </c>
      <c r="I116" s="50"/>
      <c r="J116" s="112">
        <f t="shared" si="50"/>
        <v>70622</v>
      </c>
      <c r="K116" s="120">
        <f t="shared" si="32"/>
        <v>0</v>
      </c>
      <c r="L116" s="50"/>
    </row>
    <row r="117" spans="1:12" ht="27.6" customHeight="1" outlineLevel="1" x14ac:dyDescent="0.25">
      <c r="B117" s="76" t="s">
        <v>222</v>
      </c>
      <c r="C117" s="88" t="s">
        <v>306</v>
      </c>
      <c r="D117" s="113" t="s">
        <v>224</v>
      </c>
      <c r="E117" s="109">
        <v>123536</v>
      </c>
      <c r="F117" s="114">
        <v>123536</v>
      </c>
      <c r="G117" s="115">
        <f t="shared" si="49"/>
        <v>123536</v>
      </c>
      <c r="H117" s="116">
        <f t="shared" si="31"/>
        <v>0</v>
      </c>
      <c r="I117" s="50"/>
      <c r="J117" s="115">
        <f>ROUND(G117,0)+59988</f>
        <v>183524</v>
      </c>
      <c r="K117" s="116">
        <f t="shared" si="32"/>
        <v>59988</v>
      </c>
      <c r="L117" s="50" t="s">
        <v>665</v>
      </c>
    </row>
    <row r="118" spans="1:12" ht="26.4" customHeight="1" outlineLevel="1" x14ac:dyDescent="0.25">
      <c r="B118" s="76" t="s">
        <v>225</v>
      </c>
      <c r="C118" s="88" t="s">
        <v>307</v>
      </c>
      <c r="D118" s="121" t="s">
        <v>227</v>
      </c>
      <c r="E118" s="109">
        <v>1609396</v>
      </c>
      <c r="F118" s="114">
        <v>1609396</v>
      </c>
      <c r="G118" s="115">
        <f t="shared" si="49"/>
        <v>1609396</v>
      </c>
      <c r="H118" s="38">
        <f t="shared" si="31"/>
        <v>0</v>
      </c>
      <c r="I118" s="118"/>
      <c r="J118" s="115">
        <f t="shared" si="50"/>
        <v>1609396</v>
      </c>
      <c r="K118" s="38">
        <f t="shared" si="32"/>
        <v>0</v>
      </c>
      <c r="L118" s="118"/>
    </row>
    <row r="119" spans="1:12" ht="14.4" thickBot="1" x14ac:dyDescent="0.3">
      <c r="C119" s="122"/>
      <c r="D119" s="123" t="s">
        <v>308</v>
      </c>
      <c r="E119" s="102">
        <v>75096763.200000003</v>
      </c>
      <c r="F119" s="101">
        <v>75096763.200000003</v>
      </c>
      <c r="G119" s="101">
        <f t="shared" ref="G119" si="51">G104+G105+G108</f>
        <v>75151951</v>
      </c>
      <c r="H119" s="100">
        <f t="shared" si="31"/>
        <v>55187.79999999702</v>
      </c>
      <c r="I119" s="124"/>
      <c r="J119" s="101">
        <f t="shared" ref="J119" si="52">J104+J105+J108</f>
        <v>75349520</v>
      </c>
      <c r="K119" s="100">
        <f t="shared" si="32"/>
        <v>197569</v>
      </c>
      <c r="L119" s="124"/>
    </row>
    <row r="121" spans="1:12" x14ac:dyDescent="0.25">
      <c r="H121" s="5"/>
      <c r="K121" s="5"/>
    </row>
    <row r="122" spans="1:12" ht="20.399999999999999" x14ac:dyDescent="0.35">
      <c r="C122" s="383" t="s">
        <v>309</v>
      </c>
      <c r="D122" s="383"/>
      <c r="H122" s="5"/>
      <c r="K122" s="5"/>
    </row>
    <row r="123" spans="1:12" ht="15" thickBot="1" x14ac:dyDescent="0.35">
      <c r="C123" s="384"/>
      <c r="D123" s="384"/>
      <c r="H123" s="126"/>
      <c r="K123" s="126"/>
    </row>
    <row r="124" spans="1:12" ht="57" customHeight="1" thickBot="1" x14ac:dyDescent="0.3">
      <c r="C124" s="17" t="s">
        <v>3</v>
      </c>
      <c r="D124" s="18" t="s">
        <v>4</v>
      </c>
      <c r="E124" s="21" t="s">
        <v>310</v>
      </c>
      <c r="F124" s="20" t="s">
        <v>310</v>
      </c>
      <c r="G124" s="20" t="str">
        <f>G5</f>
        <v>27.03.2025. grozījumi</v>
      </c>
      <c r="H124" s="19" t="s">
        <v>311</v>
      </c>
      <c r="I124" s="22" t="s">
        <v>312</v>
      </c>
      <c r="J124" s="20" t="str">
        <f>J5</f>
        <v>29.05.2025. grozījumi</v>
      </c>
      <c r="K124" s="19" t="str">
        <f>K5</f>
        <v>Izmaiņa 29.05.2025. - 27.03.2025.</v>
      </c>
      <c r="L124" s="22" t="s">
        <v>312</v>
      </c>
    </row>
    <row r="125" spans="1:12" x14ac:dyDescent="0.25">
      <c r="C125" s="127" t="s">
        <v>15</v>
      </c>
      <c r="D125" s="128" t="s">
        <v>313</v>
      </c>
      <c r="E125" s="131">
        <v>12264534</v>
      </c>
      <c r="F125" s="130">
        <v>12264534</v>
      </c>
      <c r="G125" s="130">
        <f t="shared" ref="G125" si="53">SUM(G126:G134)</f>
        <v>12264534</v>
      </c>
      <c r="H125" s="129">
        <f t="shared" ref="H125:H188" si="54">G125-F125</f>
        <v>0</v>
      </c>
      <c r="I125" s="132"/>
      <c r="J125" s="130">
        <f t="shared" ref="J125" si="55">SUM(J126:J134)</f>
        <v>12263884</v>
      </c>
      <c r="K125" s="129">
        <f t="shared" ref="K125:K188" si="56">J125-G125</f>
        <v>-650</v>
      </c>
      <c r="L125" s="132"/>
    </row>
    <row r="126" spans="1:12" ht="31.5" customHeight="1" x14ac:dyDescent="0.25">
      <c r="B126" s="76" t="s">
        <v>314</v>
      </c>
      <c r="C126" s="133" t="s">
        <v>19</v>
      </c>
      <c r="D126" s="134" t="s">
        <v>315</v>
      </c>
      <c r="E126" s="135">
        <v>2120144</v>
      </c>
      <c r="F126" s="62">
        <v>2120144</v>
      </c>
      <c r="G126" s="62">
        <f t="shared" ref="G126:G135" si="57">ROUND(F126,0)</f>
        <v>2120144</v>
      </c>
      <c r="H126" s="61">
        <f t="shared" si="54"/>
        <v>0</v>
      </c>
      <c r="I126" s="82"/>
      <c r="J126" s="62">
        <f>ROUND(G126,0)-650</f>
        <v>2119494</v>
      </c>
      <c r="K126" s="61">
        <f t="shared" si="56"/>
        <v>-650</v>
      </c>
      <c r="L126" s="82" t="s">
        <v>316</v>
      </c>
    </row>
    <row r="127" spans="1:12" x14ac:dyDescent="0.25">
      <c r="B127" s="76" t="s">
        <v>317</v>
      </c>
      <c r="C127" s="133" t="s">
        <v>318</v>
      </c>
      <c r="D127" s="134" t="s">
        <v>319</v>
      </c>
      <c r="E127" s="135">
        <v>377185</v>
      </c>
      <c r="F127" s="62">
        <v>377185</v>
      </c>
      <c r="G127" s="62">
        <f t="shared" si="57"/>
        <v>377185</v>
      </c>
      <c r="H127" s="61">
        <f t="shared" si="54"/>
        <v>0</v>
      </c>
      <c r="I127" s="136"/>
      <c r="J127" s="62">
        <f t="shared" ref="J127:J134" si="58">ROUND(G127,0)</f>
        <v>377185</v>
      </c>
      <c r="K127" s="61">
        <f t="shared" si="56"/>
        <v>0</v>
      </c>
      <c r="L127" s="136"/>
    </row>
    <row r="128" spans="1:12" ht="13.2" customHeight="1" x14ac:dyDescent="0.25">
      <c r="B128" s="76" t="s">
        <v>320</v>
      </c>
      <c r="C128" s="133" t="s">
        <v>321</v>
      </c>
      <c r="D128" s="134" t="s">
        <v>322</v>
      </c>
      <c r="E128" s="135">
        <v>62822</v>
      </c>
      <c r="F128" s="62">
        <v>62822</v>
      </c>
      <c r="G128" s="62">
        <f t="shared" si="57"/>
        <v>62822</v>
      </c>
      <c r="H128" s="61">
        <f t="shared" si="54"/>
        <v>0</v>
      </c>
      <c r="I128" s="82"/>
      <c r="J128" s="62">
        <f t="shared" si="58"/>
        <v>62822</v>
      </c>
      <c r="K128" s="61">
        <f t="shared" si="56"/>
        <v>0</v>
      </c>
      <c r="L128" s="82"/>
    </row>
    <row r="129" spans="2:12" ht="14.4" customHeight="1" x14ac:dyDescent="0.25">
      <c r="B129" s="76" t="s">
        <v>323</v>
      </c>
      <c r="C129" s="133" t="s">
        <v>324</v>
      </c>
      <c r="D129" s="134" t="s">
        <v>325</v>
      </c>
      <c r="E129" s="135">
        <v>45177</v>
      </c>
      <c r="F129" s="62">
        <v>45177</v>
      </c>
      <c r="G129" s="62">
        <f t="shared" si="57"/>
        <v>45177</v>
      </c>
      <c r="H129" s="61">
        <f t="shared" si="54"/>
        <v>0</v>
      </c>
      <c r="I129" s="82"/>
      <c r="J129" s="62">
        <f t="shared" si="58"/>
        <v>45177</v>
      </c>
      <c r="K129" s="61">
        <f t="shared" si="56"/>
        <v>0</v>
      </c>
      <c r="L129" s="82"/>
    </row>
    <row r="130" spans="2:12" ht="15.6" customHeight="1" x14ac:dyDescent="0.25">
      <c r="B130" s="76" t="s">
        <v>326</v>
      </c>
      <c r="C130" s="133" t="s">
        <v>327</v>
      </c>
      <c r="D130" s="134" t="s">
        <v>328</v>
      </c>
      <c r="E130" s="135">
        <v>88097</v>
      </c>
      <c r="F130" s="62">
        <v>88097</v>
      </c>
      <c r="G130" s="62">
        <f t="shared" si="57"/>
        <v>88097</v>
      </c>
      <c r="H130" s="61">
        <f t="shared" si="54"/>
        <v>0</v>
      </c>
      <c r="I130" s="82"/>
      <c r="J130" s="62">
        <f t="shared" si="58"/>
        <v>88097</v>
      </c>
      <c r="K130" s="61">
        <f t="shared" si="56"/>
        <v>0</v>
      </c>
      <c r="L130" s="82"/>
    </row>
    <row r="131" spans="2:12" ht="14.4" customHeight="1" x14ac:dyDescent="0.25">
      <c r="B131" s="76" t="s">
        <v>329</v>
      </c>
      <c r="C131" s="133" t="s">
        <v>330</v>
      </c>
      <c r="D131" s="134" t="s">
        <v>331</v>
      </c>
      <c r="E131" s="135">
        <v>33489</v>
      </c>
      <c r="F131" s="62">
        <v>33489</v>
      </c>
      <c r="G131" s="62">
        <f t="shared" si="57"/>
        <v>33489</v>
      </c>
      <c r="H131" s="61">
        <f t="shared" si="54"/>
        <v>0</v>
      </c>
      <c r="I131" s="136"/>
      <c r="J131" s="62">
        <f t="shared" si="58"/>
        <v>33489</v>
      </c>
      <c r="K131" s="61">
        <f t="shared" si="56"/>
        <v>0</v>
      </c>
      <c r="L131" s="136"/>
    </row>
    <row r="132" spans="2:12" ht="30" customHeight="1" x14ac:dyDescent="0.25">
      <c r="B132" s="76" t="s">
        <v>314</v>
      </c>
      <c r="C132" s="133" t="s">
        <v>332</v>
      </c>
      <c r="D132" s="134" t="s">
        <v>333</v>
      </c>
      <c r="E132" s="135">
        <v>2102431</v>
      </c>
      <c r="F132" s="62">
        <v>2102431</v>
      </c>
      <c r="G132" s="62">
        <f t="shared" si="57"/>
        <v>2102431</v>
      </c>
      <c r="H132" s="61">
        <f t="shared" si="54"/>
        <v>0</v>
      </c>
      <c r="I132" s="82"/>
      <c r="J132" s="62">
        <f t="shared" si="58"/>
        <v>2102431</v>
      </c>
      <c r="K132" s="61">
        <f t="shared" si="56"/>
        <v>0</v>
      </c>
      <c r="L132" s="82"/>
    </row>
    <row r="133" spans="2:12" ht="13.95" customHeight="1" x14ac:dyDescent="0.25">
      <c r="B133" s="76" t="s">
        <v>314</v>
      </c>
      <c r="C133" s="133" t="s">
        <v>334</v>
      </c>
      <c r="D133" s="134" t="s">
        <v>335</v>
      </c>
      <c r="E133" s="135">
        <v>6917724</v>
      </c>
      <c r="F133" s="62">
        <v>6917724</v>
      </c>
      <c r="G133" s="62">
        <f t="shared" si="57"/>
        <v>6917724</v>
      </c>
      <c r="H133" s="61">
        <f t="shared" si="54"/>
        <v>0</v>
      </c>
      <c r="I133" s="136"/>
      <c r="J133" s="62">
        <f t="shared" si="58"/>
        <v>6917724</v>
      </c>
      <c r="K133" s="61">
        <f t="shared" si="56"/>
        <v>0</v>
      </c>
      <c r="L133" s="136"/>
    </row>
    <row r="134" spans="2:12" ht="42" customHeight="1" x14ac:dyDescent="0.25">
      <c r="B134" s="76" t="s">
        <v>336</v>
      </c>
      <c r="C134" s="133" t="s">
        <v>337</v>
      </c>
      <c r="D134" s="134" t="s">
        <v>338</v>
      </c>
      <c r="E134" s="81">
        <v>517465</v>
      </c>
      <c r="F134" s="62">
        <v>517465</v>
      </c>
      <c r="G134" s="62">
        <f t="shared" si="57"/>
        <v>517465</v>
      </c>
      <c r="H134" s="61">
        <f t="shared" si="54"/>
        <v>0</v>
      </c>
      <c r="I134" s="82"/>
      <c r="J134" s="62">
        <f t="shared" si="58"/>
        <v>517465</v>
      </c>
      <c r="K134" s="61">
        <f t="shared" si="56"/>
        <v>0</v>
      </c>
      <c r="L134" s="82"/>
    </row>
    <row r="135" spans="2:12" ht="33.6" customHeight="1" collapsed="1" x14ac:dyDescent="0.25">
      <c r="B135" s="76" t="s">
        <v>339</v>
      </c>
      <c r="C135" s="137" t="s">
        <v>25</v>
      </c>
      <c r="D135" s="138" t="s">
        <v>340</v>
      </c>
      <c r="E135" s="46">
        <v>1114238</v>
      </c>
      <c r="F135" s="45">
        <v>1114238</v>
      </c>
      <c r="G135" s="45">
        <f t="shared" si="57"/>
        <v>1114238</v>
      </c>
      <c r="H135" s="44">
        <f t="shared" si="54"/>
        <v>0</v>
      </c>
      <c r="I135" s="56"/>
      <c r="J135" s="45">
        <f>ROUND(G135,0)+15584</f>
        <v>1129822</v>
      </c>
      <c r="K135" s="44">
        <f t="shared" si="56"/>
        <v>15584</v>
      </c>
      <c r="L135" s="56" t="s">
        <v>178</v>
      </c>
    </row>
    <row r="136" spans="2:12" s="139" customFormat="1" ht="16.95" customHeight="1" x14ac:dyDescent="0.25">
      <c r="C136" s="137" t="s">
        <v>33</v>
      </c>
      <c r="D136" s="138" t="s">
        <v>341</v>
      </c>
      <c r="E136" s="46">
        <v>646058</v>
      </c>
      <c r="F136" s="45">
        <v>646058</v>
      </c>
      <c r="G136" s="45">
        <f t="shared" ref="G136" si="59">G137+G140</f>
        <v>646058</v>
      </c>
      <c r="H136" s="44">
        <f t="shared" si="54"/>
        <v>0</v>
      </c>
      <c r="I136" s="56"/>
      <c r="J136" s="45">
        <f t="shared" ref="J136" si="60">J137+J140</f>
        <v>646058</v>
      </c>
      <c r="K136" s="44">
        <f t="shared" si="56"/>
        <v>0</v>
      </c>
      <c r="L136" s="56"/>
    </row>
    <row r="137" spans="2:12" x14ac:dyDescent="0.25">
      <c r="B137" s="76" t="s">
        <v>342</v>
      </c>
      <c r="C137" s="133" t="s">
        <v>36</v>
      </c>
      <c r="D137" s="134" t="s">
        <v>343</v>
      </c>
      <c r="E137" s="81">
        <v>200531</v>
      </c>
      <c r="F137" s="62">
        <v>200531</v>
      </c>
      <c r="G137" s="62">
        <f>SUM(G138:G139)</f>
        <v>200531</v>
      </c>
      <c r="H137" s="61">
        <f t="shared" si="54"/>
        <v>0</v>
      </c>
      <c r="I137" s="61"/>
      <c r="J137" s="62">
        <f>SUM(J138:J139)</f>
        <v>200531</v>
      </c>
      <c r="K137" s="61">
        <f t="shared" si="56"/>
        <v>0</v>
      </c>
      <c r="L137" s="61"/>
    </row>
    <row r="138" spans="2:12" ht="15.75" customHeight="1" x14ac:dyDescent="0.25">
      <c r="B138" s="76" t="s">
        <v>342</v>
      </c>
      <c r="C138" s="140" t="s">
        <v>344</v>
      </c>
      <c r="D138" s="141" t="s">
        <v>345</v>
      </c>
      <c r="E138" s="48">
        <v>166223</v>
      </c>
      <c r="F138" s="39">
        <v>166223</v>
      </c>
      <c r="G138" s="39">
        <f>ROUND(F138,0)</f>
        <v>166223</v>
      </c>
      <c r="H138" s="38">
        <f t="shared" si="54"/>
        <v>0</v>
      </c>
      <c r="I138" s="40"/>
      <c r="J138" s="39">
        <f>ROUND(G138,0)-587</f>
        <v>165636</v>
      </c>
      <c r="K138" s="38">
        <f t="shared" si="56"/>
        <v>-587</v>
      </c>
      <c r="L138" s="385" t="s">
        <v>346</v>
      </c>
    </row>
    <row r="139" spans="2:12" ht="15.6" customHeight="1" x14ac:dyDescent="0.25">
      <c r="B139" s="76"/>
      <c r="C139" s="140" t="s">
        <v>347</v>
      </c>
      <c r="D139" s="141" t="s">
        <v>348</v>
      </c>
      <c r="E139" s="48">
        <v>34308</v>
      </c>
      <c r="F139" s="39">
        <v>34308</v>
      </c>
      <c r="G139" s="39">
        <f>ROUND(F139,0)</f>
        <v>34308</v>
      </c>
      <c r="H139" s="38">
        <f t="shared" si="54"/>
        <v>0</v>
      </c>
      <c r="I139" s="40"/>
      <c r="J139" s="39">
        <f>ROUND(G139,0)+587</f>
        <v>34895</v>
      </c>
      <c r="K139" s="38">
        <f t="shared" si="56"/>
        <v>587</v>
      </c>
      <c r="L139" s="386"/>
    </row>
    <row r="140" spans="2:12" x14ac:dyDescent="0.25">
      <c r="B140" s="76" t="s">
        <v>349</v>
      </c>
      <c r="C140" s="133" t="s">
        <v>39</v>
      </c>
      <c r="D140" s="134" t="s">
        <v>350</v>
      </c>
      <c r="E140" s="81">
        <v>445527</v>
      </c>
      <c r="F140" s="62">
        <v>445527</v>
      </c>
      <c r="G140" s="62">
        <f>ROUND(F140,0)</f>
        <v>445527</v>
      </c>
      <c r="H140" s="61">
        <f t="shared" si="54"/>
        <v>0</v>
      </c>
      <c r="I140" s="82"/>
      <c r="J140" s="62">
        <f>ROUND(G140,0)</f>
        <v>445527</v>
      </c>
      <c r="K140" s="61">
        <f t="shared" si="56"/>
        <v>0</v>
      </c>
      <c r="L140" s="82"/>
    </row>
    <row r="141" spans="2:12" x14ac:dyDescent="0.25">
      <c r="C141" s="137" t="s">
        <v>41</v>
      </c>
      <c r="D141" s="138" t="s">
        <v>351</v>
      </c>
      <c r="E141" s="46">
        <v>225687</v>
      </c>
      <c r="F141" s="45">
        <v>225687</v>
      </c>
      <c r="G141" s="45">
        <f t="shared" ref="G141" si="61">G142</f>
        <v>225687</v>
      </c>
      <c r="H141" s="44">
        <f t="shared" si="54"/>
        <v>0</v>
      </c>
      <c r="I141" s="47"/>
      <c r="J141" s="45">
        <f t="shared" ref="J141" si="62">J142</f>
        <v>225687</v>
      </c>
      <c r="K141" s="44">
        <f t="shared" si="56"/>
        <v>0</v>
      </c>
      <c r="L141" s="47"/>
    </row>
    <row r="142" spans="2:12" ht="16.2" customHeight="1" x14ac:dyDescent="0.25">
      <c r="B142" s="76" t="s">
        <v>352</v>
      </c>
      <c r="C142" s="133" t="s">
        <v>44</v>
      </c>
      <c r="D142" s="134" t="s">
        <v>353</v>
      </c>
      <c r="E142" s="81">
        <v>225687</v>
      </c>
      <c r="F142" s="62">
        <v>225687</v>
      </c>
      <c r="G142" s="62">
        <f>ROUND(F142,0)</f>
        <v>225687</v>
      </c>
      <c r="H142" s="61">
        <f t="shared" si="54"/>
        <v>0</v>
      </c>
      <c r="I142" s="82"/>
      <c r="J142" s="62">
        <f>ROUND(G142,0)</f>
        <v>225687</v>
      </c>
      <c r="K142" s="61">
        <f t="shared" si="56"/>
        <v>0</v>
      </c>
      <c r="L142" s="82"/>
    </row>
    <row r="143" spans="2:12" ht="27.6" x14ac:dyDescent="0.25">
      <c r="C143" s="137" t="s">
        <v>47</v>
      </c>
      <c r="D143" s="138" t="s">
        <v>354</v>
      </c>
      <c r="E143" s="46">
        <v>18129422</v>
      </c>
      <c r="F143" s="45">
        <v>18129422</v>
      </c>
      <c r="G143" s="45">
        <f>G144+G145+G146+G147+G148+G162</f>
        <v>18123822</v>
      </c>
      <c r="H143" s="44">
        <f t="shared" si="54"/>
        <v>-5600</v>
      </c>
      <c r="I143" s="44"/>
      <c r="J143" s="45">
        <f>J144+J145+J146+J147+J148+J162</f>
        <v>17992555</v>
      </c>
      <c r="K143" s="44">
        <f t="shared" si="56"/>
        <v>-131267</v>
      </c>
      <c r="L143" s="44"/>
    </row>
    <row r="144" spans="2:12" ht="15.6" customHeight="1" x14ac:dyDescent="0.25">
      <c r="B144" s="76" t="s">
        <v>355</v>
      </c>
      <c r="C144" s="133" t="s">
        <v>50</v>
      </c>
      <c r="D144" s="142" t="s">
        <v>356</v>
      </c>
      <c r="E144" s="145">
        <v>70000</v>
      </c>
      <c r="F144" s="144">
        <v>70000</v>
      </c>
      <c r="G144" s="62">
        <f>ROUND(F144,0)</f>
        <v>70000</v>
      </c>
      <c r="H144" s="61">
        <f t="shared" si="54"/>
        <v>0</v>
      </c>
      <c r="I144" s="136"/>
      <c r="J144" s="62">
        <f t="shared" ref="J144:J147" si="63">ROUND(G144,0)</f>
        <v>70000</v>
      </c>
      <c r="K144" s="61">
        <f t="shared" si="56"/>
        <v>0</v>
      </c>
      <c r="L144" s="136"/>
    </row>
    <row r="145" spans="2:12" ht="15.6" customHeight="1" x14ac:dyDescent="0.25">
      <c r="B145" s="76" t="s">
        <v>357</v>
      </c>
      <c r="C145" s="133" t="s">
        <v>358</v>
      </c>
      <c r="D145" s="142" t="s">
        <v>359</v>
      </c>
      <c r="E145" s="145">
        <v>52568</v>
      </c>
      <c r="F145" s="144">
        <v>52568</v>
      </c>
      <c r="G145" s="62">
        <f>ROUND(F145,0)</f>
        <v>52568</v>
      </c>
      <c r="H145" s="61">
        <f t="shared" si="54"/>
        <v>0</v>
      </c>
      <c r="I145" s="136"/>
      <c r="J145" s="62">
        <f t="shared" si="63"/>
        <v>52568</v>
      </c>
      <c r="K145" s="61">
        <f t="shared" si="56"/>
        <v>0</v>
      </c>
      <c r="L145" s="136"/>
    </row>
    <row r="146" spans="2:12" ht="15" customHeight="1" x14ac:dyDescent="0.25">
      <c r="B146" s="76" t="s">
        <v>360</v>
      </c>
      <c r="C146" s="133" t="s">
        <v>361</v>
      </c>
      <c r="D146" s="142" t="s">
        <v>362</v>
      </c>
      <c r="E146" s="145">
        <v>333393</v>
      </c>
      <c r="F146" s="144">
        <v>333393</v>
      </c>
      <c r="G146" s="144">
        <f>ROUND(F146,0)</f>
        <v>333393</v>
      </c>
      <c r="H146" s="143">
        <f t="shared" si="54"/>
        <v>0</v>
      </c>
      <c r="I146" s="82"/>
      <c r="J146" s="144">
        <f t="shared" si="63"/>
        <v>333393</v>
      </c>
      <c r="K146" s="143">
        <f t="shared" si="56"/>
        <v>0</v>
      </c>
      <c r="L146" s="82"/>
    </row>
    <row r="147" spans="2:12" ht="15" customHeight="1" x14ac:dyDescent="0.25">
      <c r="B147" s="76" t="s">
        <v>363</v>
      </c>
      <c r="C147" s="133" t="s">
        <v>364</v>
      </c>
      <c r="D147" s="142" t="s">
        <v>365</v>
      </c>
      <c r="E147" s="145">
        <v>334779</v>
      </c>
      <c r="F147" s="144">
        <v>334779</v>
      </c>
      <c r="G147" s="144">
        <f>ROUND(F147,0)</f>
        <v>334779</v>
      </c>
      <c r="H147" s="143">
        <f t="shared" si="54"/>
        <v>0</v>
      </c>
      <c r="I147" s="82"/>
      <c r="J147" s="144">
        <f t="shared" si="63"/>
        <v>334779</v>
      </c>
      <c r="K147" s="143">
        <f t="shared" si="56"/>
        <v>0</v>
      </c>
      <c r="L147" s="82"/>
    </row>
    <row r="148" spans="2:12" x14ac:dyDescent="0.25">
      <c r="C148" s="133" t="s">
        <v>366</v>
      </c>
      <c r="D148" s="142" t="s">
        <v>367</v>
      </c>
      <c r="E148" s="145">
        <v>8401067</v>
      </c>
      <c r="F148" s="144">
        <v>8401067</v>
      </c>
      <c r="G148" s="144">
        <f>SUM(G149:G161)</f>
        <v>8401067</v>
      </c>
      <c r="H148" s="143">
        <f t="shared" si="54"/>
        <v>0</v>
      </c>
      <c r="I148" s="143"/>
      <c r="J148" s="144">
        <f>SUM(J149:J161)</f>
        <v>8461055</v>
      </c>
      <c r="K148" s="143">
        <f t="shared" si="56"/>
        <v>59988</v>
      </c>
      <c r="L148" s="143"/>
    </row>
    <row r="149" spans="2:12" ht="30.75" customHeight="1" x14ac:dyDescent="0.25">
      <c r="B149" s="76" t="s">
        <v>173</v>
      </c>
      <c r="C149" s="140" t="s">
        <v>368</v>
      </c>
      <c r="D149" s="113" t="s">
        <v>369</v>
      </c>
      <c r="E149" s="48">
        <v>524909</v>
      </c>
      <c r="F149" s="39">
        <v>524909</v>
      </c>
      <c r="G149" s="39">
        <f>ROUND(F149,0)-2000</f>
        <v>522909</v>
      </c>
      <c r="H149" s="38">
        <f t="shared" si="54"/>
        <v>-2000</v>
      </c>
      <c r="I149" s="146" t="s">
        <v>370</v>
      </c>
      <c r="J149" s="39">
        <f t="shared" ref="J149:J161" si="64">ROUND(G149,0)</f>
        <v>522909</v>
      </c>
      <c r="K149" s="38">
        <f t="shared" si="56"/>
        <v>0</v>
      </c>
      <c r="L149" s="146"/>
    </row>
    <row r="150" spans="2:12" ht="18.600000000000001" customHeight="1" x14ac:dyDescent="0.25">
      <c r="B150" s="76" t="s">
        <v>371</v>
      </c>
      <c r="C150" s="140" t="s">
        <v>372</v>
      </c>
      <c r="D150" s="113" t="s">
        <v>373</v>
      </c>
      <c r="E150" s="48">
        <v>40000</v>
      </c>
      <c r="F150" s="39">
        <v>40000</v>
      </c>
      <c r="G150" s="39">
        <f t="shared" ref="G150:G161" si="65">ROUND(F150,0)</f>
        <v>40000</v>
      </c>
      <c r="H150" s="38">
        <f t="shared" si="54"/>
        <v>0</v>
      </c>
      <c r="I150" s="146"/>
      <c r="J150" s="39">
        <f t="shared" si="64"/>
        <v>40000</v>
      </c>
      <c r="K150" s="38">
        <f t="shared" si="56"/>
        <v>0</v>
      </c>
      <c r="L150" s="146"/>
    </row>
    <row r="151" spans="2:12" ht="30" customHeight="1" x14ac:dyDescent="0.25">
      <c r="B151" s="76" t="s">
        <v>371</v>
      </c>
      <c r="C151" s="140" t="s">
        <v>374</v>
      </c>
      <c r="D151" s="113" t="s">
        <v>375</v>
      </c>
      <c r="E151" s="48">
        <v>11400</v>
      </c>
      <c r="F151" s="39">
        <v>11400</v>
      </c>
      <c r="G151" s="39">
        <f>ROUND(F151,0)+2000</f>
        <v>13400</v>
      </c>
      <c r="H151" s="38">
        <f t="shared" si="54"/>
        <v>2000</v>
      </c>
      <c r="I151" s="146" t="s">
        <v>370</v>
      </c>
      <c r="J151" s="39">
        <f t="shared" si="64"/>
        <v>13400</v>
      </c>
      <c r="K151" s="38">
        <f t="shared" si="56"/>
        <v>0</v>
      </c>
      <c r="L151" s="146"/>
    </row>
    <row r="152" spans="2:12" ht="28.2" customHeight="1" x14ac:dyDescent="0.25">
      <c r="B152" s="76" t="s">
        <v>185</v>
      </c>
      <c r="C152" s="147" t="s">
        <v>376</v>
      </c>
      <c r="D152" s="79" t="s">
        <v>187</v>
      </c>
      <c r="E152" s="48">
        <v>49346</v>
      </c>
      <c r="F152" s="39">
        <v>49346</v>
      </c>
      <c r="G152" s="39">
        <f t="shared" si="65"/>
        <v>49346</v>
      </c>
      <c r="H152" s="38">
        <f t="shared" si="54"/>
        <v>0</v>
      </c>
      <c r="I152" s="146"/>
      <c r="J152" s="39">
        <f t="shared" si="64"/>
        <v>49346</v>
      </c>
      <c r="K152" s="38">
        <f t="shared" si="56"/>
        <v>0</v>
      </c>
      <c r="L152" s="146"/>
    </row>
    <row r="153" spans="2:12" ht="42.6" customHeight="1" x14ac:dyDescent="0.25">
      <c r="B153" s="76" t="s">
        <v>377</v>
      </c>
      <c r="C153" s="147" t="s">
        <v>378</v>
      </c>
      <c r="D153" s="148" t="s">
        <v>379</v>
      </c>
      <c r="E153" s="48">
        <v>985558</v>
      </c>
      <c r="F153" s="39">
        <v>985558</v>
      </c>
      <c r="G153" s="39">
        <f t="shared" si="65"/>
        <v>985558</v>
      </c>
      <c r="H153" s="38">
        <f t="shared" si="54"/>
        <v>0</v>
      </c>
      <c r="I153" s="146"/>
      <c r="J153" s="39">
        <f>ROUND(G153,0)+59988</f>
        <v>1045546</v>
      </c>
      <c r="K153" s="38">
        <f t="shared" si="56"/>
        <v>59988</v>
      </c>
      <c r="L153" s="146" t="s">
        <v>665</v>
      </c>
    </row>
    <row r="154" spans="2:12" ht="28.95" customHeight="1" x14ac:dyDescent="0.25">
      <c r="B154" s="76" t="s">
        <v>225</v>
      </c>
      <c r="C154" s="147" t="s">
        <v>380</v>
      </c>
      <c r="D154" s="148" t="s">
        <v>227</v>
      </c>
      <c r="E154" s="48">
        <v>4425220</v>
      </c>
      <c r="F154" s="39">
        <v>4425220</v>
      </c>
      <c r="G154" s="39">
        <f t="shared" si="65"/>
        <v>4425220</v>
      </c>
      <c r="H154" s="38">
        <f t="shared" si="54"/>
        <v>0</v>
      </c>
      <c r="I154" s="146"/>
      <c r="J154" s="39">
        <f t="shared" si="64"/>
        <v>4425220</v>
      </c>
      <c r="K154" s="38">
        <f t="shared" si="56"/>
        <v>0</v>
      </c>
      <c r="L154" s="146"/>
    </row>
    <row r="155" spans="2:12" ht="42.75" customHeight="1" x14ac:dyDescent="0.25">
      <c r="B155" s="76" t="s">
        <v>381</v>
      </c>
      <c r="C155" s="147" t="s">
        <v>382</v>
      </c>
      <c r="D155" s="148" t="s">
        <v>383</v>
      </c>
      <c r="E155" s="48">
        <v>34550</v>
      </c>
      <c r="F155" s="39">
        <v>34550</v>
      </c>
      <c r="G155" s="39">
        <f t="shared" si="65"/>
        <v>34550</v>
      </c>
      <c r="H155" s="38">
        <f t="shared" si="54"/>
        <v>0</v>
      </c>
      <c r="I155" s="41"/>
      <c r="J155" s="39">
        <f t="shared" si="64"/>
        <v>34550</v>
      </c>
      <c r="K155" s="38">
        <f t="shared" si="56"/>
        <v>0</v>
      </c>
      <c r="L155" s="41"/>
    </row>
    <row r="156" spans="2:12" ht="33.75" customHeight="1" x14ac:dyDescent="0.25">
      <c r="B156" s="76" t="s">
        <v>188</v>
      </c>
      <c r="C156" s="147" t="s">
        <v>384</v>
      </c>
      <c r="D156" s="148" t="s">
        <v>190</v>
      </c>
      <c r="E156" s="48">
        <v>950824</v>
      </c>
      <c r="F156" s="39">
        <v>950824</v>
      </c>
      <c r="G156" s="39">
        <f>ROUND(F156,0)</f>
        <v>950824</v>
      </c>
      <c r="H156" s="38">
        <f t="shared" si="54"/>
        <v>0</v>
      </c>
      <c r="I156" s="41"/>
      <c r="J156" s="39">
        <f t="shared" si="64"/>
        <v>950824</v>
      </c>
      <c r="K156" s="38">
        <f t="shared" si="56"/>
        <v>0</v>
      </c>
      <c r="L156" s="41"/>
    </row>
    <row r="157" spans="2:12" ht="27.75" customHeight="1" x14ac:dyDescent="0.25">
      <c r="B157" s="76" t="s">
        <v>191</v>
      </c>
      <c r="C157" s="147" t="s">
        <v>385</v>
      </c>
      <c r="D157" s="148" t="s">
        <v>192</v>
      </c>
      <c r="E157" s="48">
        <v>138477</v>
      </c>
      <c r="F157" s="39">
        <v>138477</v>
      </c>
      <c r="G157" s="39">
        <f t="shared" si="65"/>
        <v>138477</v>
      </c>
      <c r="H157" s="38">
        <f t="shared" si="54"/>
        <v>0</v>
      </c>
      <c r="I157" s="41"/>
      <c r="J157" s="39">
        <f t="shared" si="64"/>
        <v>138477</v>
      </c>
      <c r="K157" s="38">
        <f t="shared" si="56"/>
        <v>0</v>
      </c>
      <c r="L157" s="41"/>
    </row>
    <row r="158" spans="2:12" ht="62.25" customHeight="1" x14ac:dyDescent="0.25">
      <c r="B158" s="76" t="s">
        <v>173</v>
      </c>
      <c r="C158" s="147" t="s">
        <v>386</v>
      </c>
      <c r="D158" s="148" t="s">
        <v>196</v>
      </c>
      <c r="E158" s="48">
        <v>3200</v>
      </c>
      <c r="F158" s="39">
        <v>3200</v>
      </c>
      <c r="G158" s="39">
        <f t="shared" si="65"/>
        <v>3200</v>
      </c>
      <c r="H158" s="38">
        <f t="shared" si="54"/>
        <v>0</v>
      </c>
      <c r="I158" s="41"/>
      <c r="J158" s="39">
        <f t="shared" si="64"/>
        <v>3200</v>
      </c>
      <c r="K158" s="38">
        <f t="shared" si="56"/>
        <v>0</v>
      </c>
      <c r="L158" s="41"/>
    </row>
    <row r="159" spans="2:12" ht="16.95" customHeight="1" x14ac:dyDescent="0.25">
      <c r="B159" s="76" t="s">
        <v>199</v>
      </c>
      <c r="C159" s="147" t="s">
        <v>387</v>
      </c>
      <c r="D159" s="148" t="s">
        <v>201</v>
      </c>
      <c r="E159" s="48">
        <v>434122</v>
      </c>
      <c r="F159" s="39">
        <v>434122</v>
      </c>
      <c r="G159" s="39">
        <f t="shared" si="65"/>
        <v>434122</v>
      </c>
      <c r="H159" s="38">
        <f t="shared" si="54"/>
        <v>0</v>
      </c>
      <c r="I159" s="41"/>
      <c r="J159" s="39">
        <f t="shared" si="64"/>
        <v>434122</v>
      </c>
      <c r="K159" s="38">
        <f t="shared" si="56"/>
        <v>0</v>
      </c>
      <c r="L159" s="41"/>
    </row>
    <row r="160" spans="2:12" ht="30" customHeight="1" x14ac:dyDescent="0.25">
      <c r="B160" s="76" t="s">
        <v>388</v>
      </c>
      <c r="C160" s="147" t="s">
        <v>389</v>
      </c>
      <c r="D160" s="148" t="s">
        <v>390</v>
      </c>
      <c r="E160" s="48">
        <v>416333</v>
      </c>
      <c r="F160" s="39">
        <v>416333</v>
      </c>
      <c r="G160" s="39">
        <f t="shared" si="65"/>
        <v>416333</v>
      </c>
      <c r="H160" s="38">
        <f t="shared" si="54"/>
        <v>0</v>
      </c>
      <c r="I160" s="41"/>
      <c r="J160" s="39">
        <f t="shared" si="64"/>
        <v>416333</v>
      </c>
      <c r="K160" s="38">
        <f t="shared" si="56"/>
        <v>0</v>
      </c>
      <c r="L160" s="41"/>
    </row>
    <row r="161" spans="2:12" ht="16.5" customHeight="1" x14ac:dyDescent="0.25">
      <c r="B161" s="76" t="s">
        <v>210</v>
      </c>
      <c r="C161" s="147" t="s">
        <v>391</v>
      </c>
      <c r="D161" s="79" t="s">
        <v>212</v>
      </c>
      <c r="E161" s="48">
        <v>387128</v>
      </c>
      <c r="F161" s="39">
        <v>387128</v>
      </c>
      <c r="G161" s="39">
        <f t="shared" si="65"/>
        <v>387128</v>
      </c>
      <c r="H161" s="38">
        <f t="shared" si="54"/>
        <v>0</v>
      </c>
      <c r="I161" s="146"/>
      <c r="J161" s="39">
        <f t="shared" si="64"/>
        <v>387128</v>
      </c>
      <c r="K161" s="38">
        <f t="shared" si="56"/>
        <v>0</v>
      </c>
      <c r="L161" s="146"/>
    </row>
    <row r="162" spans="2:12" ht="29.25" customHeight="1" x14ac:dyDescent="0.25">
      <c r="C162" s="133" t="s">
        <v>392</v>
      </c>
      <c r="D162" s="142" t="s">
        <v>393</v>
      </c>
      <c r="E162" s="145">
        <v>8937615</v>
      </c>
      <c r="F162" s="144">
        <v>8937615</v>
      </c>
      <c r="G162" s="144">
        <f>SUM(G163:G166,G170:G179)</f>
        <v>8932015</v>
      </c>
      <c r="H162" s="143">
        <f t="shared" si="54"/>
        <v>-5600</v>
      </c>
      <c r="I162" s="149"/>
      <c r="J162" s="144">
        <f>SUM(J163:J166,J170:J179)</f>
        <v>8740760</v>
      </c>
      <c r="K162" s="143">
        <f t="shared" si="56"/>
        <v>-191255</v>
      </c>
      <c r="L162" s="149"/>
    </row>
    <row r="163" spans="2:12" ht="27.6" customHeight="1" x14ac:dyDescent="0.25">
      <c r="B163" s="76" t="s">
        <v>394</v>
      </c>
      <c r="C163" s="140" t="s">
        <v>395</v>
      </c>
      <c r="D163" s="148" t="s">
        <v>396</v>
      </c>
      <c r="E163" s="48">
        <v>242016</v>
      </c>
      <c r="F163" s="39">
        <v>242016</v>
      </c>
      <c r="G163" s="39">
        <f>ROUND(F163,0)</f>
        <v>242016</v>
      </c>
      <c r="H163" s="38">
        <f t="shared" si="54"/>
        <v>0</v>
      </c>
      <c r="I163" s="150"/>
      <c r="J163" s="39">
        <f>ROUND(G163,0)-8000</f>
        <v>234016</v>
      </c>
      <c r="K163" s="38">
        <f t="shared" si="56"/>
        <v>-8000</v>
      </c>
      <c r="L163" s="150" t="s">
        <v>669</v>
      </c>
    </row>
    <row r="164" spans="2:12" ht="49.5" customHeight="1" x14ac:dyDescent="0.25">
      <c r="B164" s="76" t="s">
        <v>181</v>
      </c>
      <c r="C164" s="140" t="s">
        <v>397</v>
      </c>
      <c r="D164" s="148" t="s">
        <v>398</v>
      </c>
      <c r="E164" s="48">
        <v>191255</v>
      </c>
      <c r="F164" s="39">
        <v>191255</v>
      </c>
      <c r="G164" s="39">
        <f>ROUND(F164,0)</f>
        <v>191255</v>
      </c>
      <c r="H164" s="38">
        <f t="shared" si="54"/>
        <v>0</v>
      </c>
      <c r="I164" s="146"/>
      <c r="J164" s="39">
        <f>ROUND(G164,0)-191255</f>
        <v>0</v>
      </c>
      <c r="K164" s="38">
        <f t="shared" si="56"/>
        <v>-191255</v>
      </c>
      <c r="L164" s="41" t="s">
        <v>666</v>
      </c>
    </row>
    <row r="165" spans="2:12" ht="30" customHeight="1" x14ac:dyDescent="0.25">
      <c r="B165" s="76" t="s">
        <v>207</v>
      </c>
      <c r="C165" s="140" t="s">
        <v>400</v>
      </c>
      <c r="D165" s="148" t="s">
        <v>209</v>
      </c>
      <c r="E165" s="48">
        <v>255685</v>
      </c>
      <c r="F165" s="39">
        <v>255685</v>
      </c>
      <c r="G165" s="39">
        <f>ROUND(F165,0)</f>
        <v>255685</v>
      </c>
      <c r="H165" s="38">
        <f t="shared" si="54"/>
        <v>0</v>
      </c>
      <c r="I165" s="146"/>
      <c r="J165" s="39">
        <f t="shared" ref="J165" si="66">ROUND(G165,0)</f>
        <v>255685</v>
      </c>
      <c r="K165" s="38">
        <f t="shared" si="56"/>
        <v>0</v>
      </c>
      <c r="L165" s="146"/>
    </row>
    <row r="166" spans="2:12" ht="32.25" customHeight="1" x14ac:dyDescent="0.25">
      <c r="B166" s="76" t="s">
        <v>5</v>
      </c>
      <c r="C166" s="140" t="s">
        <v>401</v>
      </c>
      <c r="D166" s="148" t="s">
        <v>402</v>
      </c>
      <c r="E166" s="151">
        <v>5767122</v>
      </c>
      <c r="F166" s="152">
        <v>5767122</v>
      </c>
      <c r="G166" s="152">
        <f>SUM(G167:G169)</f>
        <v>5761522</v>
      </c>
      <c r="H166" s="153">
        <f t="shared" si="54"/>
        <v>-5600</v>
      </c>
      <c r="I166" s="146"/>
      <c r="J166" s="152">
        <f>SUM(J167:J169)</f>
        <v>5769522</v>
      </c>
      <c r="K166" s="38">
        <f t="shared" si="56"/>
        <v>8000</v>
      </c>
      <c r="L166" s="146"/>
    </row>
    <row r="167" spans="2:12" s="162" customFormat="1" ht="75" customHeight="1" x14ac:dyDescent="0.25">
      <c r="B167" s="154"/>
      <c r="C167" s="155" t="s">
        <v>403</v>
      </c>
      <c r="D167" s="156" t="s">
        <v>404</v>
      </c>
      <c r="E167" s="157">
        <v>5037221</v>
      </c>
      <c r="F167" s="158">
        <v>5037221</v>
      </c>
      <c r="G167" s="158">
        <f>ROUND(F167,0)-4000-1600</f>
        <v>5031621</v>
      </c>
      <c r="H167" s="159">
        <f t="shared" si="54"/>
        <v>-5600</v>
      </c>
      <c r="I167" s="160" t="s">
        <v>405</v>
      </c>
      <c r="J167" s="158">
        <f>ROUND(G167,0)-5070+8000</f>
        <v>5034551</v>
      </c>
      <c r="K167" s="161">
        <f t="shared" si="56"/>
        <v>2930</v>
      </c>
      <c r="L167" s="160" t="s">
        <v>670</v>
      </c>
    </row>
    <row r="168" spans="2:12" s="162" customFormat="1" ht="18" customHeight="1" x14ac:dyDescent="0.25">
      <c r="B168" s="154"/>
      <c r="C168" s="155" t="s">
        <v>407</v>
      </c>
      <c r="D168" s="156" t="s">
        <v>408</v>
      </c>
      <c r="E168" s="157">
        <v>413000</v>
      </c>
      <c r="F168" s="158">
        <v>413000</v>
      </c>
      <c r="G168" s="158">
        <f>ROUND(F168,0)</f>
        <v>413000</v>
      </c>
      <c r="H168" s="161">
        <f t="shared" si="54"/>
        <v>0</v>
      </c>
      <c r="I168" s="160"/>
      <c r="J168" s="158">
        <f t="shared" ref="J168:J172" si="67">ROUND(G168,0)</f>
        <v>413000</v>
      </c>
      <c r="K168" s="161">
        <f t="shared" si="56"/>
        <v>0</v>
      </c>
      <c r="L168" s="160"/>
    </row>
    <row r="169" spans="2:12" s="162" customFormat="1" ht="46.5" customHeight="1" x14ac:dyDescent="0.25">
      <c r="B169" s="154"/>
      <c r="C169" s="155" t="s">
        <v>409</v>
      </c>
      <c r="D169" s="156" t="s">
        <v>410</v>
      </c>
      <c r="E169" s="157">
        <v>316901</v>
      </c>
      <c r="F169" s="158">
        <v>316901</v>
      </c>
      <c r="G169" s="158">
        <f>ROUND(F169,0)</f>
        <v>316901</v>
      </c>
      <c r="H169" s="161">
        <f t="shared" si="54"/>
        <v>0</v>
      </c>
      <c r="I169" s="160"/>
      <c r="J169" s="158">
        <f>ROUND(G169,0)+5070</f>
        <v>321971</v>
      </c>
      <c r="K169" s="161">
        <f t="shared" si="56"/>
        <v>5070</v>
      </c>
      <c r="L169" s="160" t="s">
        <v>406</v>
      </c>
    </row>
    <row r="170" spans="2:12" ht="27.6" customHeight="1" x14ac:dyDescent="0.25">
      <c r="B170" s="76" t="s">
        <v>5</v>
      </c>
      <c r="C170" s="147" t="s">
        <v>411</v>
      </c>
      <c r="D170" s="148" t="s">
        <v>412</v>
      </c>
      <c r="E170" s="48">
        <v>237443</v>
      </c>
      <c r="F170" s="39">
        <v>237443</v>
      </c>
      <c r="G170" s="39">
        <f>ROUND(F170,0)</f>
        <v>237443</v>
      </c>
      <c r="H170" s="38">
        <f t="shared" si="54"/>
        <v>0</v>
      </c>
      <c r="I170" s="146"/>
      <c r="J170" s="39">
        <f t="shared" si="67"/>
        <v>237443</v>
      </c>
      <c r="K170" s="38">
        <f t="shared" si="56"/>
        <v>0</v>
      </c>
      <c r="L170" s="146"/>
    </row>
    <row r="171" spans="2:12" ht="28.2" customHeight="1" x14ac:dyDescent="0.25">
      <c r="B171" s="76" t="s">
        <v>5</v>
      </c>
      <c r="C171" s="147" t="s">
        <v>413</v>
      </c>
      <c r="D171" s="148" t="s">
        <v>414</v>
      </c>
      <c r="E171" s="48">
        <v>418784</v>
      </c>
      <c r="F171" s="39">
        <v>418784</v>
      </c>
      <c r="G171" s="39">
        <f>ROUND(F171,0)-78842</f>
        <v>339942</v>
      </c>
      <c r="H171" s="38">
        <f t="shared" si="54"/>
        <v>-78842</v>
      </c>
      <c r="I171" s="378" t="s">
        <v>415</v>
      </c>
      <c r="J171" s="39">
        <f t="shared" si="67"/>
        <v>339942</v>
      </c>
      <c r="K171" s="38">
        <f t="shared" si="56"/>
        <v>0</v>
      </c>
      <c r="L171" s="378"/>
    </row>
    <row r="172" spans="2:12" ht="28.2" customHeight="1" x14ac:dyDescent="0.25">
      <c r="B172" s="76" t="s">
        <v>5</v>
      </c>
      <c r="C172" s="147" t="s">
        <v>416</v>
      </c>
      <c r="D172" s="148" t="s">
        <v>417</v>
      </c>
      <c r="E172" s="48">
        <v>1825310</v>
      </c>
      <c r="F172" s="39">
        <v>1825310</v>
      </c>
      <c r="G172" s="39">
        <f>ROUND(F172,0)+78842</f>
        <v>1904152</v>
      </c>
      <c r="H172" s="38">
        <f t="shared" si="54"/>
        <v>78842</v>
      </c>
      <c r="I172" s="379"/>
      <c r="J172" s="39">
        <f t="shared" si="67"/>
        <v>1904152</v>
      </c>
      <c r="K172" s="38">
        <f t="shared" si="56"/>
        <v>0</v>
      </c>
      <c r="L172" s="379"/>
    </row>
    <row r="173" spans="2:12" ht="18.600000000000001" customHeight="1" outlineLevel="1" x14ac:dyDescent="0.25">
      <c r="B173" s="76" t="s">
        <v>5</v>
      </c>
      <c r="C173" s="147" t="s">
        <v>418</v>
      </c>
      <c r="D173" s="148" t="s">
        <v>419</v>
      </c>
      <c r="E173" s="48"/>
      <c r="F173" s="39"/>
      <c r="G173" s="39">
        <f t="shared" ref="G173:G179" si="68">ROUND(E173,0)</f>
        <v>0</v>
      </c>
      <c r="H173" s="38">
        <f t="shared" si="54"/>
        <v>0</v>
      </c>
      <c r="I173" s="146"/>
      <c r="J173" s="39">
        <f t="shared" ref="J173:J179" si="69">ROUND(H173,0)</f>
        <v>0</v>
      </c>
      <c r="K173" s="38">
        <f t="shared" si="56"/>
        <v>0</v>
      </c>
      <c r="L173" s="146"/>
    </row>
    <row r="174" spans="2:12" ht="43.5" customHeight="1" outlineLevel="1" x14ac:dyDescent="0.25">
      <c r="B174" s="76" t="s">
        <v>5</v>
      </c>
      <c r="C174" s="147" t="s">
        <v>420</v>
      </c>
      <c r="D174" s="148" t="s">
        <v>421</v>
      </c>
      <c r="E174" s="48"/>
      <c r="F174" s="39"/>
      <c r="G174" s="39">
        <f t="shared" si="68"/>
        <v>0</v>
      </c>
      <c r="H174" s="38">
        <f t="shared" si="54"/>
        <v>0</v>
      </c>
      <c r="I174" s="146"/>
      <c r="J174" s="39">
        <f t="shared" si="69"/>
        <v>0</v>
      </c>
      <c r="K174" s="38">
        <f t="shared" si="56"/>
        <v>0</v>
      </c>
      <c r="L174" s="146"/>
    </row>
    <row r="175" spans="2:12" ht="25.95" customHeight="1" outlineLevel="1" x14ac:dyDescent="0.25">
      <c r="B175" s="76" t="s">
        <v>5</v>
      </c>
      <c r="C175" s="147" t="s">
        <v>422</v>
      </c>
      <c r="D175" s="148" t="s">
        <v>423</v>
      </c>
      <c r="E175" s="48"/>
      <c r="F175" s="39"/>
      <c r="G175" s="39">
        <f t="shared" si="68"/>
        <v>0</v>
      </c>
      <c r="H175" s="38">
        <f t="shared" si="54"/>
        <v>0</v>
      </c>
      <c r="I175" s="146"/>
      <c r="J175" s="39">
        <f t="shared" si="69"/>
        <v>0</v>
      </c>
      <c r="K175" s="38">
        <f t="shared" si="56"/>
        <v>0</v>
      </c>
      <c r="L175" s="146"/>
    </row>
    <row r="176" spans="2:12" ht="45.6" customHeight="1" outlineLevel="1" x14ac:dyDescent="0.25">
      <c r="B176" s="76" t="s">
        <v>5</v>
      </c>
      <c r="C176" s="147" t="s">
        <v>424</v>
      </c>
      <c r="D176" s="148" t="s">
        <v>425</v>
      </c>
      <c r="E176" s="48"/>
      <c r="F176" s="39"/>
      <c r="G176" s="39">
        <f t="shared" si="68"/>
        <v>0</v>
      </c>
      <c r="H176" s="38">
        <f t="shared" si="54"/>
        <v>0</v>
      </c>
      <c r="I176" s="146"/>
      <c r="J176" s="39">
        <f t="shared" si="69"/>
        <v>0</v>
      </c>
      <c r="K176" s="38">
        <f t="shared" si="56"/>
        <v>0</v>
      </c>
      <c r="L176" s="146"/>
    </row>
    <row r="177" spans="2:12" ht="18.600000000000001" customHeight="1" outlineLevel="1" x14ac:dyDescent="0.25">
      <c r="B177" s="76" t="s">
        <v>426</v>
      </c>
      <c r="C177" s="147" t="s">
        <v>427</v>
      </c>
      <c r="D177" s="148" t="s">
        <v>428</v>
      </c>
      <c r="E177" s="48"/>
      <c r="F177" s="39"/>
      <c r="G177" s="39">
        <f t="shared" si="68"/>
        <v>0</v>
      </c>
      <c r="H177" s="38">
        <f t="shared" si="54"/>
        <v>0</v>
      </c>
      <c r="I177" s="146"/>
      <c r="J177" s="39">
        <f t="shared" si="69"/>
        <v>0</v>
      </c>
      <c r="K177" s="38">
        <f t="shared" si="56"/>
        <v>0</v>
      </c>
      <c r="L177" s="146"/>
    </row>
    <row r="178" spans="2:12" ht="29.4" customHeight="1" outlineLevel="1" x14ac:dyDescent="0.25">
      <c r="B178" s="76"/>
      <c r="C178" s="147" t="s">
        <v>429</v>
      </c>
      <c r="D178" s="148" t="s">
        <v>430</v>
      </c>
      <c r="E178" s="48">
        <v>0</v>
      </c>
      <c r="F178" s="39">
        <v>0</v>
      </c>
      <c r="G178" s="39">
        <f t="shared" si="68"/>
        <v>0</v>
      </c>
      <c r="H178" s="38">
        <f t="shared" si="54"/>
        <v>0</v>
      </c>
      <c r="I178" s="146"/>
      <c r="J178" s="39">
        <f t="shared" si="69"/>
        <v>0</v>
      </c>
      <c r="K178" s="38">
        <f t="shared" si="56"/>
        <v>0</v>
      </c>
      <c r="L178" s="146"/>
    </row>
    <row r="179" spans="2:12" ht="29.4" customHeight="1" outlineLevel="1" x14ac:dyDescent="0.25">
      <c r="B179" s="76" t="s">
        <v>431</v>
      </c>
      <c r="C179" s="147" t="s">
        <v>432</v>
      </c>
      <c r="D179" s="148" t="s">
        <v>433</v>
      </c>
      <c r="E179" s="48">
        <v>0</v>
      </c>
      <c r="F179" s="39">
        <v>0</v>
      </c>
      <c r="G179" s="39">
        <f t="shared" si="68"/>
        <v>0</v>
      </c>
      <c r="H179" s="38">
        <f t="shared" si="54"/>
        <v>0</v>
      </c>
      <c r="I179" s="41"/>
      <c r="J179" s="39">
        <f t="shared" si="69"/>
        <v>0</v>
      </c>
      <c r="K179" s="38">
        <f t="shared" si="56"/>
        <v>0</v>
      </c>
      <c r="L179" s="41"/>
    </row>
    <row r="180" spans="2:12" x14ac:dyDescent="0.25">
      <c r="C180" s="137" t="s">
        <v>55</v>
      </c>
      <c r="D180" s="138" t="s">
        <v>434</v>
      </c>
      <c r="E180" s="164">
        <v>2552007</v>
      </c>
      <c r="F180" s="44">
        <v>2552007</v>
      </c>
      <c r="G180" s="45">
        <f>SUM(G181,G186:G190)+G193+G194</f>
        <v>2552007</v>
      </c>
      <c r="H180" s="44">
        <f t="shared" si="54"/>
        <v>0</v>
      </c>
      <c r="I180" s="44"/>
      <c r="J180" s="45">
        <f>SUM(J181,J186:J190)+J193+J194</f>
        <v>2536621</v>
      </c>
      <c r="K180" s="44">
        <f t="shared" si="56"/>
        <v>-15386</v>
      </c>
      <c r="L180" s="44"/>
    </row>
    <row r="181" spans="2:12" ht="23.25" customHeight="1" x14ac:dyDescent="0.25">
      <c r="C181" s="133" t="s">
        <v>58</v>
      </c>
      <c r="D181" s="134" t="s">
        <v>435</v>
      </c>
      <c r="E181" s="81">
        <v>1535520</v>
      </c>
      <c r="F181" s="62">
        <v>1535520</v>
      </c>
      <c r="G181" s="62">
        <f>SUM(G182:G185)</f>
        <v>1535520</v>
      </c>
      <c r="H181" s="62">
        <f t="shared" si="54"/>
        <v>0</v>
      </c>
      <c r="I181" s="62">
        <f>SUM(I182:I185)</f>
        <v>0</v>
      </c>
      <c r="J181" s="62">
        <f>SUM(J182:J185)</f>
        <v>1535520</v>
      </c>
      <c r="K181" s="62">
        <f t="shared" si="56"/>
        <v>0</v>
      </c>
      <c r="L181" s="62">
        <f>SUM(L182:L185)</f>
        <v>0</v>
      </c>
    </row>
    <row r="182" spans="2:12" ht="15.75" customHeight="1" x14ac:dyDescent="0.25">
      <c r="B182" s="76" t="s">
        <v>436</v>
      </c>
      <c r="C182" s="140" t="s">
        <v>61</v>
      </c>
      <c r="D182" s="141" t="s">
        <v>437</v>
      </c>
      <c r="E182" s="48">
        <v>793277</v>
      </c>
      <c r="F182" s="39">
        <v>793277</v>
      </c>
      <c r="G182" s="39">
        <f t="shared" ref="G182:G189" si="70">ROUND(F182,0)</f>
        <v>793277</v>
      </c>
      <c r="H182" s="38">
        <f t="shared" si="54"/>
        <v>0</v>
      </c>
      <c r="I182" s="146"/>
      <c r="J182" s="39">
        <f t="shared" ref="J182:J185" si="71">ROUND(G182,0)</f>
        <v>793277</v>
      </c>
      <c r="K182" s="38">
        <f t="shared" si="56"/>
        <v>0</v>
      </c>
      <c r="L182" s="146"/>
    </row>
    <row r="183" spans="2:12" ht="14.25" customHeight="1" x14ac:dyDescent="0.25">
      <c r="B183" s="76" t="s">
        <v>438</v>
      </c>
      <c r="C183" s="140" t="s">
        <v>64</v>
      </c>
      <c r="D183" s="141" t="s">
        <v>439</v>
      </c>
      <c r="E183" s="48">
        <v>526028</v>
      </c>
      <c r="F183" s="39">
        <v>526028</v>
      </c>
      <c r="G183" s="39">
        <f t="shared" si="70"/>
        <v>526028</v>
      </c>
      <c r="H183" s="38">
        <f t="shared" si="54"/>
        <v>0</v>
      </c>
      <c r="I183" s="146"/>
      <c r="J183" s="39">
        <f t="shared" si="71"/>
        <v>526028</v>
      </c>
      <c r="K183" s="38">
        <f t="shared" si="56"/>
        <v>0</v>
      </c>
      <c r="L183" s="146"/>
    </row>
    <row r="184" spans="2:12" ht="24.6" customHeight="1" x14ac:dyDescent="0.25">
      <c r="B184" s="76" t="s">
        <v>440</v>
      </c>
      <c r="C184" s="140" t="s">
        <v>67</v>
      </c>
      <c r="D184" s="141" t="s">
        <v>441</v>
      </c>
      <c r="E184" s="48">
        <v>185916</v>
      </c>
      <c r="F184" s="39">
        <v>185916</v>
      </c>
      <c r="G184" s="39">
        <f t="shared" si="70"/>
        <v>185916</v>
      </c>
      <c r="H184" s="38">
        <f t="shared" si="54"/>
        <v>0</v>
      </c>
      <c r="I184" s="41"/>
      <c r="J184" s="39">
        <f t="shared" si="71"/>
        <v>185916</v>
      </c>
      <c r="K184" s="38">
        <f t="shared" si="56"/>
        <v>0</v>
      </c>
      <c r="L184" s="41"/>
    </row>
    <row r="185" spans="2:12" ht="23.25" customHeight="1" x14ac:dyDescent="0.25">
      <c r="B185" s="76" t="s">
        <v>442</v>
      </c>
      <c r="C185" s="140" t="s">
        <v>443</v>
      </c>
      <c r="D185" s="141" t="s">
        <v>444</v>
      </c>
      <c r="E185" s="165">
        <v>30299</v>
      </c>
      <c r="F185" s="78">
        <v>30299</v>
      </c>
      <c r="G185" s="78">
        <f t="shared" si="70"/>
        <v>30299</v>
      </c>
      <c r="H185" s="38">
        <f t="shared" si="54"/>
        <v>0</v>
      </c>
      <c r="I185" s="166"/>
      <c r="J185" s="78">
        <f t="shared" si="71"/>
        <v>30299</v>
      </c>
      <c r="K185" s="38">
        <f t="shared" si="56"/>
        <v>0</v>
      </c>
      <c r="L185" s="166"/>
    </row>
    <row r="186" spans="2:12" ht="29.4" hidden="1" customHeight="1" outlineLevel="1" x14ac:dyDescent="0.25">
      <c r="B186" s="76" t="s">
        <v>445</v>
      </c>
      <c r="C186" s="167" t="s">
        <v>70</v>
      </c>
      <c r="D186" s="168" t="s">
        <v>446</v>
      </c>
      <c r="E186" s="81"/>
      <c r="F186" s="62"/>
      <c r="G186" s="62">
        <f t="shared" si="70"/>
        <v>0</v>
      </c>
      <c r="H186" s="61">
        <f t="shared" si="54"/>
        <v>0</v>
      </c>
      <c r="I186" s="169" t="s">
        <v>447</v>
      </c>
      <c r="J186" s="62"/>
      <c r="K186" s="61">
        <f t="shared" si="56"/>
        <v>0</v>
      </c>
      <c r="L186" s="82"/>
    </row>
    <row r="187" spans="2:12" ht="27" hidden="1" customHeight="1" outlineLevel="1" x14ac:dyDescent="0.25">
      <c r="B187" s="76" t="s">
        <v>448</v>
      </c>
      <c r="C187" s="167" t="s">
        <v>449</v>
      </c>
      <c r="D187" s="168" t="s">
        <v>450</v>
      </c>
      <c r="E187" s="81"/>
      <c r="F187" s="62"/>
      <c r="G187" s="62">
        <f t="shared" si="70"/>
        <v>0</v>
      </c>
      <c r="H187" s="61">
        <f t="shared" si="54"/>
        <v>0</v>
      </c>
      <c r="I187" s="82"/>
      <c r="J187" s="62"/>
      <c r="K187" s="61">
        <f t="shared" si="56"/>
        <v>0</v>
      </c>
      <c r="L187" s="82"/>
    </row>
    <row r="188" spans="2:12" ht="15" customHeight="1" collapsed="1" x14ac:dyDescent="0.25">
      <c r="B188" s="76" t="s">
        <v>451</v>
      </c>
      <c r="C188" s="133" t="s">
        <v>70</v>
      </c>
      <c r="D188" s="134" t="s">
        <v>452</v>
      </c>
      <c r="E188" s="81">
        <v>158076</v>
      </c>
      <c r="F188" s="62">
        <v>158076</v>
      </c>
      <c r="G188" s="62">
        <f t="shared" si="70"/>
        <v>158076</v>
      </c>
      <c r="H188" s="61">
        <f t="shared" si="54"/>
        <v>0</v>
      </c>
      <c r="I188" s="170"/>
      <c r="J188" s="62">
        <f t="shared" ref="J188:J189" si="72">ROUND(G188,0)</f>
        <v>158076</v>
      </c>
      <c r="K188" s="61">
        <f t="shared" si="56"/>
        <v>0</v>
      </c>
      <c r="L188" s="170"/>
    </row>
    <row r="189" spans="2:12" ht="15.6" customHeight="1" x14ac:dyDescent="0.25">
      <c r="B189" s="76" t="s">
        <v>453</v>
      </c>
      <c r="C189" s="133" t="s">
        <v>449</v>
      </c>
      <c r="D189" s="134" t="s">
        <v>454</v>
      </c>
      <c r="E189" s="81">
        <v>73071</v>
      </c>
      <c r="F189" s="62">
        <v>73071</v>
      </c>
      <c r="G189" s="62">
        <f t="shared" si="70"/>
        <v>73071</v>
      </c>
      <c r="H189" s="61">
        <f t="shared" ref="H189:H252" si="73">G189-F189</f>
        <v>0</v>
      </c>
      <c r="I189" s="170"/>
      <c r="J189" s="62">
        <f t="shared" si="72"/>
        <v>73071</v>
      </c>
      <c r="K189" s="61">
        <f t="shared" ref="K189:K252" si="74">J189-G189</f>
        <v>0</v>
      </c>
      <c r="L189" s="170"/>
    </row>
    <row r="190" spans="2:12" ht="15" customHeight="1" x14ac:dyDescent="0.25">
      <c r="B190" s="76" t="s">
        <v>276</v>
      </c>
      <c r="C190" s="133" t="s">
        <v>455</v>
      </c>
      <c r="D190" s="134" t="s">
        <v>456</v>
      </c>
      <c r="E190" s="81">
        <v>762112</v>
      </c>
      <c r="F190" s="62">
        <v>762112</v>
      </c>
      <c r="G190" s="62">
        <f t="shared" ref="G190" si="75">G191+G192</f>
        <v>762112</v>
      </c>
      <c r="H190" s="61">
        <f t="shared" si="73"/>
        <v>0</v>
      </c>
      <c r="I190" s="82"/>
      <c r="J190" s="62">
        <f t="shared" ref="J190" si="76">J191+J192</f>
        <v>746726</v>
      </c>
      <c r="K190" s="61">
        <f t="shared" si="74"/>
        <v>-15386</v>
      </c>
      <c r="L190" s="82"/>
    </row>
    <row r="191" spans="2:12" ht="25.95" customHeight="1" x14ac:dyDescent="0.25">
      <c r="B191" s="76"/>
      <c r="C191" s="171" t="s">
        <v>457</v>
      </c>
      <c r="D191" s="141" t="s">
        <v>458</v>
      </c>
      <c r="E191" s="165">
        <v>454642</v>
      </c>
      <c r="F191" s="78">
        <v>454642</v>
      </c>
      <c r="G191" s="78">
        <f>ROUND(F191,0)+10459</f>
        <v>465101</v>
      </c>
      <c r="H191" s="163">
        <f t="shared" si="73"/>
        <v>10459</v>
      </c>
      <c r="I191" s="380" t="s">
        <v>459</v>
      </c>
      <c r="J191" s="78">
        <f>ROUND(G191,0)+650</f>
        <v>465751</v>
      </c>
      <c r="K191" s="163">
        <f t="shared" si="74"/>
        <v>650</v>
      </c>
      <c r="L191" s="52" t="s">
        <v>316</v>
      </c>
    </row>
    <row r="192" spans="2:12" ht="54" customHeight="1" x14ac:dyDescent="0.25">
      <c r="B192" s="76"/>
      <c r="C192" s="171" t="s">
        <v>460</v>
      </c>
      <c r="D192" s="141" t="s">
        <v>461</v>
      </c>
      <c r="E192" s="165">
        <v>307470</v>
      </c>
      <c r="F192" s="78">
        <v>307470</v>
      </c>
      <c r="G192" s="78">
        <f>ROUND(F192,0)-10459</f>
        <v>297011</v>
      </c>
      <c r="H192" s="163">
        <f t="shared" si="73"/>
        <v>-10459</v>
      </c>
      <c r="I192" s="381"/>
      <c r="J192" s="78">
        <f>ROUND(G192,0)-14715-1321</f>
        <v>280975</v>
      </c>
      <c r="K192" s="163">
        <f t="shared" si="74"/>
        <v>-16036</v>
      </c>
      <c r="L192" s="172" t="s">
        <v>462</v>
      </c>
    </row>
    <row r="193" spans="2:12" ht="15.6" customHeight="1" x14ac:dyDescent="0.25">
      <c r="B193" s="76" t="s">
        <v>463</v>
      </c>
      <c r="C193" s="133" t="s">
        <v>464</v>
      </c>
      <c r="D193" s="134" t="s">
        <v>465</v>
      </c>
      <c r="E193" s="81">
        <v>4000</v>
      </c>
      <c r="F193" s="62">
        <v>4000</v>
      </c>
      <c r="G193" s="62">
        <f>ROUND(F193,0)</f>
        <v>4000</v>
      </c>
      <c r="H193" s="61">
        <f t="shared" si="73"/>
        <v>0</v>
      </c>
      <c r="I193" s="136"/>
      <c r="J193" s="62">
        <f t="shared" ref="J193:J194" si="77">ROUND(G193,0)</f>
        <v>4000</v>
      </c>
      <c r="K193" s="61">
        <f t="shared" si="74"/>
        <v>0</v>
      </c>
      <c r="L193" s="136"/>
    </row>
    <row r="194" spans="2:12" ht="15.6" customHeight="1" x14ac:dyDescent="0.25">
      <c r="B194" s="76" t="s">
        <v>466</v>
      </c>
      <c r="C194" s="133" t="s">
        <v>467</v>
      </c>
      <c r="D194" s="134" t="s">
        <v>468</v>
      </c>
      <c r="E194" s="81">
        <v>19228</v>
      </c>
      <c r="F194" s="62">
        <v>19228</v>
      </c>
      <c r="G194" s="62">
        <f>ROUND(F194,0)</f>
        <v>19228</v>
      </c>
      <c r="H194" s="61">
        <f t="shared" si="73"/>
        <v>0</v>
      </c>
      <c r="I194" s="136"/>
      <c r="J194" s="62">
        <f t="shared" si="77"/>
        <v>19228</v>
      </c>
      <c r="K194" s="61">
        <f t="shared" si="74"/>
        <v>0</v>
      </c>
      <c r="L194" s="136"/>
    </row>
    <row r="195" spans="2:12" s="125" customFormat="1" ht="15.6" customHeight="1" x14ac:dyDescent="0.25">
      <c r="C195" s="137" t="s">
        <v>91</v>
      </c>
      <c r="D195" s="138" t="s">
        <v>469</v>
      </c>
      <c r="E195" s="164">
        <v>3538928</v>
      </c>
      <c r="F195" s="44">
        <v>3538928</v>
      </c>
      <c r="G195" s="44">
        <f>G196+G202+G205+G210+G211+G212+G213+G214</f>
        <v>3546428</v>
      </c>
      <c r="H195" s="44">
        <f t="shared" si="73"/>
        <v>7500</v>
      </c>
      <c r="I195" s="44"/>
      <c r="J195" s="44">
        <f>J196+J202+J205+J210+J211+J212+J213+J214</f>
        <v>3546428</v>
      </c>
      <c r="K195" s="44">
        <f t="shared" si="74"/>
        <v>0</v>
      </c>
      <c r="L195" s="44"/>
    </row>
    <row r="196" spans="2:12" s="125" customFormat="1" ht="15" customHeight="1" x14ac:dyDescent="0.25">
      <c r="C196" s="133" t="s">
        <v>94</v>
      </c>
      <c r="D196" s="134" t="s">
        <v>470</v>
      </c>
      <c r="E196" s="173">
        <v>2760943</v>
      </c>
      <c r="F196" s="61">
        <v>2760943</v>
      </c>
      <c r="G196" s="61">
        <f>SUM(G197:G201)</f>
        <v>2768443</v>
      </c>
      <c r="H196" s="61">
        <f t="shared" si="73"/>
        <v>7500</v>
      </c>
      <c r="I196" s="61"/>
      <c r="J196" s="61">
        <f>SUM(J197:J201)</f>
        <v>2768443</v>
      </c>
      <c r="K196" s="61">
        <f t="shared" si="74"/>
        <v>0</v>
      </c>
      <c r="L196" s="61"/>
    </row>
    <row r="197" spans="2:12" s="174" customFormat="1" ht="33.6" customHeight="1" outlineLevel="1" x14ac:dyDescent="0.25">
      <c r="B197" s="174" t="s">
        <v>471</v>
      </c>
      <c r="C197" s="171" t="s">
        <v>472</v>
      </c>
      <c r="D197" s="175" t="s">
        <v>473</v>
      </c>
      <c r="E197" s="177">
        <v>638988</v>
      </c>
      <c r="F197" s="176">
        <v>638988</v>
      </c>
      <c r="G197" s="176">
        <f>ROUND(F197,0)+7500</f>
        <v>646488</v>
      </c>
      <c r="H197" s="163">
        <f t="shared" si="73"/>
        <v>7500</v>
      </c>
      <c r="I197" s="80" t="s">
        <v>177</v>
      </c>
      <c r="J197" s="176">
        <f t="shared" ref="J197:J201" si="78">ROUND(G197,0)</f>
        <v>646488</v>
      </c>
      <c r="K197" s="163">
        <f t="shared" si="74"/>
        <v>0</v>
      </c>
      <c r="L197" s="80"/>
    </row>
    <row r="198" spans="2:12" s="174" customFormat="1" ht="45" customHeight="1" outlineLevel="1" x14ac:dyDescent="0.25">
      <c r="B198" s="178" t="s">
        <v>474</v>
      </c>
      <c r="C198" s="171" t="s">
        <v>475</v>
      </c>
      <c r="D198" s="175" t="s">
        <v>476</v>
      </c>
      <c r="E198" s="177">
        <v>1540233</v>
      </c>
      <c r="F198" s="176">
        <v>1540233</v>
      </c>
      <c r="G198" s="176">
        <f t="shared" ref="G198:G236" si="79">ROUND(F198,0)</f>
        <v>1540233</v>
      </c>
      <c r="H198" s="163">
        <f t="shared" si="73"/>
        <v>0</v>
      </c>
      <c r="I198" s="41"/>
      <c r="J198" s="176">
        <f t="shared" si="78"/>
        <v>1540233</v>
      </c>
      <c r="K198" s="163">
        <f t="shared" si="74"/>
        <v>0</v>
      </c>
      <c r="L198" s="41"/>
    </row>
    <row r="199" spans="2:12" s="174" customFormat="1" ht="17.399999999999999" customHeight="1" outlineLevel="1" x14ac:dyDescent="0.25">
      <c r="B199" s="174">
        <v>1010</v>
      </c>
      <c r="C199" s="171" t="s">
        <v>477</v>
      </c>
      <c r="D199" s="175" t="s">
        <v>478</v>
      </c>
      <c r="E199" s="177">
        <v>0</v>
      </c>
      <c r="F199" s="176">
        <v>0</v>
      </c>
      <c r="G199" s="176">
        <f t="shared" si="79"/>
        <v>0</v>
      </c>
      <c r="H199" s="163">
        <f t="shared" si="73"/>
        <v>0</v>
      </c>
      <c r="I199" s="80"/>
      <c r="J199" s="176">
        <f t="shared" si="78"/>
        <v>0</v>
      </c>
      <c r="K199" s="163">
        <f t="shared" si="74"/>
        <v>0</v>
      </c>
      <c r="L199" s="80"/>
    </row>
    <row r="200" spans="2:12" s="174" customFormat="1" outlineLevel="1" x14ac:dyDescent="0.25">
      <c r="B200" s="174">
        <v>1012</v>
      </c>
      <c r="C200" s="171" t="s">
        <v>479</v>
      </c>
      <c r="D200" s="175" t="s">
        <v>480</v>
      </c>
      <c r="E200" s="177">
        <v>580000</v>
      </c>
      <c r="F200" s="176">
        <v>580000</v>
      </c>
      <c r="G200" s="176">
        <f t="shared" si="79"/>
        <v>580000</v>
      </c>
      <c r="H200" s="163">
        <f t="shared" si="73"/>
        <v>0</v>
      </c>
      <c r="I200" s="179"/>
      <c r="J200" s="176">
        <f t="shared" si="78"/>
        <v>580000</v>
      </c>
      <c r="K200" s="163">
        <f t="shared" si="74"/>
        <v>0</v>
      </c>
      <c r="L200" s="179"/>
    </row>
    <row r="201" spans="2:12" s="174" customFormat="1" outlineLevel="1" x14ac:dyDescent="0.25">
      <c r="C201" s="171" t="s">
        <v>481</v>
      </c>
      <c r="D201" s="175" t="s">
        <v>482</v>
      </c>
      <c r="E201" s="177">
        <v>1722</v>
      </c>
      <c r="F201" s="176">
        <v>1722</v>
      </c>
      <c r="G201" s="176">
        <f t="shared" si="79"/>
        <v>1722</v>
      </c>
      <c r="H201" s="163">
        <f t="shared" si="73"/>
        <v>0</v>
      </c>
      <c r="I201" s="179"/>
      <c r="J201" s="176">
        <f t="shared" si="78"/>
        <v>1722</v>
      </c>
      <c r="K201" s="163">
        <f t="shared" si="74"/>
        <v>0</v>
      </c>
      <c r="L201" s="179"/>
    </row>
    <row r="202" spans="2:12" s="125" customFormat="1" ht="19.5" customHeight="1" x14ac:dyDescent="0.25">
      <c r="C202" s="133" t="s">
        <v>96</v>
      </c>
      <c r="D202" s="134" t="s">
        <v>483</v>
      </c>
      <c r="E202" s="81">
        <v>14883</v>
      </c>
      <c r="F202" s="62">
        <v>14883</v>
      </c>
      <c r="G202" s="62">
        <f>G203+G204</f>
        <v>14883</v>
      </c>
      <c r="H202" s="61">
        <f t="shared" si="73"/>
        <v>0</v>
      </c>
      <c r="I202" s="82"/>
      <c r="J202" s="62">
        <f>J203+J204</f>
        <v>14883</v>
      </c>
      <c r="K202" s="61">
        <f t="shared" si="74"/>
        <v>0</v>
      </c>
      <c r="L202" s="82"/>
    </row>
    <row r="203" spans="2:12" s="174" customFormat="1" outlineLevel="1" x14ac:dyDescent="0.25">
      <c r="B203" s="174">
        <v>1011</v>
      </c>
      <c r="C203" s="180" t="s">
        <v>484</v>
      </c>
      <c r="D203" s="175" t="s">
        <v>485</v>
      </c>
      <c r="E203" s="177">
        <v>1407</v>
      </c>
      <c r="F203" s="176">
        <v>1407</v>
      </c>
      <c r="G203" s="176">
        <f t="shared" si="79"/>
        <v>1407</v>
      </c>
      <c r="H203" s="163">
        <f t="shared" si="73"/>
        <v>0</v>
      </c>
      <c r="I203" s="179"/>
      <c r="J203" s="176">
        <f t="shared" ref="J203:J204" si="80">ROUND(G203,0)</f>
        <v>1407</v>
      </c>
      <c r="K203" s="163">
        <f t="shared" si="74"/>
        <v>0</v>
      </c>
      <c r="L203" s="179"/>
    </row>
    <row r="204" spans="2:12" s="174" customFormat="1" outlineLevel="1" x14ac:dyDescent="0.25">
      <c r="B204" s="174">
        <v>1011</v>
      </c>
      <c r="C204" s="180" t="s">
        <v>486</v>
      </c>
      <c r="D204" s="175" t="s">
        <v>487</v>
      </c>
      <c r="E204" s="177">
        <v>13476</v>
      </c>
      <c r="F204" s="176">
        <v>13476</v>
      </c>
      <c r="G204" s="176">
        <f t="shared" si="79"/>
        <v>13476</v>
      </c>
      <c r="H204" s="163">
        <f t="shared" si="73"/>
        <v>0</v>
      </c>
      <c r="I204" s="179"/>
      <c r="J204" s="176">
        <f t="shared" si="80"/>
        <v>13476</v>
      </c>
      <c r="K204" s="163">
        <f t="shared" si="74"/>
        <v>0</v>
      </c>
      <c r="L204" s="179"/>
    </row>
    <row r="205" spans="2:12" s="125" customFormat="1" ht="26.25" customHeight="1" x14ac:dyDescent="0.25">
      <c r="C205" s="133" t="s">
        <v>488</v>
      </c>
      <c r="D205" s="134" t="s">
        <v>489</v>
      </c>
      <c r="E205" s="63">
        <v>444938</v>
      </c>
      <c r="F205" s="64">
        <v>444938</v>
      </c>
      <c r="G205" s="64">
        <f t="shared" ref="G205" si="81">SUM(G206:G209)</f>
        <v>444938</v>
      </c>
      <c r="H205" s="65">
        <f t="shared" si="73"/>
        <v>0</v>
      </c>
      <c r="I205" s="136"/>
      <c r="J205" s="64">
        <f t="shared" ref="J205" si="82">SUM(J206:J209)</f>
        <v>444938</v>
      </c>
      <c r="K205" s="65">
        <f t="shared" si="74"/>
        <v>0</v>
      </c>
      <c r="L205" s="136"/>
    </row>
    <row r="206" spans="2:12" s="125" customFormat="1" ht="15" customHeight="1" x14ac:dyDescent="0.25">
      <c r="B206" s="1" t="s">
        <v>490</v>
      </c>
      <c r="C206" s="181" t="s">
        <v>491</v>
      </c>
      <c r="D206" s="182" t="s">
        <v>492</v>
      </c>
      <c r="E206" s="48">
        <v>432274</v>
      </c>
      <c r="F206" s="39">
        <v>432274</v>
      </c>
      <c r="G206" s="39">
        <f t="shared" si="79"/>
        <v>432274</v>
      </c>
      <c r="H206" s="38">
        <f t="shared" si="73"/>
        <v>0</v>
      </c>
      <c r="I206" s="40"/>
      <c r="J206" s="39">
        <f t="shared" ref="J206:J214" si="83">ROUND(G206,0)</f>
        <v>432274</v>
      </c>
      <c r="K206" s="38">
        <f t="shared" si="74"/>
        <v>0</v>
      </c>
      <c r="L206" s="40"/>
    </row>
    <row r="207" spans="2:12" s="125" customFormat="1" ht="15" customHeight="1" x14ac:dyDescent="0.25">
      <c r="B207" s="1" t="s">
        <v>490</v>
      </c>
      <c r="C207" s="181" t="s">
        <v>493</v>
      </c>
      <c r="D207" s="182" t="s">
        <v>494</v>
      </c>
      <c r="E207" s="48">
        <v>12664</v>
      </c>
      <c r="F207" s="39">
        <v>12664</v>
      </c>
      <c r="G207" s="39">
        <f t="shared" si="79"/>
        <v>12664</v>
      </c>
      <c r="H207" s="38">
        <f t="shared" si="73"/>
        <v>0</v>
      </c>
      <c r="I207" s="40"/>
      <c r="J207" s="39">
        <f t="shared" si="83"/>
        <v>12664</v>
      </c>
      <c r="K207" s="38">
        <f t="shared" si="74"/>
        <v>0</v>
      </c>
      <c r="L207" s="40"/>
    </row>
    <row r="208" spans="2:12" s="125" customFormat="1" ht="15.75" customHeight="1" x14ac:dyDescent="0.25">
      <c r="B208" s="1" t="s">
        <v>490</v>
      </c>
      <c r="C208" s="183" t="s">
        <v>495</v>
      </c>
      <c r="D208" s="182" t="s">
        <v>496</v>
      </c>
      <c r="E208" s="48">
        <v>0</v>
      </c>
      <c r="F208" s="39">
        <v>0</v>
      </c>
      <c r="G208" s="39">
        <f t="shared" si="79"/>
        <v>0</v>
      </c>
      <c r="H208" s="38">
        <f t="shared" si="73"/>
        <v>0</v>
      </c>
      <c r="I208" s="40"/>
      <c r="J208" s="39">
        <f t="shared" si="83"/>
        <v>0</v>
      </c>
      <c r="K208" s="38">
        <f t="shared" si="74"/>
        <v>0</v>
      </c>
      <c r="L208" s="40"/>
    </row>
    <row r="209" spans="2:12" s="125" customFormat="1" ht="15.6" customHeight="1" x14ac:dyDescent="0.25">
      <c r="B209" s="1" t="s">
        <v>497</v>
      </c>
      <c r="C209" s="181" t="s">
        <v>498</v>
      </c>
      <c r="D209" s="182" t="s">
        <v>499</v>
      </c>
      <c r="E209" s="48">
        <v>0</v>
      </c>
      <c r="F209" s="39">
        <v>0</v>
      </c>
      <c r="G209" s="39">
        <f t="shared" si="79"/>
        <v>0</v>
      </c>
      <c r="H209" s="38">
        <f t="shared" si="73"/>
        <v>0</v>
      </c>
      <c r="I209" s="40"/>
      <c r="J209" s="39">
        <f t="shared" si="83"/>
        <v>0</v>
      </c>
      <c r="K209" s="38">
        <f t="shared" si="74"/>
        <v>0</v>
      </c>
      <c r="L209" s="40"/>
    </row>
    <row r="210" spans="2:12" s="125" customFormat="1" ht="16.2" customHeight="1" x14ac:dyDescent="0.25">
      <c r="C210" s="133" t="s">
        <v>500</v>
      </c>
      <c r="D210" s="134" t="s">
        <v>501</v>
      </c>
      <c r="E210" s="81">
        <v>158418</v>
      </c>
      <c r="F210" s="62">
        <v>158418</v>
      </c>
      <c r="G210" s="62">
        <f t="shared" si="79"/>
        <v>158418</v>
      </c>
      <c r="H210" s="61">
        <f t="shared" si="73"/>
        <v>0</v>
      </c>
      <c r="I210" s="136"/>
      <c r="J210" s="62">
        <f t="shared" si="83"/>
        <v>158418</v>
      </c>
      <c r="K210" s="61">
        <f t="shared" si="74"/>
        <v>0</v>
      </c>
      <c r="L210" s="136"/>
    </row>
    <row r="211" spans="2:12" s="125" customFormat="1" ht="16.5" customHeight="1" x14ac:dyDescent="0.25">
      <c r="B211" s="1">
        <v>1016</v>
      </c>
      <c r="C211" s="133" t="s">
        <v>502</v>
      </c>
      <c r="D211" s="134" t="s">
        <v>167</v>
      </c>
      <c r="E211" s="81">
        <v>70604</v>
      </c>
      <c r="F211" s="62">
        <v>70604</v>
      </c>
      <c r="G211" s="62">
        <f t="shared" si="79"/>
        <v>70604</v>
      </c>
      <c r="H211" s="61">
        <f t="shared" si="73"/>
        <v>0</v>
      </c>
      <c r="I211" s="136"/>
      <c r="J211" s="62">
        <f t="shared" si="83"/>
        <v>70604</v>
      </c>
      <c r="K211" s="61">
        <f t="shared" si="74"/>
        <v>0</v>
      </c>
      <c r="L211" s="136"/>
    </row>
    <row r="212" spans="2:12" s="125" customFormat="1" ht="18.75" hidden="1" customHeight="1" outlineLevel="1" x14ac:dyDescent="0.25">
      <c r="B212" s="1">
        <v>1017</v>
      </c>
      <c r="C212" s="133" t="s">
        <v>503</v>
      </c>
      <c r="D212" s="168" t="s">
        <v>169</v>
      </c>
      <c r="E212" s="81">
        <v>0</v>
      </c>
      <c r="F212" s="62">
        <v>0</v>
      </c>
      <c r="G212" s="62">
        <f t="shared" si="79"/>
        <v>0</v>
      </c>
      <c r="H212" s="61">
        <f t="shared" si="73"/>
        <v>0</v>
      </c>
      <c r="I212" s="136"/>
      <c r="J212" s="62">
        <f t="shared" si="83"/>
        <v>0</v>
      </c>
      <c r="K212" s="61">
        <f t="shared" si="74"/>
        <v>0</v>
      </c>
      <c r="L212" s="136"/>
    </row>
    <row r="213" spans="2:12" s="125" customFormat="1" ht="45" customHeight="1" collapsed="1" x14ac:dyDescent="0.25">
      <c r="B213" s="1">
        <v>1018</v>
      </c>
      <c r="C213" s="133" t="s">
        <v>503</v>
      </c>
      <c r="D213" s="134" t="s">
        <v>504</v>
      </c>
      <c r="E213" s="81">
        <v>44312</v>
      </c>
      <c r="F213" s="62">
        <v>44312</v>
      </c>
      <c r="G213" s="62">
        <f t="shared" si="79"/>
        <v>44312</v>
      </c>
      <c r="H213" s="61">
        <f t="shared" si="73"/>
        <v>0</v>
      </c>
      <c r="I213" s="136"/>
      <c r="J213" s="62">
        <f t="shared" si="83"/>
        <v>44312</v>
      </c>
      <c r="K213" s="61">
        <f t="shared" si="74"/>
        <v>0</v>
      </c>
      <c r="L213" s="136"/>
    </row>
    <row r="214" spans="2:12" ht="43.5" customHeight="1" x14ac:dyDescent="0.25">
      <c r="B214" s="1" t="s">
        <v>505</v>
      </c>
      <c r="C214" s="133" t="s">
        <v>506</v>
      </c>
      <c r="D214" s="134" t="s">
        <v>206</v>
      </c>
      <c r="E214" s="81">
        <v>44830</v>
      </c>
      <c r="F214" s="62">
        <v>44830</v>
      </c>
      <c r="G214" s="62">
        <f t="shared" si="79"/>
        <v>44830</v>
      </c>
      <c r="H214" s="61">
        <f t="shared" si="73"/>
        <v>0</v>
      </c>
      <c r="I214" s="136"/>
      <c r="J214" s="62">
        <f t="shared" si="83"/>
        <v>44830</v>
      </c>
      <c r="K214" s="61">
        <f t="shared" si="74"/>
        <v>0</v>
      </c>
      <c r="L214" s="136"/>
    </row>
    <row r="215" spans="2:12" x14ac:dyDescent="0.25">
      <c r="C215" s="137" t="s">
        <v>99</v>
      </c>
      <c r="D215" s="138" t="s">
        <v>507</v>
      </c>
      <c r="E215" s="164">
        <v>33093948</v>
      </c>
      <c r="F215" s="44">
        <v>33093948</v>
      </c>
      <c r="G215" s="44">
        <f>G216+G217+G221+G225+G229+G233+G237+G248+G266+G269+G272+G273+G274+G275+G276+G277+G278+G279+G280</f>
        <v>33147236</v>
      </c>
      <c r="H215" s="44">
        <f t="shared" si="73"/>
        <v>53288</v>
      </c>
      <c r="I215" s="44"/>
      <c r="J215" s="44">
        <f>J216+J217+J221+J225+J229+J233+J237+J248+J266+J269+J272+J273+J274+J275+J276+J277+J278+J279+J280</f>
        <v>33285269</v>
      </c>
      <c r="K215" s="44">
        <f t="shared" si="74"/>
        <v>138033</v>
      </c>
      <c r="L215" s="44"/>
    </row>
    <row r="216" spans="2:12" ht="27.6" customHeight="1" x14ac:dyDescent="0.25">
      <c r="B216" s="184" t="s">
        <v>508</v>
      </c>
      <c r="C216" s="133" t="s">
        <v>102</v>
      </c>
      <c r="D216" s="142" t="s">
        <v>509</v>
      </c>
      <c r="E216" s="81">
        <v>851975</v>
      </c>
      <c r="F216" s="62">
        <v>851975</v>
      </c>
      <c r="G216" s="62">
        <f t="shared" si="79"/>
        <v>851975</v>
      </c>
      <c r="H216" s="61">
        <f t="shared" si="73"/>
        <v>0</v>
      </c>
      <c r="I216" s="82"/>
      <c r="J216" s="62">
        <f>ROUND(G216,0)</f>
        <v>851975</v>
      </c>
      <c r="K216" s="61">
        <f t="shared" si="74"/>
        <v>0</v>
      </c>
      <c r="L216" s="82"/>
    </row>
    <row r="217" spans="2:12" ht="17.399999999999999" customHeight="1" x14ac:dyDescent="0.25">
      <c r="C217" s="133" t="s">
        <v>105</v>
      </c>
      <c r="D217" s="142" t="s">
        <v>510</v>
      </c>
      <c r="E217" s="81">
        <v>2529158</v>
      </c>
      <c r="F217" s="62">
        <v>2529158</v>
      </c>
      <c r="G217" s="62">
        <f t="shared" ref="G217" si="84">SUM(G218:G220)</f>
        <v>2529158</v>
      </c>
      <c r="H217" s="61">
        <f t="shared" si="73"/>
        <v>0</v>
      </c>
      <c r="I217" s="136"/>
      <c r="J217" s="62">
        <f t="shared" ref="J217" si="85">SUM(J218:J220)</f>
        <v>2535967</v>
      </c>
      <c r="K217" s="61">
        <f t="shared" si="74"/>
        <v>6809</v>
      </c>
      <c r="L217" s="136"/>
    </row>
    <row r="218" spans="2:12" ht="25.2" customHeight="1" x14ac:dyDescent="0.25">
      <c r="B218" s="76" t="s">
        <v>511</v>
      </c>
      <c r="C218" s="140" t="s">
        <v>512</v>
      </c>
      <c r="D218" s="113" t="s">
        <v>513</v>
      </c>
      <c r="E218" s="187">
        <v>361243</v>
      </c>
      <c r="F218" s="186">
        <v>361243</v>
      </c>
      <c r="G218" s="186">
        <f t="shared" si="79"/>
        <v>361243</v>
      </c>
      <c r="H218" s="185">
        <f t="shared" si="73"/>
        <v>0</v>
      </c>
      <c r="I218" s="41"/>
      <c r="J218" s="186">
        <f>ROUND(G218,0)+6809</f>
        <v>368052</v>
      </c>
      <c r="K218" s="185">
        <f t="shared" si="74"/>
        <v>6809</v>
      </c>
      <c r="L218" s="41" t="s">
        <v>132</v>
      </c>
    </row>
    <row r="219" spans="2:12" ht="16.5" customHeight="1" x14ac:dyDescent="0.25">
      <c r="B219" s="76" t="s">
        <v>514</v>
      </c>
      <c r="C219" s="140" t="s">
        <v>515</v>
      </c>
      <c r="D219" s="113" t="s">
        <v>516</v>
      </c>
      <c r="E219" s="187">
        <v>1638439</v>
      </c>
      <c r="F219" s="186">
        <v>1638439</v>
      </c>
      <c r="G219" s="186">
        <f>ROUND(F219,0)+32443</f>
        <v>1670882</v>
      </c>
      <c r="H219" s="185">
        <f t="shared" si="73"/>
        <v>32443</v>
      </c>
      <c r="I219" s="380" t="s">
        <v>517</v>
      </c>
      <c r="J219" s="186">
        <f t="shared" ref="J219:J220" si="86">ROUND(G219,0)</f>
        <v>1670882</v>
      </c>
      <c r="K219" s="185">
        <f t="shared" si="74"/>
        <v>0</v>
      </c>
      <c r="L219" s="380"/>
    </row>
    <row r="220" spans="2:12" ht="17.25" customHeight="1" x14ac:dyDescent="0.25">
      <c r="B220" s="76"/>
      <c r="C220" s="140" t="s">
        <v>518</v>
      </c>
      <c r="D220" s="113" t="s">
        <v>519</v>
      </c>
      <c r="E220" s="187">
        <v>529476</v>
      </c>
      <c r="F220" s="186">
        <v>529476</v>
      </c>
      <c r="G220" s="186">
        <f>ROUND(F220,0)-32443</f>
        <v>497033</v>
      </c>
      <c r="H220" s="185">
        <f t="shared" si="73"/>
        <v>-32443</v>
      </c>
      <c r="I220" s="381"/>
      <c r="J220" s="186">
        <f t="shared" si="86"/>
        <v>497033</v>
      </c>
      <c r="K220" s="185">
        <f t="shared" si="74"/>
        <v>0</v>
      </c>
      <c r="L220" s="381"/>
    </row>
    <row r="221" spans="2:12" ht="18" customHeight="1" x14ac:dyDescent="0.25">
      <c r="C221" s="133" t="s">
        <v>108</v>
      </c>
      <c r="D221" s="142" t="s">
        <v>520</v>
      </c>
      <c r="E221" s="81">
        <v>1499060</v>
      </c>
      <c r="F221" s="62">
        <v>1499060</v>
      </c>
      <c r="G221" s="62">
        <f t="shared" ref="G221" si="87">G222+G223+G224</f>
        <v>1499060</v>
      </c>
      <c r="H221" s="61">
        <f t="shared" si="73"/>
        <v>0</v>
      </c>
      <c r="I221" s="136"/>
      <c r="J221" s="62">
        <f t="shared" ref="J221" si="88">J222+J223+J224</f>
        <v>1501706</v>
      </c>
      <c r="K221" s="61">
        <f t="shared" si="74"/>
        <v>2646</v>
      </c>
      <c r="L221" s="136"/>
    </row>
    <row r="222" spans="2:12" ht="25.95" customHeight="1" x14ac:dyDescent="0.25">
      <c r="B222" s="76" t="s">
        <v>521</v>
      </c>
      <c r="C222" s="140" t="s">
        <v>522</v>
      </c>
      <c r="D222" s="113" t="s">
        <v>513</v>
      </c>
      <c r="E222" s="48">
        <v>144697</v>
      </c>
      <c r="F222" s="39">
        <v>144697</v>
      </c>
      <c r="G222" s="39">
        <f t="shared" si="79"/>
        <v>144697</v>
      </c>
      <c r="H222" s="38">
        <f t="shared" si="73"/>
        <v>0</v>
      </c>
      <c r="I222" s="41"/>
      <c r="J222" s="39">
        <f>ROUND(G222,0)+2646</f>
        <v>147343</v>
      </c>
      <c r="K222" s="38">
        <f t="shared" si="74"/>
        <v>2646</v>
      </c>
      <c r="L222" s="41" t="s">
        <v>132</v>
      </c>
    </row>
    <row r="223" spans="2:12" ht="13.5" customHeight="1" x14ac:dyDescent="0.25">
      <c r="B223" s="76" t="s">
        <v>523</v>
      </c>
      <c r="C223" s="140" t="s">
        <v>524</v>
      </c>
      <c r="D223" s="113" t="s">
        <v>516</v>
      </c>
      <c r="E223" s="48">
        <v>1108510</v>
      </c>
      <c r="F223" s="39">
        <v>1108510</v>
      </c>
      <c r="G223" s="39">
        <f t="shared" si="79"/>
        <v>1108510</v>
      </c>
      <c r="H223" s="38">
        <f t="shared" si="73"/>
        <v>0</v>
      </c>
      <c r="I223" s="41"/>
      <c r="J223" s="39">
        <f t="shared" ref="J223:J224" si="89">ROUND(G223,0)</f>
        <v>1108510</v>
      </c>
      <c r="K223" s="38">
        <f t="shared" si="74"/>
        <v>0</v>
      </c>
      <c r="L223" s="41"/>
    </row>
    <row r="224" spans="2:12" ht="16.95" customHeight="1" x14ac:dyDescent="0.25">
      <c r="B224" s="76"/>
      <c r="C224" s="140" t="s">
        <v>525</v>
      </c>
      <c r="D224" s="113" t="s">
        <v>519</v>
      </c>
      <c r="E224" s="48">
        <v>245853</v>
      </c>
      <c r="F224" s="39">
        <v>245853</v>
      </c>
      <c r="G224" s="39">
        <f t="shared" si="79"/>
        <v>245853</v>
      </c>
      <c r="H224" s="38">
        <f t="shared" si="73"/>
        <v>0</v>
      </c>
      <c r="I224" s="41"/>
      <c r="J224" s="39">
        <f t="shared" si="89"/>
        <v>245853</v>
      </c>
      <c r="K224" s="38">
        <f t="shared" si="74"/>
        <v>0</v>
      </c>
      <c r="L224" s="41"/>
    </row>
    <row r="225" spans="2:12" ht="27.6" customHeight="1" x14ac:dyDescent="0.25">
      <c r="C225" s="133" t="s">
        <v>526</v>
      </c>
      <c r="D225" s="142" t="s">
        <v>527</v>
      </c>
      <c r="E225" s="81">
        <v>1850322</v>
      </c>
      <c r="F225" s="62">
        <v>1850322</v>
      </c>
      <c r="G225" s="62">
        <f>G226+G227+G228</f>
        <v>1850322</v>
      </c>
      <c r="H225" s="61">
        <f t="shared" si="73"/>
        <v>0</v>
      </c>
      <c r="I225" s="136"/>
      <c r="J225" s="62">
        <f>J226+J227+J228</f>
        <v>1854025</v>
      </c>
      <c r="K225" s="61">
        <f t="shared" si="74"/>
        <v>3703</v>
      </c>
      <c r="L225" s="136"/>
    </row>
    <row r="226" spans="2:12" ht="13.5" customHeight="1" x14ac:dyDescent="0.25">
      <c r="B226" s="1" t="s">
        <v>528</v>
      </c>
      <c r="C226" s="140" t="s">
        <v>529</v>
      </c>
      <c r="D226" s="113" t="s">
        <v>513</v>
      </c>
      <c r="E226" s="48">
        <v>200053</v>
      </c>
      <c r="F226" s="39">
        <v>200053</v>
      </c>
      <c r="G226" s="39">
        <f t="shared" si="79"/>
        <v>200053</v>
      </c>
      <c r="H226" s="38">
        <f t="shared" si="73"/>
        <v>0</v>
      </c>
      <c r="I226" s="41"/>
      <c r="J226" s="39">
        <f>ROUND(G226,0)+3703</f>
        <v>203756</v>
      </c>
      <c r="K226" s="38">
        <f t="shared" si="74"/>
        <v>3703</v>
      </c>
      <c r="L226" s="41" t="s">
        <v>132</v>
      </c>
    </row>
    <row r="227" spans="2:12" ht="15.6" customHeight="1" x14ac:dyDescent="0.25">
      <c r="B227" s="1" t="s">
        <v>530</v>
      </c>
      <c r="C227" s="140" t="s">
        <v>531</v>
      </c>
      <c r="D227" s="113" t="s">
        <v>516</v>
      </c>
      <c r="E227" s="48">
        <v>1406595</v>
      </c>
      <c r="F227" s="39">
        <v>1406595</v>
      </c>
      <c r="G227" s="39">
        <f t="shared" si="79"/>
        <v>1406595</v>
      </c>
      <c r="H227" s="38">
        <f t="shared" si="73"/>
        <v>0</v>
      </c>
      <c r="I227" s="188"/>
      <c r="J227" s="39">
        <f t="shared" ref="J227:J228" si="90">ROUND(G227,0)</f>
        <v>1406595</v>
      </c>
      <c r="K227" s="38">
        <f t="shared" si="74"/>
        <v>0</v>
      </c>
      <c r="L227" s="188"/>
    </row>
    <row r="228" spans="2:12" ht="17.399999999999999" customHeight="1" x14ac:dyDescent="0.25">
      <c r="C228" s="140" t="s">
        <v>532</v>
      </c>
      <c r="D228" s="113" t="s">
        <v>519</v>
      </c>
      <c r="E228" s="48">
        <v>243674</v>
      </c>
      <c r="F228" s="39">
        <v>243674</v>
      </c>
      <c r="G228" s="39">
        <f t="shared" si="79"/>
        <v>243674</v>
      </c>
      <c r="H228" s="38">
        <f t="shared" si="73"/>
        <v>0</v>
      </c>
      <c r="I228" s="172"/>
      <c r="J228" s="39">
        <f t="shared" si="90"/>
        <v>243674</v>
      </c>
      <c r="K228" s="38">
        <f t="shared" si="74"/>
        <v>0</v>
      </c>
      <c r="L228" s="172"/>
    </row>
    <row r="229" spans="2:12" x14ac:dyDescent="0.25">
      <c r="B229" s="1" t="s">
        <v>533</v>
      </c>
      <c r="C229" s="133" t="s">
        <v>534</v>
      </c>
      <c r="D229" s="142" t="s">
        <v>535</v>
      </c>
      <c r="E229" s="81">
        <v>1570891</v>
      </c>
      <c r="F229" s="62">
        <v>1570891</v>
      </c>
      <c r="G229" s="62">
        <f t="shared" ref="G229" si="91">SUM(G230:G232)</f>
        <v>1570891</v>
      </c>
      <c r="H229" s="61">
        <f t="shared" si="73"/>
        <v>0</v>
      </c>
      <c r="I229" s="136"/>
      <c r="J229" s="62">
        <f t="shared" ref="J229" si="92">SUM(J230:J232)</f>
        <v>1575794</v>
      </c>
      <c r="K229" s="61">
        <f t="shared" si="74"/>
        <v>4903</v>
      </c>
      <c r="L229" s="136"/>
    </row>
    <row r="230" spans="2:12" s="190" customFormat="1" ht="26.4" customHeight="1" x14ac:dyDescent="0.25">
      <c r="B230" s="189" t="s">
        <v>536</v>
      </c>
      <c r="C230" s="140" t="s">
        <v>537</v>
      </c>
      <c r="D230" s="113" t="s">
        <v>513</v>
      </c>
      <c r="E230" s="48">
        <v>263376</v>
      </c>
      <c r="F230" s="39">
        <v>263376</v>
      </c>
      <c r="G230" s="39">
        <f t="shared" si="79"/>
        <v>263376</v>
      </c>
      <c r="H230" s="185">
        <f t="shared" si="73"/>
        <v>0</v>
      </c>
      <c r="I230" s="41"/>
      <c r="J230" s="39">
        <f>ROUND(G230,0)+4903</f>
        <v>268279</v>
      </c>
      <c r="K230" s="185">
        <f t="shared" si="74"/>
        <v>4903</v>
      </c>
      <c r="L230" s="41" t="s">
        <v>132</v>
      </c>
    </row>
    <row r="231" spans="2:12" s="190" customFormat="1" ht="15.6" customHeight="1" x14ac:dyDescent="0.25">
      <c r="C231" s="140" t="s">
        <v>538</v>
      </c>
      <c r="D231" s="113" t="s">
        <v>516</v>
      </c>
      <c r="E231" s="48">
        <v>1141525</v>
      </c>
      <c r="F231" s="39">
        <v>1141525</v>
      </c>
      <c r="G231" s="39">
        <f t="shared" si="79"/>
        <v>1141525</v>
      </c>
      <c r="H231" s="185">
        <f t="shared" si="73"/>
        <v>0</v>
      </c>
      <c r="I231" s="41"/>
      <c r="J231" s="39">
        <f t="shared" ref="J231:J232" si="93">ROUND(G231,0)</f>
        <v>1141525</v>
      </c>
      <c r="K231" s="185">
        <f t="shared" si="74"/>
        <v>0</v>
      </c>
      <c r="L231" s="41"/>
    </row>
    <row r="232" spans="2:12" s="190" customFormat="1" ht="13.95" customHeight="1" x14ac:dyDescent="0.25">
      <c r="C232" s="140" t="s">
        <v>539</v>
      </c>
      <c r="D232" s="113" t="s">
        <v>519</v>
      </c>
      <c r="E232" s="48">
        <v>165990</v>
      </c>
      <c r="F232" s="39">
        <v>165990</v>
      </c>
      <c r="G232" s="39">
        <f t="shared" si="79"/>
        <v>165990</v>
      </c>
      <c r="H232" s="185">
        <f t="shared" si="73"/>
        <v>0</v>
      </c>
      <c r="I232" s="41"/>
      <c r="J232" s="39">
        <f t="shared" si="93"/>
        <v>165990</v>
      </c>
      <c r="K232" s="185">
        <f t="shared" si="74"/>
        <v>0</v>
      </c>
      <c r="L232" s="41"/>
    </row>
    <row r="233" spans="2:12" x14ac:dyDescent="0.25">
      <c r="C233" s="133" t="s">
        <v>540</v>
      </c>
      <c r="D233" s="142" t="s">
        <v>541</v>
      </c>
      <c r="E233" s="81">
        <v>3805461</v>
      </c>
      <c r="F233" s="62">
        <v>3805461</v>
      </c>
      <c r="G233" s="62">
        <f>G234+G235+G236</f>
        <v>3797888</v>
      </c>
      <c r="H233" s="61">
        <f t="shared" si="73"/>
        <v>-7573</v>
      </c>
      <c r="I233" s="136"/>
      <c r="J233" s="62">
        <f>J234+J235+J236</f>
        <v>3797888</v>
      </c>
      <c r="K233" s="61">
        <f t="shared" si="74"/>
        <v>0</v>
      </c>
      <c r="L233" s="136"/>
    </row>
    <row r="234" spans="2:12" s="190" customFormat="1" ht="18.600000000000001" customHeight="1" x14ac:dyDescent="0.25">
      <c r="B234" s="189" t="s">
        <v>542</v>
      </c>
      <c r="C234" s="191" t="s">
        <v>543</v>
      </c>
      <c r="D234" s="192" t="s">
        <v>544</v>
      </c>
      <c r="E234" s="48">
        <v>705444</v>
      </c>
      <c r="F234" s="39">
        <v>705444</v>
      </c>
      <c r="G234" s="39">
        <f>ROUND(F234,0)-7573</f>
        <v>697871</v>
      </c>
      <c r="H234" s="185">
        <f t="shared" si="73"/>
        <v>-7573</v>
      </c>
      <c r="I234" s="41" t="s">
        <v>146</v>
      </c>
      <c r="J234" s="39">
        <f t="shared" ref="J234:J236" si="94">ROUND(G234,0)</f>
        <v>697871</v>
      </c>
      <c r="K234" s="185">
        <f t="shared" si="74"/>
        <v>0</v>
      </c>
      <c r="L234" s="41"/>
    </row>
    <row r="235" spans="2:12" s="190" customFormat="1" ht="16.2" customHeight="1" x14ac:dyDescent="0.25">
      <c r="B235" s="189" t="s">
        <v>545</v>
      </c>
      <c r="C235" s="191" t="s">
        <v>546</v>
      </c>
      <c r="D235" s="192" t="s">
        <v>547</v>
      </c>
      <c r="E235" s="48">
        <v>2846110</v>
      </c>
      <c r="F235" s="39">
        <v>2846110</v>
      </c>
      <c r="G235" s="39">
        <f t="shared" si="79"/>
        <v>2846110</v>
      </c>
      <c r="H235" s="185">
        <f t="shared" si="73"/>
        <v>0</v>
      </c>
      <c r="I235" s="40"/>
      <c r="J235" s="39">
        <f t="shared" si="94"/>
        <v>2846110</v>
      </c>
      <c r="K235" s="185">
        <f t="shared" si="74"/>
        <v>0</v>
      </c>
      <c r="L235" s="40"/>
    </row>
    <row r="236" spans="2:12" ht="14.4" customHeight="1" x14ac:dyDescent="0.25">
      <c r="B236" s="76" t="s">
        <v>548</v>
      </c>
      <c r="C236" s="140" t="s">
        <v>549</v>
      </c>
      <c r="D236" s="113" t="s">
        <v>550</v>
      </c>
      <c r="E236" s="48">
        <v>253907</v>
      </c>
      <c r="F236" s="39">
        <v>253907</v>
      </c>
      <c r="G236" s="39">
        <f t="shared" si="79"/>
        <v>253907</v>
      </c>
      <c r="H236" s="185">
        <f t="shared" si="73"/>
        <v>0</v>
      </c>
      <c r="I236" s="40"/>
      <c r="J236" s="39">
        <f t="shared" si="94"/>
        <v>253907</v>
      </c>
      <c r="K236" s="185">
        <f t="shared" si="74"/>
        <v>0</v>
      </c>
      <c r="L236" s="40"/>
    </row>
    <row r="237" spans="2:12" s="125" customFormat="1" ht="15.75" customHeight="1" x14ac:dyDescent="0.25">
      <c r="C237" s="133" t="s">
        <v>551</v>
      </c>
      <c r="D237" s="142" t="s">
        <v>552</v>
      </c>
      <c r="E237" s="145">
        <v>2754926</v>
      </c>
      <c r="F237" s="144">
        <v>2754926</v>
      </c>
      <c r="G237" s="144">
        <f>G238+G242+G243+G244+G245+G246+G247</f>
        <v>2709458</v>
      </c>
      <c r="H237" s="143">
        <f t="shared" si="73"/>
        <v>-45468</v>
      </c>
      <c r="I237" s="149"/>
      <c r="J237" s="144">
        <f>J238+J242+J243+J244+J245+J246+J247</f>
        <v>2734011</v>
      </c>
      <c r="K237" s="143">
        <f t="shared" si="74"/>
        <v>24553</v>
      </c>
      <c r="L237" s="149"/>
    </row>
    <row r="238" spans="2:12" s="35" customFormat="1" ht="24.6" customHeight="1" x14ac:dyDescent="0.25">
      <c r="B238" s="55"/>
      <c r="C238" s="140" t="s">
        <v>553</v>
      </c>
      <c r="D238" s="113" t="s">
        <v>513</v>
      </c>
      <c r="E238" s="48">
        <v>1540363</v>
      </c>
      <c r="F238" s="39">
        <v>1540363</v>
      </c>
      <c r="G238" s="39">
        <f>G239+G240+G241</f>
        <v>1494895</v>
      </c>
      <c r="H238" s="38">
        <f t="shared" si="73"/>
        <v>-45468</v>
      </c>
      <c r="I238" s="41"/>
      <c r="J238" s="39">
        <f>J239+J240+J241</f>
        <v>1519448</v>
      </c>
      <c r="K238" s="38">
        <f t="shared" si="74"/>
        <v>24553</v>
      </c>
      <c r="L238" s="41"/>
    </row>
    <row r="239" spans="2:12" s="196" customFormat="1" ht="33.75" customHeight="1" x14ac:dyDescent="0.25">
      <c r="B239" s="193" t="s">
        <v>554</v>
      </c>
      <c r="C239" s="155" t="s">
        <v>555</v>
      </c>
      <c r="D239" s="156" t="s">
        <v>556</v>
      </c>
      <c r="E239" s="195">
        <v>1364718</v>
      </c>
      <c r="F239" s="194">
        <v>1364718</v>
      </c>
      <c r="G239" s="194">
        <f>ROUND(F239,0)+1113</f>
        <v>1365831</v>
      </c>
      <c r="H239" s="161">
        <f t="shared" si="73"/>
        <v>1113</v>
      </c>
      <c r="I239" s="166" t="s">
        <v>557</v>
      </c>
      <c r="J239" s="194">
        <f t="shared" ref="J239:J247" si="95">ROUND(G239,0)</f>
        <v>1365831</v>
      </c>
      <c r="K239" s="161">
        <f t="shared" si="74"/>
        <v>0</v>
      </c>
      <c r="L239" s="166"/>
    </row>
    <row r="240" spans="2:12" s="196" customFormat="1" ht="29.4" customHeight="1" x14ac:dyDescent="0.25">
      <c r="B240" s="193" t="s">
        <v>558</v>
      </c>
      <c r="C240" s="155" t="s">
        <v>559</v>
      </c>
      <c r="D240" s="156" t="s">
        <v>560</v>
      </c>
      <c r="E240" s="195">
        <v>175645</v>
      </c>
      <c r="F240" s="194">
        <v>175645</v>
      </c>
      <c r="G240" s="194">
        <f>ROUND(F240,0)-46581</f>
        <v>129064</v>
      </c>
      <c r="H240" s="161">
        <f t="shared" si="73"/>
        <v>-46581</v>
      </c>
      <c r="I240" s="166" t="s">
        <v>146</v>
      </c>
      <c r="J240" s="194">
        <f t="shared" si="95"/>
        <v>129064</v>
      </c>
      <c r="K240" s="161">
        <f t="shared" si="74"/>
        <v>0</v>
      </c>
      <c r="L240" s="166"/>
    </row>
    <row r="241" spans="2:12" s="196" customFormat="1" ht="17.25" customHeight="1" x14ac:dyDescent="0.25">
      <c r="B241" s="193"/>
      <c r="C241" s="155" t="s">
        <v>561</v>
      </c>
      <c r="D241" s="156" t="s">
        <v>562</v>
      </c>
      <c r="E241" s="195">
        <v>0</v>
      </c>
      <c r="F241" s="194">
        <v>0</v>
      </c>
      <c r="G241" s="194">
        <f t="shared" ref="G241:G247" si="96">ROUND(F241,0)</f>
        <v>0</v>
      </c>
      <c r="H241" s="161">
        <f t="shared" si="73"/>
        <v>0</v>
      </c>
      <c r="I241" s="166"/>
      <c r="J241" s="194">
        <f>ROUND(G241,0)+24553</f>
        <v>24553</v>
      </c>
      <c r="K241" s="161">
        <f t="shared" si="74"/>
        <v>24553</v>
      </c>
      <c r="L241" s="41" t="s">
        <v>132</v>
      </c>
    </row>
    <row r="242" spans="2:12" s="35" customFormat="1" x14ac:dyDescent="0.25">
      <c r="B242" s="35" t="s">
        <v>554</v>
      </c>
      <c r="C242" s="140" t="s">
        <v>563</v>
      </c>
      <c r="D242" s="113" t="s">
        <v>564</v>
      </c>
      <c r="E242" s="165">
        <v>94076</v>
      </c>
      <c r="F242" s="78">
        <v>94076</v>
      </c>
      <c r="G242" s="78">
        <f t="shared" si="96"/>
        <v>94076</v>
      </c>
      <c r="H242" s="38">
        <f t="shared" si="73"/>
        <v>0</v>
      </c>
      <c r="I242" s="41"/>
      <c r="J242" s="78">
        <f t="shared" si="95"/>
        <v>94076</v>
      </c>
      <c r="K242" s="38">
        <f t="shared" si="74"/>
        <v>0</v>
      </c>
      <c r="L242" s="41"/>
    </row>
    <row r="243" spans="2:12" s="35" customFormat="1" ht="15.75" customHeight="1" x14ac:dyDescent="0.25">
      <c r="B243" s="55" t="s">
        <v>565</v>
      </c>
      <c r="C243" s="140" t="s">
        <v>566</v>
      </c>
      <c r="D243" s="113" t="s">
        <v>516</v>
      </c>
      <c r="E243" s="48">
        <v>645648</v>
      </c>
      <c r="F243" s="39">
        <v>645648</v>
      </c>
      <c r="G243" s="39">
        <f>ROUND(F243,0)+44124</f>
        <v>689772</v>
      </c>
      <c r="H243" s="38">
        <f t="shared" si="73"/>
        <v>44124</v>
      </c>
      <c r="I243" s="380" t="s">
        <v>567</v>
      </c>
      <c r="J243" s="39">
        <f t="shared" si="95"/>
        <v>689772</v>
      </c>
      <c r="K243" s="38">
        <f t="shared" si="74"/>
        <v>0</v>
      </c>
      <c r="L243" s="380"/>
    </row>
    <row r="244" spans="2:12" s="35" customFormat="1" ht="16.95" customHeight="1" x14ac:dyDescent="0.25">
      <c r="B244" s="55"/>
      <c r="C244" s="140" t="s">
        <v>568</v>
      </c>
      <c r="D244" s="113" t="s">
        <v>519</v>
      </c>
      <c r="E244" s="48">
        <v>386671</v>
      </c>
      <c r="F244" s="39">
        <v>386671</v>
      </c>
      <c r="G244" s="39">
        <f>ROUND(F244,0)-44124</f>
        <v>342547</v>
      </c>
      <c r="H244" s="38">
        <f t="shared" si="73"/>
        <v>-44124</v>
      </c>
      <c r="I244" s="381"/>
      <c r="J244" s="39">
        <f t="shared" si="95"/>
        <v>342547</v>
      </c>
      <c r="K244" s="38">
        <f t="shared" si="74"/>
        <v>0</v>
      </c>
      <c r="L244" s="381"/>
    </row>
    <row r="245" spans="2:12" s="35" customFormat="1" ht="16.95" customHeight="1" x14ac:dyDescent="0.25">
      <c r="B245" s="55" t="s">
        <v>569</v>
      </c>
      <c r="C245" s="140" t="s">
        <v>570</v>
      </c>
      <c r="D245" s="113" t="s">
        <v>571</v>
      </c>
      <c r="E245" s="48">
        <v>11200</v>
      </c>
      <c r="F245" s="39">
        <v>11200</v>
      </c>
      <c r="G245" s="39">
        <f t="shared" si="96"/>
        <v>11200</v>
      </c>
      <c r="H245" s="38">
        <f t="shared" si="73"/>
        <v>0</v>
      </c>
      <c r="I245" s="40"/>
      <c r="J245" s="39">
        <f t="shared" si="95"/>
        <v>11200</v>
      </c>
      <c r="K245" s="38">
        <f t="shared" si="74"/>
        <v>0</v>
      </c>
      <c r="L245" s="40"/>
    </row>
    <row r="246" spans="2:12" s="125" customFormat="1" ht="15.6" customHeight="1" x14ac:dyDescent="0.25">
      <c r="B246" s="76" t="s">
        <v>572</v>
      </c>
      <c r="C246" s="140" t="s">
        <v>573</v>
      </c>
      <c r="D246" s="113" t="s">
        <v>574</v>
      </c>
      <c r="E246" s="48">
        <v>76968</v>
      </c>
      <c r="F246" s="39">
        <v>76968</v>
      </c>
      <c r="G246" s="39">
        <f t="shared" si="96"/>
        <v>76968</v>
      </c>
      <c r="H246" s="38">
        <f t="shared" si="73"/>
        <v>0</v>
      </c>
      <c r="I246" s="40"/>
      <c r="J246" s="39">
        <f t="shared" si="95"/>
        <v>76968</v>
      </c>
      <c r="K246" s="38">
        <f t="shared" si="74"/>
        <v>0</v>
      </c>
      <c r="L246" s="40"/>
    </row>
    <row r="247" spans="2:12" s="125" customFormat="1" ht="15" customHeight="1" x14ac:dyDescent="0.25">
      <c r="B247" s="76" t="s">
        <v>565</v>
      </c>
      <c r="C247" s="140" t="s">
        <v>575</v>
      </c>
      <c r="D247" s="113" t="s">
        <v>576</v>
      </c>
      <c r="E247" s="48">
        <v>0</v>
      </c>
      <c r="F247" s="39">
        <v>0</v>
      </c>
      <c r="G247" s="39">
        <f t="shared" si="96"/>
        <v>0</v>
      </c>
      <c r="H247" s="38">
        <f t="shared" si="73"/>
        <v>0</v>
      </c>
      <c r="I247" s="40"/>
      <c r="J247" s="39">
        <f t="shared" si="95"/>
        <v>0</v>
      </c>
      <c r="K247" s="38">
        <f t="shared" si="74"/>
        <v>0</v>
      </c>
      <c r="L247" s="40"/>
    </row>
    <row r="248" spans="2:12" s="35" customFormat="1" ht="15.75" customHeight="1" x14ac:dyDescent="0.25">
      <c r="B248" s="55"/>
      <c r="C248" s="133" t="s">
        <v>577</v>
      </c>
      <c r="D248" s="142" t="s">
        <v>578</v>
      </c>
      <c r="E248" s="197">
        <v>8902379</v>
      </c>
      <c r="F248" s="143">
        <v>8902379</v>
      </c>
      <c r="G248" s="143">
        <f>G249+G253+G254+G255+G256+G257+G258+G259+G260+G261+G262</f>
        <v>8976780</v>
      </c>
      <c r="H248" s="144">
        <f t="shared" si="73"/>
        <v>74401</v>
      </c>
      <c r="I248" s="144"/>
      <c r="J248" s="143">
        <f>J249+J253+J254+J255+J256+J257+J258+J259+J260+J261+J262</f>
        <v>9067744</v>
      </c>
      <c r="K248" s="144">
        <f t="shared" si="74"/>
        <v>90964</v>
      </c>
      <c r="L248" s="144"/>
    </row>
    <row r="249" spans="2:12" s="35" customFormat="1" ht="27" customHeight="1" x14ac:dyDescent="0.25">
      <c r="B249" s="55"/>
      <c r="C249" s="140" t="s">
        <v>579</v>
      </c>
      <c r="D249" s="113" t="s">
        <v>513</v>
      </c>
      <c r="E249" s="48">
        <v>4520522</v>
      </c>
      <c r="F249" s="39">
        <v>4520522</v>
      </c>
      <c r="G249" s="39">
        <f>SUM(G250:G252)</f>
        <v>4589323</v>
      </c>
      <c r="H249" s="38">
        <f t="shared" si="73"/>
        <v>68801</v>
      </c>
      <c r="I249" s="41"/>
      <c r="J249" s="39">
        <f>SUM(J250:J252)</f>
        <v>4662311</v>
      </c>
      <c r="K249" s="38">
        <f t="shared" si="74"/>
        <v>72988</v>
      </c>
      <c r="L249" s="41"/>
    </row>
    <row r="250" spans="2:12" s="196" customFormat="1" ht="30.75" customHeight="1" x14ac:dyDescent="0.25">
      <c r="B250" s="193" t="s">
        <v>580</v>
      </c>
      <c r="C250" s="155" t="s">
        <v>581</v>
      </c>
      <c r="D250" s="156" t="s">
        <v>556</v>
      </c>
      <c r="E250" s="195">
        <v>4199279</v>
      </c>
      <c r="F250" s="194">
        <v>4199279</v>
      </c>
      <c r="G250" s="194">
        <f>ROUND(F250,0)-1113</f>
        <v>4198166</v>
      </c>
      <c r="H250" s="161">
        <f t="shared" si="73"/>
        <v>-1113</v>
      </c>
      <c r="I250" s="166" t="s">
        <v>582</v>
      </c>
      <c r="J250" s="194">
        <f t="shared" ref="J250:J261" si="97">ROUND(G250,0)</f>
        <v>4198166</v>
      </c>
      <c r="K250" s="161">
        <f t="shared" si="74"/>
        <v>0</v>
      </c>
      <c r="L250" s="166"/>
    </row>
    <row r="251" spans="2:12" s="196" customFormat="1" ht="32.4" customHeight="1" x14ac:dyDescent="0.25">
      <c r="B251" s="193" t="s">
        <v>583</v>
      </c>
      <c r="C251" s="155" t="s">
        <v>584</v>
      </c>
      <c r="D251" s="156" t="s">
        <v>560</v>
      </c>
      <c r="E251" s="195">
        <v>321243</v>
      </c>
      <c r="F251" s="194">
        <v>321243</v>
      </c>
      <c r="G251" s="194">
        <f>ROUND(F251,0)+59839+10075</f>
        <v>391157</v>
      </c>
      <c r="H251" s="161">
        <f t="shared" si="73"/>
        <v>69914</v>
      </c>
      <c r="I251" s="166" t="s">
        <v>146</v>
      </c>
      <c r="J251" s="194">
        <f t="shared" si="97"/>
        <v>391157</v>
      </c>
      <c r="K251" s="161">
        <f t="shared" si="74"/>
        <v>0</v>
      </c>
      <c r="L251" s="166"/>
    </row>
    <row r="252" spans="2:12" s="196" customFormat="1" ht="17.25" customHeight="1" x14ac:dyDescent="0.25">
      <c r="B252" s="193" t="s">
        <v>580</v>
      </c>
      <c r="C252" s="155" t="s">
        <v>585</v>
      </c>
      <c r="D252" s="156" t="s">
        <v>562</v>
      </c>
      <c r="E252" s="195">
        <v>0</v>
      </c>
      <c r="F252" s="194">
        <v>0</v>
      </c>
      <c r="G252" s="194">
        <f t="shared" ref="G252:G261" si="98">ROUND(F252,0)</f>
        <v>0</v>
      </c>
      <c r="H252" s="161">
        <f t="shared" si="73"/>
        <v>0</v>
      </c>
      <c r="I252" s="166"/>
      <c r="J252" s="194">
        <f>ROUND(G252,0)+72988</f>
        <v>72988</v>
      </c>
      <c r="K252" s="161">
        <f t="shared" si="74"/>
        <v>72988</v>
      </c>
      <c r="L252" s="41" t="s">
        <v>132</v>
      </c>
    </row>
    <row r="253" spans="2:12" s="35" customFormat="1" ht="15" customHeight="1" x14ac:dyDescent="0.25">
      <c r="B253" s="55" t="s">
        <v>586</v>
      </c>
      <c r="C253" s="140" t="s">
        <v>587</v>
      </c>
      <c r="D253" s="113" t="s">
        <v>516</v>
      </c>
      <c r="E253" s="48">
        <v>861741</v>
      </c>
      <c r="F253" s="39">
        <v>861741</v>
      </c>
      <c r="G253" s="39">
        <f>ROUND(F253,0)+42399</f>
        <v>904140</v>
      </c>
      <c r="H253" s="38">
        <f t="shared" ref="H253:H289" si="99">G253-F253</f>
        <v>42399</v>
      </c>
      <c r="I253" s="380" t="s">
        <v>588</v>
      </c>
      <c r="J253" s="39">
        <f t="shared" si="97"/>
        <v>904140</v>
      </c>
      <c r="K253" s="38">
        <f t="shared" ref="K253:K289" si="100">J253-G253</f>
        <v>0</v>
      </c>
      <c r="L253" s="52"/>
    </row>
    <row r="254" spans="2:12" s="35" customFormat="1" ht="31.95" customHeight="1" x14ac:dyDescent="0.25">
      <c r="B254" s="55"/>
      <c r="C254" s="140" t="s">
        <v>589</v>
      </c>
      <c r="D254" s="113" t="s">
        <v>519</v>
      </c>
      <c r="E254" s="48">
        <v>813750</v>
      </c>
      <c r="F254" s="39">
        <v>813750</v>
      </c>
      <c r="G254" s="39">
        <f>ROUND(F254,0)-42399+4000+4000</f>
        <v>779351</v>
      </c>
      <c r="H254" s="38">
        <f t="shared" si="99"/>
        <v>-34399</v>
      </c>
      <c r="I254" s="381"/>
      <c r="J254" s="39">
        <f>ROUND(G254,0)+1321</f>
        <v>780672</v>
      </c>
      <c r="K254" s="38">
        <f t="shared" si="100"/>
        <v>1321</v>
      </c>
      <c r="L254" s="172" t="s">
        <v>590</v>
      </c>
    </row>
    <row r="255" spans="2:12" s="35" customFormat="1" ht="15" customHeight="1" x14ac:dyDescent="0.25">
      <c r="B255" s="35" t="s">
        <v>591</v>
      </c>
      <c r="C255" s="140" t="s">
        <v>592</v>
      </c>
      <c r="D255" s="113" t="s">
        <v>593</v>
      </c>
      <c r="E255" s="48">
        <v>51949</v>
      </c>
      <c r="F255" s="39">
        <v>51949</v>
      </c>
      <c r="G255" s="39">
        <f t="shared" si="98"/>
        <v>51949</v>
      </c>
      <c r="H255" s="38">
        <f t="shared" si="99"/>
        <v>0</v>
      </c>
      <c r="I255" s="40"/>
      <c r="J255" s="39">
        <f t="shared" si="97"/>
        <v>51949</v>
      </c>
      <c r="K255" s="38">
        <f t="shared" si="100"/>
        <v>0</v>
      </c>
      <c r="L255" s="40"/>
    </row>
    <row r="256" spans="2:12" s="35" customFormat="1" ht="16.2" customHeight="1" x14ac:dyDescent="0.25">
      <c r="B256" s="55" t="s">
        <v>594</v>
      </c>
      <c r="C256" s="140" t="s">
        <v>595</v>
      </c>
      <c r="D256" s="113" t="s">
        <v>571</v>
      </c>
      <c r="E256" s="48">
        <v>41000</v>
      </c>
      <c r="F256" s="39">
        <v>41000</v>
      </c>
      <c r="G256" s="39">
        <f t="shared" si="98"/>
        <v>41000</v>
      </c>
      <c r="H256" s="38">
        <f t="shared" si="99"/>
        <v>0</v>
      </c>
      <c r="I256" s="40"/>
      <c r="J256" s="39">
        <f t="shared" si="97"/>
        <v>41000</v>
      </c>
      <c r="K256" s="38">
        <f t="shared" si="100"/>
        <v>0</v>
      </c>
      <c r="L256" s="40"/>
    </row>
    <row r="257" spans="2:12" s="198" customFormat="1" ht="30.6" customHeight="1" x14ac:dyDescent="0.25">
      <c r="B257" s="55" t="s">
        <v>586</v>
      </c>
      <c r="C257" s="140" t="s">
        <v>596</v>
      </c>
      <c r="D257" s="113" t="s">
        <v>300</v>
      </c>
      <c r="E257" s="48">
        <v>300000</v>
      </c>
      <c r="F257" s="39">
        <v>300000</v>
      </c>
      <c r="G257" s="39">
        <f t="shared" si="98"/>
        <v>300000</v>
      </c>
      <c r="H257" s="38">
        <f t="shared" si="99"/>
        <v>0</v>
      </c>
      <c r="I257" s="40"/>
      <c r="J257" s="39">
        <f t="shared" si="97"/>
        <v>300000</v>
      </c>
      <c r="K257" s="38">
        <f t="shared" si="100"/>
        <v>0</v>
      </c>
      <c r="L257" s="41"/>
    </row>
    <row r="258" spans="2:12" s="198" customFormat="1" ht="72" customHeight="1" x14ac:dyDescent="0.25">
      <c r="B258" s="55" t="s">
        <v>586</v>
      </c>
      <c r="C258" s="140" t="s">
        <v>597</v>
      </c>
      <c r="D258" s="113" t="s">
        <v>302</v>
      </c>
      <c r="E258" s="48">
        <v>542914</v>
      </c>
      <c r="F258" s="39">
        <v>542914</v>
      </c>
      <c r="G258" s="39">
        <f t="shared" si="98"/>
        <v>542914</v>
      </c>
      <c r="H258" s="38">
        <f t="shared" si="99"/>
        <v>0</v>
      </c>
      <c r="I258" s="199" t="s">
        <v>598</v>
      </c>
      <c r="J258" s="39">
        <f>ROUND(G258,0)+14715</f>
        <v>557629</v>
      </c>
      <c r="K258" s="38">
        <f t="shared" si="100"/>
        <v>14715</v>
      </c>
      <c r="L258" s="41" t="s">
        <v>599</v>
      </c>
    </row>
    <row r="259" spans="2:12" s="198" customFormat="1" ht="18" customHeight="1" x14ac:dyDescent="0.25">
      <c r="B259" s="200" t="s">
        <v>600</v>
      </c>
      <c r="C259" s="140" t="s">
        <v>601</v>
      </c>
      <c r="D259" s="113" t="s">
        <v>602</v>
      </c>
      <c r="E259" s="48">
        <v>707203</v>
      </c>
      <c r="F259" s="39">
        <v>707203</v>
      </c>
      <c r="G259" s="39">
        <f>ROUND(F259,0)+20720</f>
        <v>727923</v>
      </c>
      <c r="H259" s="38">
        <f t="shared" si="99"/>
        <v>20720</v>
      </c>
      <c r="I259" s="380" t="s">
        <v>603</v>
      </c>
      <c r="J259" s="39">
        <f t="shared" si="97"/>
        <v>727923</v>
      </c>
      <c r="K259" s="38">
        <f t="shared" si="100"/>
        <v>0</v>
      </c>
      <c r="L259" s="380"/>
    </row>
    <row r="260" spans="2:12" s="198" customFormat="1" ht="32.4" customHeight="1" x14ac:dyDescent="0.25">
      <c r="B260" s="200"/>
      <c r="C260" s="140" t="s">
        <v>604</v>
      </c>
      <c r="D260" s="113" t="s">
        <v>605</v>
      </c>
      <c r="E260" s="48">
        <v>451553</v>
      </c>
      <c r="F260" s="39">
        <v>451553</v>
      </c>
      <c r="G260" s="39">
        <f>ROUND(F260,0)-20720+1600-4000</f>
        <v>428433</v>
      </c>
      <c r="H260" s="38">
        <f t="shared" si="99"/>
        <v>-23120</v>
      </c>
      <c r="I260" s="381"/>
      <c r="J260" s="39">
        <f t="shared" si="97"/>
        <v>428433</v>
      </c>
      <c r="K260" s="38">
        <f t="shared" si="100"/>
        <v>0</v>
      </c>
      <c r="L260" s="381"/>
    </row>
    <row r="261" spans="2:12" s="198" customFormat="1" ht="15" customHeight="1" x14ac:dyDescent="0.25">
      <c r="B261" s="55" t="s">
        <v>580</v>
      </c>
      <c r="C261" s="140" t="s">
        <v>606</v>
      </c>
      <c r="D261" s="113" t="s">
        <v>607</v>
      </c>
      <c r="E261" s="48">
        <v>263797</v>
      </c>
      <c r="F261" s="39">
        <v>263797</v>
      </c>
      <c r="G261" s="39">
        <f t="shared" si="98"/>
        <v>263797</v>
      </c>
      <c r="H261" s="38">
        <f t="shared" si="99"/>
        <v>0</v>
      </c>
      <c r="I261" s="41"/>
      <c r="J261" s="39">
        <f t="shared" si="97"/>
        <v>263797</v>
      </c>
      <c r="K261" s="38">
        <f t="shared" si="100"/>
        <v>0</v>
      </c>
      <c r="L261" s="41"/>
    </row>
    <row r="262" spans="2:12" s="206" customFormat="1" ht="13.95" customHeight="1" x14ac:dyDescent="0.25">
      <c r="B262" s="200"/>
      <c r="C262" s="201" t="s">
        <v>608</v>
      </c>
      <c r="D262" s="202" t="s">
        <v>609</v>
      </c>
      <c r="E262" s="205">
        <v>347950</v>
      </c>
      <c r="F262" s="204">
        <v>347950</v>
      </c>
      <c r="G262" s="204">
        <f t="shared" ref="G262" si="101">G263+G264+G265</f>
        <v>347950</v>
      </c>
      <c r="H262" s="203">
        <f t="shared" si="99"/>
        <v>0</v>
      </c>
      <c r="I262" s="203"/>
      <c r="J262" s="204">
        <f t="shared" ref="J262" si="102">J263+J264+J265</f>
        <v>349890</v>
      </c>
      <c r="K262" s="203">
        <f t="shared" si="100"/>
        <v>1940</v>
      </c>
      <c r="L262" s="203"/>
    </row>
    <row r="263" spans="2:12" s="198" customFormat="1" ht="12" customHeight="1" x14ac:dyDescent="0.25">
      <c r="B263" s="76" t="s">
        <v>610</v>
      </c>
      <c r="C263" s="207" t="s">
        <v>611</v>
      </c>
      <c r="D263" s="113" t="s">
        <v>612</v>
      </c>
      <c r="E263" s="48">
        <v>100105</v>
      </c>
      <c r="F263" s="39">
        <v>100105</v>
      </c>
      <c r="G263" s="39">
        <f>ROUND(F263,0)</f>
        <v>100105</v>
      </c>
      <c r="H263" s="38">
        <f t="shared" si="99"/>
        <v>0</v>
      </c>
      <c r="I263" s="41"/>
      <c r="J263" s="39">
        <f>ROUND(G263,0)+1940</f>
        <v>102045</v>
      </c>
      <c r="K263" s="38">
        <f t="shared" si="100"/>
        <v>1940</v>
      </c>
      <c r="L263" s="41" t="s">
        <v>132</v>
      </c>
    </row>
    <row r="264" spans="2:12" s="125" customFormat="1" ht="13.95" customHeight="1" x14ac:dyDescent="0.25">
      <c r="B264" s="200" t="s">
        <v>613</v>
      </c>
      <c r="C264" s="207" t="s">
        <v>614</v>
      </c>
      <c r="D264" s="113" t="s">
        <v>615</v>
      </c>
      <c r="E264" s="48">
        <v>232189</v>
      </c>
      <c r="F264" s="39">
        <v>232189</v>
      </c>
      <c r="G264" s="39">
        <f>ROUND(F264,0)</f>
        <v>232189</v>
      </c>
      <c r="H264" s="38">
        <f t="shared" si="99"/>
        <v>0</v>
      </c>
      <c r="I264" s="40"/>
      <c r="J264" s="39">
        <f t="shared" ref="J264:J265" si="103">ROUND(G264,0)</f>
        <v>232189</v>
      </c>
      <c r="K264" s="38">
        <f t="shared" si="100"/>
        <v>0</v>
      </c>
      <c r="L264" s="40"/>
    </row>
    <row r="265" spans="2:12" s="125" customFormat="1" ht="13.95" customHeight="1" x14ac:dyDescent="0.25">
      <c r="B265" s="200"/>
      <c r="C265" s="207" t="s">
        <v>616</v>
      </c>
      <c r="D265" s="113" t="s">
        <v>461</v>
      </c>
      <c r="E265" s="48">
        <v>15656</v>
      </c>
      <c r="F265" s="39">
        <v>15656</v>
      </c>
      <c r="G265" s="39">
        <f>ROUND(F265,0)</f>
        <v>15656</v>
      </c>
      <c r="H265" s="38">
        <f t="shared" si="99"/>
        <v>0</v>
      </c>
      <c r="I265" s="40"/>
      <c r="J265" s="39">
        <f t="shared" si="103"/>
        <v>15656</v>
      </c>
      <c r="K265" s="38">
        <f t="shared" si="100"/>
        <v>0</v>
      </c>
      <c r="L265" s="40"/>
    </row>
    <row r="266" spans="2:12" ht="18" customHeight="1" x14ac:dyDescent="0.25">
      <c r="C266" s="208" t="s">
        <v>617</v>
      </c>
      <c r="D266" s="142" t="s">
        <v>618</v>
      </c>
      <c r="E266" s="145">
        <v>1819829</v>
      </c>
      <c r="F266" s="144">
        <v>1819829</v>
      </c>
      <c r="G266" s="144">
        <f t="shared" ref="G266" si="104">G267+G268</f>
        <v>1819829</v>
      </c>
      <c r="H266" s="143">
        <f t="shared" si="99"/>
        <v>0</v>
      </c>
      <c r="I266" s="143"/>
      <c r="J266" s="144">
        <f t="shared" ref="J266" si="105">J267+J268</f>
        <v>1819829</v>
      </c>
      <c r="K266" s="143">
        <f t="shared" si="100"/>
        <v>0</v>
      </c>
      <c r="L266" s="143"/>
    </row>
    <row r="267" spans="2:12" ht="13.5" customHeight="1" x14ac:dyDescent="0.25">
      <c r="C267" s="140" t="s">
        <v>619</v>
      </c>
      <c r="D267" s="113" t="s">
        <v>620</v>
      </c>
      <c r="E267" s="48">
        <v>735359</v>
      </c>
      <c r="F267" s="39">
        <v>735359</v>
      </c>
      <c r="G267" s="39">
        <f>ROUND(F267,0)</f>
        <v>735359</v>
      </c>
      <c r="H267" s="38">
        <f t="shared" si="99"/>
        <v>0</v>
      </c>
      <c r="I267" s="41"/>
      <c r="J267" s="39">
        <f t="shared" ref="J267:J268" si="106">ROUND(G267,0)</f>
        <v>735359</v>
      </c>
      <c r="K267" s="38">
        <f t="shared" si="100"/>
        <v>0</v>
      </c>
      <c r="L267" s="41"/>
    </row>
    <row r="268" spans="2:12" ht="25.95" customHeight="1" x14ac:dyDescent="0.25">
      <c r="C268" s="140" t="s">
        <v>619</v>
      </c>
      <c r="D268" s="113" t="s">
        <v>516</v>
      </c>
      <c r="E268" s="48">
        <v>1084470</v>
      </c>
      <c r="F268" s="39">
        <v>1084470</v>
      </c>
      <c r="G268" s="39">
        <f>ROUND(F268,0)</f>
        <v>1084470</v>
      </c>
      <c r="H268" s="38">
        <f t="shared" si="99"/>
        <v>0</v>
      </c>
      <c r="I268" s="209"/>
      <c r="J268" s="39">
        <f t="shared" si="106"/>
        <v>1084470</v>
      </c>
      <c r="K268" s="38">
        <f t="shared" si="100"/>
        <v>0</v>
      </c>
      <c r="L268" s="209"/>
    </row>
    <row r="269" spans="2:12" ht="16.2" customHeight="1" x14ac:dyDescent="0.25">
      <c r="C269" s="210" t="s">
        <v>621</v>
      </c>
      <c r="D269" s="142" t="s">
        <v>622</v>
      </c>
      <c r="E269" s="145">
        <v>845947</v>
      </c>
      <c r="F269" s="144">
        <v>845947</v>
      </c>
      <c r="G269" s="144">
        <f>G270+G271</f>
        <v>845947</v>
      </c>
      <c r="H269" s="143">
        <f t="shared" si="99"/>
        <v>0</v>
      </c>
      <c r="I269" s="149"/>
      <c r="J269" s="144">
        <f>J270+J271</f>
        <v>845947</v>
      </c>
      <c r="K269" s="143">
        <f t="shared" si="100"/>
        <v>0</v>
      </c>
      <c r="L269" s="149"/>
    </row>
    <row r="270" spans="2:12" ht="16.5" customHeight="1" x14ac:dyDescent="0.25">
      <c r="B270" s="76" t="s">
        <v>623</v>
      </c>
      <c r="C270" s="140" t="s">
        <v>624</v>
      </c>
      <c r="D270" s="113" t="s">
        <v>620</v>
      </c>
      <c r="E270" s="48">
        <v>313283</v>
      </c>
      <c r="F270" s="39">
        <v>313283</v>
      </c>
      <c r="G270" s="39">
        <f t="shared" ref="G270:G279" si="107">ROUND(F270,0)</f>
        <v>313283</v>
      </c>
      <c r="H270" s="38">
        <f t="shared" si="99"/>
        <v>0</v>
      </c>
      <c r="I270" s="40"/>
      <c r="J270" s="39">
        <f t="shared" ref="J270:J279" si="108">ROUND(G270,0)</f>
        <v>313283</v>
      </c>
      <c r="K270" s="38">
        <f t="shared" si="100"/>
        <v>0</v>
      </c>
      <c r="L270" s="40"/>
    </row>
    <row r="271" spans="2:12" ht="16.5" customHeight="1" x14ac:dyDescent="0.25">
      <c r="B271" s="76" t="s">
        <v>625</v>
      </c>
      <c r="C271" s="140" t="s">
        <v>626</v>
      </c>
      <c r="D271" s="113" t="s">
        <v>627</v>
      </c>
      <c r="E271" s="48">
        <v>532664</v>
      </c>
      <c r="F271" s="39">
        <v>532664</v>
      </c>
      <c r="G271" s="39">
        <f t="shared" si="107"/>
        <v>532664</v>
      </c>
      <c r="H271" s="38">
        <f t="shared" si="99"/>
        <v>0</v>
      </c>
      <c r="I271" s="41"/>
      <c r="J271" s="39">
        <f t="shared" si="108"/>
        <v>532664</v>
      </c>
      <c r="K271" s="38">
        <f t="shared" si="100"/>
        <v>0</v>
      </c>
      <c r="L271" s="41"/>
    </row>
    <row r="272" spans="2:12" ht="18" customHeight="1" x14ac:dyDescent="0.25">
      <c r="B272" s="76" t="s">
        <v>628</v>
      </c>
      <c r="C272" s="210" t="s">
        <v>629</v>
      </c>
      <c r="D272" s="142" t="s">
        <v>630</v>
      </c>
      <c r="E272" s="81">
        <v>508477</v>
      </c>
      <c r="F272" s="62">
        <v>508477</v>
      </c>
      <c r="G272" s="62">
        <f>ROUND(F272,0)+1500+30428</f>
        <v>540405</v>
      </c>
      <c r="H272" s="61">
        <f t="shared" si="99"/>
        <v>31928</v>
      </c>
      <c r="I272" s="82" t="s">
        <v>631</v>
      </c>
      <c r="J272" s="62">
        <f>ROUND(G272,0)+4455</f>
        <v>544860</v>
      </c>
      <c r="K272" s="61">
        <f t="shared" si="100"/>
        <v>4455</v>
      </c>
      <c r="L272" s="82" t="s">
        <v>668</v>
      </c>
    </row>
    <row r="273" spans="2:12" ht="25.95" customHeight="1" x14ac:dyDescent="0.25">
      <c r="B273" s="76"/>
      <c r="C273" s="210" t="s">
        <v>632</v>
      </c>
      <c r="D273" s="142" t="s">
        <v>633</v>
      </c>
      <c r="E273" s="81">
        <v>3000</v>
      </c>
      <c r="F273" s="62">
        <v>3000</v>
      </c>
      <c r="G273" s="62">
        <f t="shared" si="107"/>
        <v>3000</v>
      </c>
      <c r="H273" s="61">
        <f t="shared" si="99"/>
        <v>0</v>
      </c>
      <c r="I273" s="82"/>
      <c r="J273" s="62">
        <f t="shared" si="108"/>
        <v>3000</v>
      </c>
      <c r="K273" s="61">
        <f t="shared" si="100"/>
        <v>0</v>
      </c>
      <c r="L273" s="82"/>
    </row>
    <row r="274" spans="2:12" ht="31.95" hidden="1" customHeight="1" outlineLevel="1" x14ac:dyDescent="0.25">
      <c r="B274" s="76" t="s">
        <v>634</v>
      </c>
      <c r="C274" s="210" t="s">
        <v>635</v>
      </c>
      <c r="D274" s="211" t="s">
        <v>636</v>
      </c>
      <c r="E274" s="81">
        <v>0</v>
      </c>
      <c r="F274" s="62">
        <v>0</v>
      </c>
      <c r="G274" s="62">
        <f t="shared" si="107"/>
        <v>0</v>
      </c>
      <c r="H274" s="61">
        <f t="shared" si="99"/>
        <v>0</v>
      </c>
      <c r="I274" s="82" t="s">
        <v>637</v>
      </c>
      <c r="J274" s="62">
        <f t="shared" si="108"/>
        <v>0</v>
      </c>
      <c r="K274" s="61">
        <f t="shared" si="100"/>
        <v>0</v>
      </c>
      <c r="L274" s="82" t="s">
        <v>637</v>
      </c>
    </row>
    <row r="275" spans="2:12" ht="27" hidden="1" customHeight="1" outlineLevel="1" x14ac:dyDescent="0.25">
      <c r="B275" s="76" t="s">
        <v>218</v>
      </c>
      <c r="C275" s="210" t="s">
        <v>638</v>
      </c>
      <c r="D275" s="211" t="s">
        <v>639</v>
      </c>
      <c r="E275" s="81">
        <v>0</v>
      </c>
      <c r="F275" s="62">
        <v>0</v>
      </c>
      <c r="G275" s="62">
        <f t="shared" si="107"/>
        <v>0</v>
      </c>
      <c r="H275" s="61">
        <f t="shared" si="99"/>
        <v>0</v>
      </c>
      <c r="I275" s="82"/>
      <c r="J275" s="62">
        <f t="shared" si="108"/>
        <v>0</v>
      </c>
      <c r="K275" s="61">
        <f t="shared" si="100"/>
        <v>0</v>
      </c>
      <c r="L275" s="82"/>
    </row>
    <row r="276" spans="2:12" ht="57.6" hidden="1" customHeight="1" outlineLevel="1" x14ac:dyDescent="0.25">
      <c r="B276" s="76" t="s">
        <v>640</v>
      </c>
      <c r="C276" s="210" t="s">
        <v>641</v>
      </c>
      <c r="D276" s="211" t="s">
        <v>642</v>
      </c>
      <c r="E276" s="81">
        <v>0</v>
      </c>
      <c r="F276" s="62">
        <v>0</v>
      </c>
      <c r="G276" s="62">
        <f t="shared" si="107"/>
        <v>0</v>
      </c>
      <c r="H276" s="61">
        <f t="shared" si="99"/>
        <v>0</v>
      </c>
      <c r="I276" s="82"/>
      <c r="J276" s="62">
        <f t="shared" si="108"/>
        <v>0</v>
      </c>
      <c r="K276" s="61">
        <f t="shared" si="100"/>
        <v>0</v>
      </c>
      <c r="L276" s="82"/>
    </row>
    <row r="277" spans="2:12" ht="30.6" customHeight="1" collapsed="1" x14ac:dyDescent="0.25">
      <c r="B277" s="76" t="s">
        <v>215</v>
      </c>
      <c r="C277" s="208" t="s">
        <v>635</v>
      </c>
      <c r="D277" s="142" t="s">
        <v>217</v>
      </c>
      <c r="E277" s="81">
        <v>5600179</v>
      </c>
      <c r="F277" s="62">
        <v>5600179</v>
      </c>
      <c r="G277" s="62">
        <f t="shared" si="107"/>
        <v>5600179</v>
      </c>
      <c r="H277" s="61">
        <f t="shared" si="99"/>
        <v>0</v>
      </c>
      <c r="I277" s="82"/>
      <c r="J277" s="62">
        <f t="shared" si="108"/>
        <v>5600179</v>
      </c>
      <c r="K277" s="61">
        <f t="shared" si="100"/>
        <v>0</v>
      </c>
      <c r="L277" s="82"/>
    </row>
    <row r="278" spans="2:12" ht="55.2" customHeight="1" x14ac:dyDescent="0.25">
      <c r="B278" s="76" t="s">
        <v>643</v>
      </c>
      <c r="C278" s="208" t="s">
        <v>638</v>
      </c>
      <c r="D278" s="142" t="s">
        <v>644</v>
      </c>
      <c r="E278" s="81">
        <v>267067</v>
      </c>
      <c r="F278" s="62">
        <v>267067</v>
      </c>
      <c r="G278" s="62">
        <f t="shared" si="107"/>
        <v>267067</v>
      </c>
      <c r="H278" s="61">
        <f t="shared" si="99"/>
        <v>0</v>
      </c>
      <c r="I278" s="82"/>
      <c r="J278" s="62">
        <f t="shared" si="108"/>
        <v>267067</v>
      </c>
      <c r="K278" s="61">
        <f t="shared" si="100"/>
        <v>0</v>
      </c>
      <c r="L278" s="82"/>
    </row>
    <row r="279" spans="2:12" ht="31.5" customHeight="1" thickBot="1" x14ac:dyDescent="0.3">
      <c r="B279" s="212" t="s">
        <v>645</v>
      </c>
      <c r="C279" s="208" t="s">
        <v>641</v>
      </c>
      <c r="D279" s="142" t="s">
        <v>646</v>
      </c>
      <c r="E279" s="81">
        <v>285277</v>
      </c>
      <c r="F279" s="62">
        <v>285277</v>
      </c>
      <c r="G279" s="62">
        <f t="shared" si="107"/>
        <v>285277</v>
      </c>
      <c r="H279" s="61">
        <f t="shared" si="99"/>
        <v>0</v>
      </c>
      <c r="I279" s="82"/>
      <c r="J279" s="62">
        <f t="shared" si="108"/>
        <v>285277</v>
      </c>
      <c r="K279" s="61">
        <f t="shared" si="100"/>
        <v>0</v>
      </c>
      <c r="L279" s="82"/>
    </row>
    <row r="280" spans="2:12" ht="27" hidden="1" customHeight="1" outlineLevel="1" thickBot="1" x14ac:dyDescent="0.3">
      <c r="C280" s="208" t="s">
        <v>647</v>
      </c>
      <c r="D280" s="142" t="s">
        <v>648</v>
      </c>
      <c r="E280" s="63">
        <v>0</v>
      </c>
      <c r="F280" s="64">
        <v>0</v>
      </c>
      <c r="G280" s="64">
        <f>G281+G282</f>
        <v>0</v>
      </c>
      <c r="H280" s="61">
        <f t="shared" si="99"/>
        <v>0</v>
      </c>
      <c r="I280" s="82"/>
      <c r="J280" s="64">
        <f>J281+J282</f>
        <v>0</v>
      </c>
      <c r="K280" s="61">
        <f t="shared" si="100"/>
        <v>0</v>
      </c>
      <c r="L280" s="82"/>
    </row>
    <row r="281" spans="2:12" ht="14.4" hidden="1" customHeight="1" outlineLevel="1" thickBot="1" x14ac:dyDescent="0.3">
      <c r="B281" s="76" t="s">
        <v>649</v>
      </c>
      <c r="C281" s="140" t="s">
        <v>650</v>
      </c>
      <c r="D281" s="113" t="s">
        <v>651</v>
      </c>
      <c r="E281" s="48"/>
      <c r="F281" s="39"/>
      <c r="G281" s="39">
        <f>ROUND(E281,0)</f>
        <v>0</v>
      </c>
      <c r="H281" s="38">
        <f t="shared" si="99"/>
        <v>0</v>
      </c>
      <c r="I281" s="41" t="s">
        <v>637</v>
      </c>
      <c r="J281" s="39">
        <f>ROUND(H281,0)</f>
        <v>0</v>
      </c>
      <c r="K281" s="38">
        <f t="shared" si="100"/>
        <v>0</v>
      </c>
      <c r="L281" s="41" t="s">
        <v>637</v>
      </c>
    </row>
    <row r="282" spans="2:12" s="125" customFormat="1" ht="15" hidden="1" customHeight="1" outlineLevel="1" thickBot="1" x14ac:dyDescent="0.3">
      <c r="B282" s="76" t="s">
        <v>652</v>
      </c>
      <c r="C282" s="140" t="s">
        <v>653</v>
      </c>
      <c r="D282" s="113" t="s">
        <v>654</v>
      </c>
      <c r="E282" s="48"/>
      <c r="F282" s="39"/>
      <c r="G282" s="39">
        <f>ROUND(E282,0)</f>
        <v>0</v>
      </c>
      <c r="H282" s="38">
        <f t="shared" si="99"/>
        <v>0</v>
      </c>
      <c r="I282" s="41"/>
      <c r="J282" s="39">
        <f>ROUND(H282,0)</f>
        <v>0</v>
      </c>
      <c r="K282" s="38">
        <f t="shared" si="100"/>
        <v>0</v>
      </c>
      <c r="L282" s="41"/>
    </row>
    <row r="283" spans="2:12" s="125" customFormat="1" ht="17.399999999999999" hidden="1" customHeight="1" outlineLevel="1" thickBot="1" x14ac:dyDescent="0.3">
      <c r="C283" s="137" t="s">
        <v>111</v>
      </c>
      <c r="D283" s="138" t="s">
        <v>655</v>
      </c>
      <c r="E283" s="46">
        <v>0</v>
      </c>
      <c r="F283" s="45">
        <v>0</v>
      </c>
      <c r="G283" s="45">
        <f>SUM(G284:G285)</f>
        <v>0</v>
      </c>
      <c r="H283" s="44">
        <f t="shared" si="99"/>
        <v>0</v>
      </c>
      <c r="I283" s="47"/>
      <c r="J283" s="45">
        <f>SUM(J284:J285)</f>
        <v>0</v>
      </c>
      <c r="K283" s="44">
        <f t="shared" si="100"/>
        <v>0</v>
      </c>
      <c r="L283" s="47"/>
    </row>
    <row r="284" spans="2:12" ht="17.25" hidden="1" customHeight="1" outlineLevel="1" thickBot="1" x14ac:dyDescent="0.3">
      <c r="C284" s="133" t="s">
        <v>656</v>
      </c>
      <c r="D284" s="134" t="s">
        <v>657</v>
      </c>
      <c r="E284" s="81"/>
      <c r="F284" s="62"/>
      <c r="G284" s="62"/>
      <c r="H284" s="61">
        <f t="shared" si="99"/>
        <v>0</v>
      </c>
      <c r="I284" s="82"/>
      <c r="J284" s="62"/>
      <c r="K284" s="61">
        <f t="shared" si="100"/>
        <v>0</v>
      </c>
      <c r="L284" s="82"/>
    </row>
    <row r="285" spans="2:12" ht="14.4" hidden="1" outlineLevel="1" thickBot="1" x14ac:dyDescent="0.3">
      <c r="C285" s="133" t="s">
        <v>658</v>
      </c>
      <c r="D285" s="134" t="s">
        <v>659</v>
      </c>
      <c r="E285" s="81"/>
      <c r="F285" s="62"/>
      <c r="G285" s="62"/>
      <c r="H285" s="61">
        <f t="shared" si="99"/>
        <v>0</v>
      </c>
      <c r="I285" s="82"/>
      <c r="J285" s="62"/>
      <c r="K285" s="61">
        <f t="shared" si="100"/>
        <v>0</v>
      </c>
      <c r="L285" s="82"/>
    </row>
    <row r="286" spans="2:12" s="125" customFormat="1" ht="30" customHeight="1" collapsed="1" thickBot="1" x14ac:dyDescent="0.3">
      <c r="C286" s="213"/>
      <c r="D286" s="214" t="s">
        <v>660</v>
      </c>
      <c r="E286" s="217">
        <v>71564822</v>
      </c>
      <c r="F286" s="215">
        <v>71564822</v>
      </c>
      <c r="G286" s="215">
        <f t="shared" ref="G286" si="109">G125+G135+G136+G141+G143+G180+G195+G215+G283</f>
        <v>71620010</v>
      </c>
      <c r="H286" s="216">
        <f t="shared" si="99"/>
        <v>55188</v>
      </c>
      <c r="I286" s="216"/>
      <c r="J286" s="215">
        <f>J125+J135+J136+J141+J143+J180+J195+J215+J283</f>
        <v>71626324</v>
      </c>
      <c r="K286" s="216">
        <f t="shared" si="100"/>
        <v>6314</v>
      </c>
      <c r="L286" s="216"/>
    </row>
    <row r="287" spans="2:12" s="35" customFormat="1" ht="42.6" customHeight="1" thickBot="1" x14ac:dyDescent="0.3">
      <c r="C287" s="137" t="s">
        <v>233</v>
      </c>
      <c r="D287" s="138" t="s">
        <v>661</v>
      </c>
      <c r="E287" s="46">
        <v>3467034</v>
      </c>
      <c r="F287" s="45">
        <v>3467034</v>
      </c>
      <c r="G287" s="45">
        <f>ROUND(F287,0)</f>
        <v>3467034</v>
      </c>
      <c r="H287" s="44">
        <f t="shared" si="99"/>
        <v>0</v>
      </c>
      <c r="I287" s="41"/>
      <c r="J287" s="45">
        <f>ROUND(G287,0)+191255</f>
        <v>3658289</v>
      </c>
      <c r="K287" s="44">
        <f t="shared" si="100"/>
        <v>191255</v>
      </c>
      <c r="L287" s="218" t="s">
        <v>399</v>
      </c>
    </row>
    <row r="288" spans="2:12" ht="14.4" thickBot="1" x14ac:dyDescent="0.3">
      <c r="C288" s="213"/>
      <c r="D288" s="214" t="s">
        <v>662</v>
      </c>
      <c r="E288" s="221">
        <v>75031856</v>
      </c>
      <c r="F288" s="220">
        <v>75031856</v>
      </c>
      <c r="G288" s="220">
        <f>G286+G287</f>
        <v>75087044</v>
      </c>
      <c r="H288" s="219">
        <f t="shared" si="99"/>
        <v>55188</v>
      </c>
      <c r="I288" s="222"/>
      <c r="J288" s="220">
        <f>J286+J287</f>
        <v>75284613</v>
      </c>
      <c r="K288" s="219">
        <f t="shared" si="100"/>
        <v>197569</v>
      </c>
      <c r="L288" s="222"/>
    </row>
    <row r="289" spans="3:12" ht="15" thickTop="1" thickBot="1" x14ac:dyDescent="0.3">
      <c r="C289" s="223" t="s">
        <v>663</v>
      </c>
      <c r="D289" s="224" t="s">
        <v>664</v>
      </c>
      <c r="E289" s="227">
        <v>64907.20000000298</v>
      </c>
      <c r="F289" s="226">
        <v>64907.20000000298</v>
      </c>
      <c r="G289" s="226">
        <f>G119-G288-0.2</f>
        <v>64906.8</v>
      </c>
      <c r="H289" s="225">
        <f t="shared" si="99"/>
        <v>-0.40000000297732186</v>
      </c>
      <c r="I289" s="228"/>
      <c r="J289" s="226">
        <f>J119-J288-0.2</f>
        <v>64906.8</v>
      </c>
      <c r="K289" s="225">
        <f t="shared" si="100"/>
        <v>0</v>
      </c>
      <c r="L289" s="228"/>
    </row>
    <row r="291" spans="3:12" x14ac:dyDescent="0.25">
      <c r="I291" s="229" t="s">
        <v>5</v>
      </c>
      <c r="L291" s="229" t="s">
        <v>5</v>
      </c>
    </row>
  </sheetData>
  <mergeCells count="15">
    <mergeCell ref="C2:D2"/>
    <mergeCell ref="C3:D3"/>
    <mergeCell ref="C122:D122"/>
    <mergeCell ref="C123:D123"/>
    <mergeCell ref="L138:L139"/>
    <mergeCell ref="I171:I172"/>
    <mergeCell ref="L171:L172"/>
    <mergeCell ref="I259:I260"/>
    <mergeCell ref="L259:L260"/>
    <mergeCell ref="I191:I192"/>
    <mergeCell ref="I219:I220"/>
    <mergeCell ref="L219:L220"/>
    <mergeCell ref="I243:I244"/>
    <mergeCell ref="L243:L244"/>
    <mergeCell ref="I253:I254"/>
  </mergeCells>
  <conditionalFormatting sqref="E289:H289">
    <cfRule type="cellIs" dxfId="1" priority="3" operator="lessThan">
      <formula>0</formula>
    </cfRule>
  </conditionalFormatting>
  <conditionalFormatting sqref="J289:K289">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colBreaks count="1" manualBreakCount="1">
    <brk id="4" max="29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93EC-C24C-4CE0-B74D-80CA5E38EB74}">
  <sheetPr>
    <tabColor theme="9" tint="0.39997558519241921"/>
    <pageSetUpPr fitToPage="1"/>
  </sheetPr>
  <dimension ref="A1:BB180"/>
  <sheetViews>
    <sheetView topLeftCell="A151" zoomScaleNormal="100" workbookViewId="0">
      <pane xSplit="3" topLeftCell="D1" activePane="topRight" state="frozen"/>
      <selection activeCell="C1" sqref="C1"/>
      <selection pane="topRight" activeCell="J142" sqref="J142"/>
    </sheetView>
  </sheetViews>
  <sheetFormatPr defaultColWidth="8.88671875" defaultRowHeight="14.4" outlineLevelRow="1" outlineLevelCol="1" x14ac:dyDescent="0.3"/>
  <cols>
    <col min="1" max="1" width="5" style="230" hidden="1" customWidth="1" outlineLevel="1"/>
    <col min="2" max="2" width="3.5546875" style="230" hidden="1" customWidth="1" outlineLevel="1"/>
    <col min="3" max="3" width="4.33203125" style="230" customWidth="1" collapsed="1"/>
    <col min="4" max="4" width="31.88671875" style="230" customWidth="1"/>
    <col min="5" max="5" width="12.33203125" style="232" customWidth="1"/>
    <col min="6" max="6" width="11.5546875" style="230" customWidth="1"/>
    <col min="7" max="7" width="11.6640625" style="230" customWidth="1"/>
    <col min="8" max="8" width="11.44140625" style="230" customWidth="1"/>
    <col min="9" max="9" width="6.44140625" style="230" customWidth="1" outlineLevel="1"/>
    <col min="10" max="10" width="11.88671875" style="232" customWidth="1"/>
    <col min="11" max="12" width="13.33203125" style="230" hidden="1" customWidth="1" outlineLevel="1"/>
    <col min="13" max="13" width="6" style="230" hidden="1" customWidth="1" outlineLevel="1"/>
    <col min="14" max="16" width="13.33203125" style="230" hidden="1" customWidth="1" outlineLevel="1"/>
    <col min="17" max="17" width="14.44140625" style="230" customWidth="1" collapsed="1"/>
    <col min="18" max="18" width="12.6640625" style="230" customWidth="1"/>
    <col min="19" max="19" width="13.109375" style="230" customWidth="1"/>
    <col min="20" max="20" width="10.33203125" style="230" customWidth="1"/>
    <col min="21" max="21" width="13" style="230" customWidth="1"/>
    <col min="22" max="24" width="10.33203125" style="230" customWidth="1"/>
    <col min="25" max="46" width="10.33203125" style="230" customWidth="1" outlineLevel="1"/>
    <col min="47" max="47" width="11.33203125" style="230" customWidth="1" outlineLevel="1"/>
    <col min="48" max="48" width="10.33203125" style="230" customWidth="1" outlineLevel="1"/>
    <col min="49" max="49" width="12.33203125" style="230" customWidth="1"/>
    <col min="50" max="50" width="11.5546875" style="230" customWidth="1" collapsed="1"/>
    <col min="51" max="51" width="8.88671875" style="230"/>
    <col min="52" max="52" width="9" style="230" bestFit="1" customWidth="1"/>
    <col min="53" max="53" width="10.6640625" style="230" customWidth="1"/>
    <col min="54" max="54" width="12.33203125" style="230" bestFit="1" customWidth="1"/>
    <col min="55" max="16384" width="8.88671875" style="230"/>
  </cols>
  <sheetData>
    <row r="1" spans="1:53" ht="18" x14ac:dyDescent="0.35">
      <c r="C1" s="231" t="s">
        <v>671</v>
      </c>
      <c r="K1" s="233"/>
      <c r="L1" s="233"/>
      <c r="M1" s="233"/>
      <c r="N1" s="233"/>
      <c r="O1" s="233"/>
      <c r="Q1" s="234"/>
      <c r="S1" s="235"/>
    </row>
    <row r="2" spans="1:53" ht="18" x14ac:dyDescent="0.35">
      <c r="C2" s="231"/>
      <c r="K2" s="234"/>
      <c r="L2" s="234"/>
      <c r="M2" s="234"/>
      <c r="N2" s="234"/>
      <c r="O2" s="234"/>
      <c r="Q2" s="234"/>
      <c r="S2" s="236"/>
    </row>
    <row r="3" spans="1:53" ht="15.6" x14ac:dyDescent="0.3">
      <c r="C3" s="237" t="s">
        <v>672</v>
      </c>
      <c r="K3" s="233"/>
      <c r="L3" s="233"/>
      <c r="M3" s="233"/>
      <c r="N3" s="233"/>
      <c r="O3" s="233"/>
      <c r="P3" s="233"/>
      <c r="Q3" s="234"/>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3" outlineLevel="1" x14ac:dyDescent="0.3">
      <c r="C4" s="239"/>
      <c r="K4" s="234"/>
      <c r="L4" s="234"/>
      <c r="M4" s="234"/>
      <c r="N4" s="234"/>
      <c r="O4" s="234"/>
      <c r="P4" s="240">
        <v>0</v>
      </c>
      <c r="Q4" s="234"/>
      <c r="R4" s="241"/>
      <c r="S4" s="241"/>
      <c r="T4" s="241"/>
      <c r="U4" s="241"/>
      <c r="V4" s="241"/>
      <c r="W4" s="241"/>
      <c r="X4" s="241"/>
      <c r="Y4" s="241"/>
      <c r="Z4" s="241"/>
    </row>
    <row r="5" spans="1:53" s="242" customFormat="1" ht="57.6" x14ac:dyDescent="0.3">
      <c r="B5" s="243" t="s">
        <v>673</v>
      </c>
      <c r="C5" s="244" t="s">
        <v>674</v>
      </c>
      <c r="D5" s="245" t="s">
        <v>675</v>
      </c>
      <c r="E5" s="244" t="s">
        <v>676</v>
      </c>
      <c r="F5" s="244" t="s">
        <v>677</v>
      </c>
      <c r="G5" s="244" t="s">
        <v>678</v>
      </c>
      <c r="H5" s="244" t="s">
        <v>679</v>
      </c>
      <c r="I5" s="244" t="s">
        <v>680</v>
      </c>
      <c r="J5" s="246" t="s">
        <v>681</v>
      </c>
      <c r="K5" s="247" t="s">
        <v>682</v>
      </c>
      <c r="L5" s="247" t="s">
        <v>683</v>
      </c>
      <c r="M5" s="247" t="s">
        <v>684</v>
      </c>
      <c r="N5" s="247" t="s">
        <v>685</v>
      </c>
      <c r="O5" s="247" t="s">
        <v>686</v>
      </c>
      <c r="P5" s="247" t="s">
        <v>687</v>
      </c>
      <c r="Q5" s="248" t="s">
        <v>688</v>
      </c>
      <c r="R5" s="245">
        <v>2025</v>
      </c>
      <c r="S5" s="245">
        <v>2026</v>
      </c>
      <c r="T5" s="245">
        <v>2027</v>
      </c>
      <c r="U5" s="245">
        <v>2028</v>
      </c>
      <c r="V5" s="245">
        <v>2029</v>
      </c>
      <c r="W5" s="245">
        <v>2030</v>
      </c>
      <c r="X5" s="245">
        <v>2031</v>
      </c>
      <c r="Y5" s="245">
        <v>2032</v>
      </c>
      <c r="Z5" s="245">
        <v>2033</v>
      </c>
      <c r="AA5" s="245">
        <v>2034</v>
      </c>
      <c r="AB5" s="245">
        <v>2035</v>
      </c>
      <c r="AC5" s="245">
        <v>2036</v>
      </c>
      <c r="AD5" s="245">
        <v>2037</v>
      </c>
      <c r="AE5" s="245">
        <v>2038</v>
      </c>
      <c r="AF5" s="245">
        <v>2039</v>
      </c>
      <c r="AG5" s="245">
        <v>2040</v>
      </c>
      <c r="AH5" s="245">
        <v>2041</v>
      </c>
      <c r="AI5" s="245">
        <v>2042</v>
      </c>
      <c r="AJ5" s="245">
        <v>2043</v>
      </c>
      <c r="AK5" s="245">
        <v>2044</v>
      </c>
      <c r="AL5" s="245">
        <v>2045</v>
      </c>
      <c r="AM5" s="245">
        <v>2046</v>
      </c>
      <c r="AN5" s="245">
        <v>2047</v>
      </c>
      <c r="AO5" s="245">
        <v>2048</v>
      </c>
      <c r="AP5" s="245">
        <v>2049</v>
      </c>
      <c r="AQ5" s="245">
        <v>2050</v>
      </c>
      <c r="AR5" s="245">
        <v>2051</v>
      </c>
      <c r="AS5" s="245">
        <v>2052</v>
      </c>
      <c r="AT5" s="245">
        <v>2053</v>
      </c>
      <c r="AU5" s="244" t="s">
        <v>689</v>
      </c>
      <c r="AV5" s="249"/>
      <c r="AW5" s="243" t="s">
        <v>690</v>
      </c>
      <c r="AX5" s="244" t="s">
        <v>691</v>
      </c>
    </row>
    <row r="6" spans="1:53" s="250" customFormat="1" outlineLevel="1" x14ac:dyDescent="0.3">
      <c r="B6" s="251" t="s">
        <v>692</v>
      </c>
      <c r="C6" s="252">
        <v>1</v>
      </c>
      <c r="D6" s="253" t="s">
        <v>693</v>
      </c>
      <c r="E6" s="254" t="s">
        <v>694</v>
      </c>
      <c r="F6" s="255" t="s">
        <v>695</v>
      </c>
      <c r="G6" s="255" t="s">
        <v>696</v>
      </c>
      <c r="H6" s="255" t="s">
        <v>697</v>
      </c>
      <c r="I6" s="255" t="s">
        <v>698</v>
      </c>
      <c r="J6" s="256">
        <v>2099988.0499999998</v>
      </c>
      <c r="K6" s="257">
        <v>1196908</v>
      </c>
      <c r="L6" s="257"/>
      <c r="M6" s="257"/>
      <c r="N6" s="253"/>
      <c r="O6" s="253"/>
      <c r="P6" s="253"/>
      <c r="Q6" s="258" t="s">
        <v>699</v>
      </c>
      <c r="R6" s="259">
        <v>97944.8</v>
      </c>
      <c r="S6" s="259">
        <v>97944.8</v>
      </c>
      <c r="T6" s="259">
        <v>97944.8</v>
      </c>
      <c r="U6" s="259">
        <v>97944.8</v>
      </c>
      <c r="V6" s="259">
        <v>97944.8</v>
      </c>
      <c r="W6" s="259">
        <v>97944.8</v>
      </c>
      <c r="X6" s="259">
        <v>97944.8</v>
      </c>
      <c r="Y6" s="259">
        <v>97944.8</v>
      </c>
      <c r="Z6" s="259">
        <v>113829.75999999999</v>
      </c>
      <c r="AA6" s="259">
        <v>113829.75999999999</v>
      </c>
      <c r="AB6" s="259">
        <v>113829.75999999999</v>
      </c>
      <c r="AC6" s="259">
        <v>71860.709999999992</v>
      </c>
      <c r="AD6" s="259">
        <v>0</v>
      </c>
      <c r="AE6" s="259">
        <v>0</v>
      </c>
      <c r="AF6" s="259">
        <v>0</v>
      </c>
      <c r="AG6" s="259">
        <v>0</v>
      </c>
      <c r="AH6" s="259">
        <v>0</v>
      </c>
      <c r="AI6" s="259">
        <v>0</v>
      </c>
      <c r="AJ6" s="259">
        <v>0</v>
      </c>
      <c r="AK6" s="259">
        <v>0</v>
      </c>
      <c r="AL6" s="259">
        <v>0</v>
      </c>
      <c r="AM6" s="259">
        <v>0</v>
      </c>
      <c r="AN6" s="259">
        <v>0</v>
      </c>
      <c r="AO6" s="259">
        <v>0</v>
      </c>
      <c r="AP6" s="259">
        <v>0</v>
      </c>
      <c r="AQ6" s="259">
        <v>0</v>
      </c>
      <c r="AR6" s="259">
        <v>0</v>
      </c>
      <c r="AS6" s="259"/>
      <c r="AT6" s="259"/>
      <c r="AU6" s="260">
        <f>SUM(R6:AT6)</f>
        <v>1196908.3900000001</v>
      </c>
      <c r="AV6" s="261">
        <f>AU6-SUM(R6:AT6)</f>
        <v>0</v>
      </c>
      <c r="AW6" s="262">
        <f>SUM(Y6:AT6)</f>
        <v>511294.79000000004</v>
      </c>
      <c r="AX6" s="263">
        <f>SUM(R6:X6,AW6)</f>
        <v>1196908.3900000001</v>
      </c>
      <c r="AZ6" s="250" t="b">
        <f>AU6=AX6</f>
        <v>1</v>
      </c>
      <c r="BA6" s="264">
        <f>AX6-K6</f>
        <v>0.39000000013038516</v>
      </c>
    </row>
    <row r="7" spans="1:53" outlineLevel="1" x14ac:dyDescent="0.3">
      <c r="B7" s="265" t="s">
        <v>692</v>
      </c>
      <c r="C7" s="266"/>
      <c r="D7" s="267" t="s">
        <v>700</v>
      </c>
      <c r="E7" s="268"/>
      <c r="F7" s="269"/>
      <c r="G7" s="269"/>
      <c r="H7" s="269"/>
      <c r="I7" s="269"/>
      <c r="J7" s="270"/>
      <c r="K7" s="270"/>
      <c r="L7" s="270" t="s">
        <v>701</v>
      </c>
      <c r="M7" s="270"/>
      <c r="N7" s="271">
        <f>SUM(O7:P7)</f>
        <v>3.55</v>
      </c>
      <c r="O7" s="272">
        <v>3.55</v>
      </c>
      <c r="P7" s="271">
        <f>$P$4</f>
        <v>0</v>
      </c>
      <c r="Q7" s="271" t="s">
        <v>702</v>
      </c>
      <c r="R7" s="273">
        <v>39130.74</v>
      </c>
      <c r="S7" s="273">
        <f>SUM(S6:$AR6)*$N7/100</f>
        <v>39013.207445</v>
      </c>
      <c r="T7" s="273">
        <f>SUM(T6:$AR6)*$N7/100</f>
        <v>35536.167045000002</v>
      </c>
      <c r="U7" s="273">
        <f>SUM(U6:$AR6)*$N7/100</f>
        <v>32059.126645</v>
      </c>
      <c r="V7" s="273">
        <f>SUM(V6:$AR6)*$N7/100</f>
        <v>28582.086244999995</v>
      </c>
      <c r="W7" s="273">
        <f>SUM(W6:$AR6)*$N7/100</f>
        <v>25105.045845000001</v>
      </c>
      <c r="X7" s="273">
        <f>SUM(X6:$AR6)*$N7/100</f>
        <v>21628.005444999999</v>
      </c>
      <c r="Y7" s="273">
        <f>SUM(Y6:$AR6)*$N7/100</f>
        <v>18150.965045000001</v>
      </c>
      <c r="Z7" s="273">
        <f>SUM(Z6:$AR6)*$N7/100</f>
        <v>14673.924644999999</v>
      </c>
      <c r="AA7" s="273">
        <f>SUM(AA6:$AR6)*$N7/100</f>
        <v>10632.968165</v>
      </c>
      <c r="AB7" s="273">
        <f>SUM(AB6:$AR6)*$N7/100</f>
        <v>6592.0116849999995</v>
      </c>
      <c r="AC7" s="273">
        <f>SUM(AC6:$AR6)*$N7/100</f>
        <v>2551.0552049999997</v>
      </c>
      <c r="AD7" s="273">
        <v>0</v>
      </c>
      <c r="AE7" s="273">
        <v>0</v>
      </c>
      <c r="AF7" s="273">
        <v>0</v>
      </c>
      <c r="AG7" s="273">
        <v>0</v>
      </c>
      <c r="AH7" s="273">
        <v>0</v>
      </c>
      <c r="AI7" s="273">
        <v>0</v>
      </c>
      <c r="AJ7" s="273">
        <v>0</v>
      </c>
      <c r="AK7" s="273">
        <v>0</v>
      </c>
      <c r="AL7" s="273">
        <v>0</v>
      </c>
      <c r="AM7" s="273">
        <v>0</v>
      </c>
      <c r="AN7" s="273">
        <v>0</v>
      </c>
      <c r="AO7" s="273">
        <v>0</v>
      </c>
      <c r="AP7" s="273">
        <v>0</v>
      </c>
      <c r="AQ7" s="273">
        <v>0</v>
      </c>
      <c r="AR7" s="273">
        <v>0</v>
      </c>
      <c r="AS7" s="273"/>
      <c r="AT7" s="273"/>
      <c r="AU7" s="274">
        <f t="shared" ref="AU7:AU70" si="0">SUM(R7:AT7)</f>
        <v>273655.30341499991</v>
      </c>
      <c r="AV7" s="261">
        <f t="shared" ref="AV7:AV70" si="1">AU7-SUM(R7:AT7)</f>
        <v>0</v>
      </c>
      <c r="AW7" s="275">
        <f t="shared" ref="AW7:AW70" si="2">SUM(Y7:AT7)</f>
        <v>52600.924744999989</v>
      </c>
      <c r="AX7" s="276">
        <f t="shared" ref="AX7:AX70" si="3">SUM(R7:X7,AW7)</f>
        <v>273655.30341499997</v>
      </c>
      <c r="AZ7" s="250" t="b">
        <f t="shared" ref="AZ7:AZ70" si="4">AU7=AX7</f>
        <v>1</v>
      </c>
    </row>
    <row r="8" spans="1:53" s="250" customFormat="1" outlineLevel="1" x14ac:dyDescent="0.3">
      <c r="B8" s="251" t="s">
        <v>692</v>
      </c>
      <c r="C8" s="252">
        <v>2</v>
      </c>
      <c r="D8" s="253" t="s">
        <v>693</v>
      </c>
      <c r="E8" s="254" t="s">
        <v>703</v>
      </c>
      <c r="F8" s="255" t="s">
        <v>704</v>
      </c>
      <c r="G8" s="255" t="s">
        <v>705</v>
      </c>
      <c r="H8" s="255" t="s">
        <v>706</v>
      </c>
      <c r="I8" s="255" t="s">
        <v>698</v>
      </c>
      <c r="J8" s="256">
        <v>6628759.9400000004</v>
      </c>
      <c r="K8" s="257">
        <v>2748190</v>
      </c>
      <c r="L8" s="257"/>
      <c r="M8" s="257"/>
      <c r="N8" s="258"/>
      <c r="O8" s="258"/>
      <c r="P8" s="258"/>
      <c r="Q8" s="258" t="s">
        <v>699</v>
      </c>
      <c r="R8" s="259">
        <v>392598.8</v>
      </c>
      <c r="S8" s="259">
        <v>392598.8</v>
      </c>
      <c r="T8" s="259">
        <v>392598.8</v>
      </c>
      <c r="U8" s="259">
        <v>392598.8</v>
      </c>
      <c r="V8" s="259">
        <v>392598.8</v>
      </c>
      <c r="W8" s="259">
        <v>392598.8</v>
      </c>
      <c r="X8" s="259">
        <v>392597.24</v>
      </c>
      <c r="Y8" s="259">
        <v>0</v>
      </c>
      <c r="Z8" s="259">
        <v>0</v>
      </c>
      <c r="AA8" s="259">
        <v>0</v>
      </c>
      <c r="AB8" s="259">
        <v>0</v>
      </c>
      <c r="AC8" s="259">
        <v>0</v>
      </c>
      <c r="AD8" s="259">
        <v>0</v>
      </c>
      <c r="AE8" s="259">
        <v>0</v>
      </c>
      <c r="AF8" s="259">
        <v>0</v>
      </c>
      <c r="AG8" s="259">
        <v>0</v>
      </c>
      <c r="AH8" s="259">
        <v>0</v>
      </c>
      <c r="AI8" s="259">
        <v>0</v>
      </c>
      <c r="AJ8" s="259">
        <v>0</v>
      </c>
      <c r="AK8" s="259">
        <v>0</v>
      </c>
      <c r="AL8" s="259">
        <v>0</v>
      </c>
      <c r="AM8" s="259">
        <v>0</v>
      </c>
      <c r="AN8" s="259">
        <v>0</v>
      </c>
      <c r="AO8" s="259">
        <v>0</v>
      </c>
      <c r="AP8" s="259">
        <v>0</v>
      </c>
      <c r="AQ8" s="259">
        <v>0</v>
      </c>
      <c r="AR8" s="259">
        <v>0</v>
      </c>
      <c r="AS8" s="259"/>
      <c r="AT8" s="259"/>
      <c r="AU8" s="260">
        <f t="shared" si="0"/>
        <v>2748190.04</v>
      </c>
      <c r="AV8" s="261">
        <f t="shared" si="1"/>
        <v>0</v>
      </c>
      <c r="AW8" s="262">
        <f t="shared" si="2"/>
        <v>0</v>
      </c>
      <c r="AX8" s="263">
        <f t="shared" si="3"/>
        <v>2748190.04</v>
      </c>
      <c r="AZ8" s="250" t="b">
        <f t="shared" si="4"/>
        <v>1</v>
      </c>
      <c r="BA8" s="264">
        <f>AX8-K8</f>
        <v>4.0000000037252903E-2</v>
      </c>
    </row>
    <row r="9" spans="1:53" outlineLevel="1" x14ac:dyDescent="0.3">
      <c r="B9" s="265" t="s">
        <v>692</v>
      </c>
      <c r="C9" s="266"/>
      <c r="D9" s="267" t="s">
        <v>707</v>
      </c>
      <c r="E9" s="268"/>
      <c r="F9" s="269"/>
      <c r="G9" s="269"/>
      <c r="H9" s="269"/>
      <c r="I9" s="269"/>
      <c r="J9" s="270"/>
      <c r="K9" s="270"/>
      <c r="L9" s="277" t="s">
        <v>708</v>
      </c>
      <c r="M9" s="277"/>
      <c r="N9" s="271">
        <f t="shared" ref="N9:N69" si="5">SUM(O9:P9)</f>
        <v>3.5259999999999998</v>
      </c>
      <c r="O9" s="278">
        <v>3.5259999999999998</v>
      </c>
      <c r="P9" s="271">
        <f>$P$4</f>
        <v>0</v>
      </c>
      <c r="Q9" s="271" t="s">
        <v>702</v>
      </c>
      <c r="R9" s="273">
        <v>89054.35</v>
      </c>
      <c r="S9" s="273">
        <f>SUM(S8:$AR8)*$N9/100</f>
        <v>83058.147122399998</v>
      </c>
      <c r="T9" s="273">
        <f>SUM(T8:$AR8)*$N9/100</f>
        <v>69215.113434399987</v>
      </c>
      <c r="U9" s="273">
        <f>SUM(U8:$AR8)*$N9/100</f>
        <v>55372.079746399999</v>
      </c>
      <c r="V9" s="273">
        <f>SUM(V8:$AR8)*$N9/100</f>
        <v>41529.046058399996</v>
      </c>
      <c r="W9" s="273">
        <f>SUM(W8:$AR8)*$N9/100</f>
        <v>27686.0123704</v>
      </c>
      <c r="X9" s="273">
        <f>SUM(X8:$AR8)*$N9/100</f>
        <v>13842.9786824</v>
      </c>
      <c r="Y9" s="273">
        <f>SUM(Y8:$AR8)*$N9/100</f>
        <v>0</v>
      </c>
      <c r="Z9" s="273">
        <v>0</v>
      </c>
      <c r="AA9" s="273">
        <v>0</v>
      </c>
      <c r="AB9" s="273">
        <v>0</v>
      </c>
      <c r="AC9" s="273">
        <v>0</v>
      </c>
      <c r="AD9" s="273">
        <v>0</v>
      </c>
      <c r="AE9" s="273">
        <v>0</v>
      </c>
      <c r="AF9" s="273">
        <v>0</v>
      </c>
      <c r="AG9" s="273">
        <v>0</v>
      </c>
      <c r="AH9" s="273">
        <v>0</v>
      </c>
      <c r="AI9" s="273">
        <v>0</v>
      </c>
      <c r="AJ9" s="273">
        <v>0</v>
      </c>
      <c r="AK9" s="273">
        <v>0</v>
      </c>
      <c r="AL9" s="273">
        <v>0</v>
      </c>
      <c r="AM9" s="273">
        <v>0</v>
      </c>
      <c r="AN9" s="273">
        <v>0</v>
      </c>
      <c r="AO9" s="273">
        <v>0</v>
      </c>
      <c r="AP9" s="273">
        <v>0</v>
      </c>
      <c r="AQ9" s="273">
        <v>0</v>
      </c>
      <c r="AR9" s="273">
        <v>0</v>
      </c>
      <c r="AS9" s="273"/>
      <c r="AT9" s="273"/>
      <c r="AU9" s="274">
        <f t="shared" si="0"/>
        <v>379757.72741440003</v>
      </c>
      <c r="AV9" s="261">
        <f t="shared" si="1"/>
        <v>0</v>
      </c>
      <c r="AW9" s="275">
        <f t="shared" si="2"/>
        <v>0</v>
      </c>
      <c r="AX9" s="276">
        <f t="shared" si="3"/>
        <v>379757.72741440003</v>
      </c>
      <c r="AZ9" s="250" t="b">
        <f t="shared" si="4"/>
        <v>1</v>
      </c>
    </row>
    <row r="10" spans="1:53" s="250" customFormat="1" outlineLevel="1" x14ac:dyDescent="0.3">
      <c r="A10" s="250" t="s">
        <v>709</v>
      </c>
      <c r="B10" s="251" t="s">
        <v>692</v>
      </c>
      <c r="C10" s="252">
        <v>3</v>
      </c>
      <c r="D10" s="253" t="s">
        <v>710</v>
      </c>
      <c r="E10" s="254" t="s">
        <v>711</v>
      </c>
      <c r="F10" s="255" t="s">
        <v>712</v>
      </c>
      <c r="G10" s="255" t="s">
        <v>713</v>
      </c>
      <c r="H10" s="255" t="s">
        <v>714</v>
      </c>
      <c r="I10" s="255" t="s">
        <v>698</v>
      </c>
      <c r="J10" s="256">
        <v>871076.43</v>
      </c>
      <c r="K10" s="257">
        <v>373265</v>
      </c>
      <c r="L10" s="257"/>
      <c r="M10" s="257"/>
      <c r="N10" s="258"/>
      <c r="O10" s="258"/>
      <c r="P10" s="258"/>
      <c r="Q10" s="258" t="s">
        <v>699</v>
      </c>
      <c r="R10" s="259">
        <v>53323.56</v>
      </c>
      <c r="S10" s="259">
        <v>53323.56</v>
      </c>
      <c r="T10" s="259">
        <v>53323.56</v>
      </c>
      <c r="U10" s="259">
        <v>53323.56</v>
      </c>
      <c r="V10" s="259">
        <v>53323.56</v>
      </c>
      <c r="W10" s="259">
        <v>53323.56</v>
      </c>
      <c r="X10" s="259">
        <v>51223.4</v>
      </c>
      <c r="Y10" s="259">
        <v>2099.91</v>
      </c>
      <c r="Z10" s="259">
        <v>0</v>
      </c>
      <c r="AA10" s="259">
        <v>0</v>
      </c>
      <c r="AB10" s="259">
        <v>0</v>
      </c>
      <c r="AC10" s="259">
        <v>0</v>
      </c>
      <c r="AD10" s="259">
        <v>0</v>
      </c>
      <c r="AE10" s="259">
        <v>0</v>
      </c>
      <c r="AF10" s="259">
        <v>0</v>
      </c>
      <c r="AG10" s="259">
        <v>0</v>
      </c>
      <c r="AH10" s="259">
        <v>0</v>
      </c>
      <c r="AI10" s="259">
        <v>0</v>
      </c>
      <c r="AJ10" s="259">
        <v>0</v>
      </c>
      <c r="AK10" s="259">
        <v>0</v>
      </c>
      <c r="AL10" s="259">
        <v>0</v>
      </c>
      <c r="AM10" s="259">
        <v>0</v>
      </c>
      <c r="AN10" s="259">
        <v>0</v>
      </c>
      <c r="AO10" s="259">
        <v>0</v>
      </c>
      <c r="AP10" s="259">
        <v>0</v>
      </c>
      <c r="AQ10" s="259">
        <v>0</v>
      </c>
      <c r="AR10" s="259">
        <v>0</v>
      </c>
      <c r="AS10" s="259"/>
      <c r="AT10" s="259"/>
      <c r="AU10" s="260">
        <f t="shared" si="0"/>
        <v>373264.67</v>
      </c>
      <c r="AV10" s="261">
        <f t="shared" si="1"/>
        <v>0</v>
      </c>
      <c r="AW10" s="262">
        <f t="shared" si="2"/>
        <v>2099.91</v>
      </c>
      <c r="AX10" s="263">
        <f t="shared" si="3"/>
        <v>373264.67</v>
      </c>
      <c r="AZ10" s="250" t="b">
        <f t="shared" si="4"/>
        <v>1</v>
      </c>
      <c r="BA10" s="264">
        <f>AX10-K10</f>
        <v>-0.33000000001629815</v>
      </c>
    </row>
    <row r="11" spans="1:53" outlineLevel="1" x14ac:dyDescent="0.3">
      <c r="A11" s="250" t="s">
        <v>709</v>
      </c>
      <c r="B11" s="265" t="s">
        <v>692</v>
      </c>
      <c r="C11" s="266"/>
      <c r="D11" s="267" t="s">
        <v>715</v>
      </c>
      <c r="E11" s="268"/>
      <c r="F11" s="269"/>
      <c r="G11" s="269"/>
      <c r="H11" s="269"/>
      <c r="I11" s="269"/>
      <c r="J11" s="270"/>
      <c r="K11" s="270"/>
      <c r="L11" s="270" t="s">
        <v>716</v>
      </c>
      <c r="M11" s="270"/>
      <c r="N11" s="271">
        <f t="shared" si="5"/>
        <v>3.9790000000000001</v>
      </c>
      <c r="O11" s="278">
        <v>3.9790000000000001</v>
      </c>
      <c r="P11" s="271">
        <f>$P$4</f>
        <v>0</v>
      </c>
      <c r="Q11" s="271" t="s">
        <v>702</v>
      </c>
      <c r="R11" s="273">
        <f>12940.15+500</f>
        <v>13440.15</v>
      </c>
      <c r="S11" s="273">
        <v>13137.43</v>
      </c>
      <c r="T11" s="273">
        <v>10896.919999999998</v>
      </c>
      <c r="U11" s="273">
        <v>8679.44</v>
      </c>
      <c r="V11" s="273">
        <v>6409.7699999999995</v>
      </c>
      <c r="W11" s="273">
        <v>4166.21</v>
      </c>
      <c r="X11" s="273">
        <v>1941.92</v>
      </c>
      <c r="Y11" s="273">
        <v>173.87</v>
      </c>
      <c r="Z11" s="273">
        <v>0</v>
      </c>
      <c r="AA11" s="273">
        <v>0</v>
      </c>
      <c r="AB11" s="273">
        <v>0</v>
      </c>
      <c r="AC11" s="273">
        <v>0</v>
      </c>
      <c r="AD11" s="273">
        <v>0</v>
      </c>
      <c r="AE11" s="273">
        <v>0</v>
      </c>
      <c r="AF11" s="273">
        <v>0</v>
      </c>
      <c r="AG11" s="273">
        <v>0</v>
      </c>
      <c r="AH11" s="273">
        <v>0</v>
      </c>
      <c r="AI11" s="273">
        <v>0</v>
      </c>
      <c r="AJ11" s="273">
        <v>0</v>
      </c>
      <c r="AK11" s="273">
        <v>0</v>
      </c>
      <c r="AL11" s="273">
        <v>0</v>
      </c>
      <c r="AM11" s="273">
        <v>0</v>
      </c>
      <c r="AN11" s="273">
        <v>0</v>
      </c>
      <c r="AO11" s="273">
        <v>0</v>
      </c>
      <c r="AP11" s="273">
        <v>0</v>
      </c>
      <c r="AQ11" s="273">
        <v>0</v>
      </c>
      <c r="AR11" s="273">
        <v>0</v>
      </c>
      <c r="AS11" s="273"/>
      <c r="AT11" s="273"/>
      <c r="AU11" s="274">
        <f t="shared" si="0"/>
        <v>58845.71</v>
      </c>
      <c r="AV11" s="261">
        <f t="shared" si="1"/>
        <v>0</v>
      </c>
      <c r="AW11" s="275">
        <f t="shared" si="2"/>
        <v>173.87</v>
      </c>
      <c r="AX11" s="276">
        <f t="shared" si="3"/>
        <v>58845.71</v>
      </c>
      <c r="AZ11" s="250" t="b">
        <f t="shared" si="4"/>
        <v>1</v>
      </c>
    </row>
    <row r="12" spans="1:53" s="250" customFormat="1" outlineLevel="1" x14ac:dyDescent="0.3">
      <c r="B12" s="251" t="s">
        <v>692</v>
      </c>
      <c r="C12" s="252">
        <v>4</v>
      </c>
      <c r="D12" s="253" t="s">
        <v>717</v>
      </c>
      <c r="E12" s="254" t="s">
        <v>718</v>
      </c>
      <c r="F12" s="255" t="s">
        <v>719</v>
      </c>
      <c r="G12" s="255" t="s">
        <v>720</v>
      </c>
      <c r="H12" s="255" t="s">
        <v>721</v>
      </c>
      <c r="I12" s="255" t="s">
        <v>698</v>
      </c>
      <c r="J12" s="256">
        <v>1925611</v>
      </c>
      <c r="K12" s="257">
        <v>996030</v>
      </c>
      <c r="L12" s="257"/>
      <c r="M12" s="257"/>
      <c r="N12" s="258"/>
      <c r="O12" s="258"/>
      <c r="P12" s="258"/>
      <c r="Q12" s="258" t="s">
        <v>699</v>
      </c>
      <c r="R12" s="259">
        <v>132804</v>
      </c>
      <c r="S12" s="259">
        <v>132804</v>
      </c>
      <c r="T12" s="259">
        <v>132804</v>
      </c>
      <c r="U12" s="259">
        <v>132804</v>
      </c>
      <c r="V12" s="259">
        <v>132804</v>
      </c>
      <c r="W12" s="259">
        <v>132804</v>
      </c>
      <c r="X12" s="259">
        <v>132804</v>
      </c>
      <c r="Y12" s="259">
        <v>66402</v>
      </c>
      <c r="Z12" s="259">
        <v>0</v>
      </c>
      <c r="AA12" s="259">
        <v>0</v>
      </c>
      <c r="AB12" s="259">
        <v>0</v>
      </c>
      <c r="AC12" s="259">
        <v>0</v>
      </c>
      <c r="AD12" s="259">
        <v>0</v>
      </c>
      <c r="AE12" s="259">
        <v>0</v>
      </c>
      <c r="AF12" s="259">
        <v>0</v>
      </c>
      <c r="AG12" s="259">
        <v>0</v>
      </c>
      <c r="AH12" s="259">
        <v>0</v>
      </c>
      <c r="AI12" s="259">
        <v>0</v>
      </c>
      <c r="AJ12" s="259">
        <v>0</v>
      </c>
      <c r="AK12" s="259">
        <v>0</v>
      </c>
      <c r="AL12" s="259">
        <v>0</v>
      </c>
      <c r="AM12" s="259">
        <v>0</v>
      </c>
      <c r="AN12" s="259">
        <v>0</v>
      </c>
      <c r="AO12" s="259">
        <v>0</v>
      </c>
      <c r="AP12" s="259">
        <v>0</v>
      </c>
      <c r="AQ12" s="259">
        <v>0</v>
      </c>
      <c r="AR12" s="259">
        <v>0</v>
      </c>
      <c r="AS12" s="259"/>
      <c r="AT12" s="259"/>
      <c r="AU12" s="260">
        <f t="shared" si="0"/>
        <v>996030</v>
      </c>
      <c r="AV12" s="261">
        <f t="shared" si="1"/>
        <v>0</v>
      </c>
      <c r="AW12" s="262">
        <f t="shared" si="2"/>
        <v>66402</v>
      </c>
      <c r="AX12" s="263">
        <f t="shared" si="3"/>
        <v>996030</v>
      </c>
      <c r="AZ12" s="250" t="b">
        <f t="shared" si="4"/>
        <v>1</v>
      </c>
      <c r="BA12" s="264">
        <f>AX12-K12</f>
        <v>0</v>
      </c>
    </row>
    <row r="13" spans="1:53" outlineLevel="1" x14ac:dyDescent="0.3">
      <c r="B13" s="265" t="s">
        <v>692</v>
      </c>
      <c r="C13" s="266"/>
      <c r="D13" s="267" t="s">
        <v>722</v>
      </c>
      <c r="E13" s="268"/>
      <c r="F13" s="269"/>
      <c r="G13" s="269"/>
      <c r="H13" s="269"/>
      <c r="I13" s="269"/>
      <c r="J13" s="270"/>
      <c r="K13" s="270"/>
      <c r="L13" s="270" t="s">
        <v>723</v>
      </c>
      <c r="M13" s="270"/>
      <c r="N13" s="271">
        <f t="shared" si="5"/>
        <v>3.9729999999999999</v>
      </c>
      <c r="O13" s="271">
        <v>3.9729999999999999</v>
      </c>
      <c r="P13" s="271">
        <f>$P$4</f>
        <v>0</v>
      </c>
      <c r="Q13" s="271" t="s">
        <v>702</v>
      </c>
      <c r="R13" s="273">
        <f>33089.38+1500</f>
        <v>34589.379999999997</v>
      </c>
      <c r="S13" s="273">
        <f>SUM(S12:$AR12)*$N13/100</f>
        <v>34295.968979999998</v>
      </c>
      <c r="T13" s="273">
        <f>SUM(T12:$AR12)*$N13/100</f>
        <v>29019.666059999996</v>
      </c>
      <c r="U13" s="273">
        <f>SUM(U12:$AR12)*$N13/100</f>
        <v>23743.363139999998</v>
      </c>
      <c r="V13" s="273">
        <f>SUM(V12:$AR12)*$N13/100</f>
        <v>18467.060219999999</v>
      </c>
      <c r="W13" s="273">
        <f>SUM(W12:$AR12)*$N13/100</f>
        <v>13190.757299999999</v>
      </c>
      <c r="X13" s="273">
        <f>SUM(X12:$AR12)*$N13/100</f>
        <v>7914.4543799999992</v>
      </c>
      <c r="Y13" s="273">
        <f>SUM(Y12:$AR12)*$N13/100</f>
        <v>2638.15146</v>
      </c>
      <c r="Z13" s="273">
        <v>0</v>
      </c>
      <c r="AA13" s="273">
        <v>0</v>
      </c>
      <c r="AB13" s="273">
        <v>0</v>
      </c>
      <c r="AC13" s="273">
        <v>0</v>
      </c>
      <c r="AD13" s="273">
        <v>0</v>
      </c>
      <c r="AE13" s="273">
        <v>0</v>
      </c>
      <c r="AF13" s="273">
        <v>0</v>
      </c>
      <c r="AG13" s="273">
        <v>0</v>
      </c>
      <c r="AH13" s="273">
        <v>0</v>
      </c>
      <c r="AI13" s="273">
        <v>0</v>
      </c>
      <c r="AJ13" s="273">
        <v>0</v>
      </c>
      <c r="AK13" s="273">
        <v>0</v>
      </c>
      <c r="AL13" s="273">
        <v>0</v>
      </c>
      <c r="AM13" s="273">
        <v>0</v>
      </c>
      <c r="AN13" s="273">
        <v>0</v>
      </c>
      <c r="AO13" s="273">
        <v>0</v>
      </c>
      <c r="AP13" s="273">
        <v>0</v>
      </c>
      <c r="AQ13" s="273">
        <v>0</v>
      </c>
      <c r="AR13" s="273">
        <v>0</v>
      </c>
      <c r="AS13" s="273"/>
      <c r="AT13" s="273"/>
      <c r="AU13" s="274">
        <f t="shared" si="0"/>
        <v>163858.80153999999</v>
      </c>
      <c r="AV13" s="261">
        <f t="shared" si="1"/>
        <v>0</v>
      </c>
      <c r="AW13" s="275">
        <f t="shared" si="2"/>
        <v>2638.15146</v>
      </c>
      <c r="AX13" s="276">
        <f t="shared" si="3"/>
        <v>163858.80153999999</v>
      </c>
      <c r="AZ13" s="250" t="b">
        <f t="shared" si="4"/>
        <v>1</v>
      </c>
    </row>
    <row r="14" spans="1:53" s="250" customFormat="1" outlineLevel="1" x14ac:dyDescent="0.3">
      <c r="B14" s="251" t="s">
        <v>692</v>
      </c>
      <c r="C14" s="252">
        <v>5</v>
      </c>
      <c r="D14" s="253" t="s">
        <v>717</v>
      </c>
      <c r="E14" s="254" t="s">
        <v>724</v>
      </c>
      <c r="F14" s="255" t="s">
        <v>725</v>
      </c>
      <c r="G14" s="255" t="s">
        <v>726</v>
      </c>
      <c r="H14" s="255" t="s">
        <v>727</v>
      </c>
      <c r="I14" s="255" t="s">
        <v>698</v>
      </c>
      <c r="J14" s="256">
        <v>154450.12</v>
      </c>
      <c r="K14" s="257">
        <v>81158</v>
      </c>
      <c r="L14" s="257"/>
      <c r="M14" s="257"/>
      <c r="N14" s="258"/>
      <c r="O14" s="258"/>
      <c r="P14" s="258"/>
      <c r="Q14" s="258" t="s">
        <v>699</v>
      </c>
      <c r="R14" s="259">
        <v>10472</v>
      </c>
      <c r="S14" s="259">
        <v>10472</v>
      </c>
      <c r="T14" s="259">
        <v>10472</v>
      </c>
      <c r="U14" s="259">
        <v>10472</v>
      </c>
      <c r="V14" s="259">
        <v>10472</v>
      </c>
      <c r="W14" s="259">
        <v>10472</v>
      </c>
      <c r="X14" s="259">
        <v>10472</v>
      </c>
      <c r="Y14" s="259">
        <v>7854</v>
      </c>
      <c r="Z14" s="259">
        <v>0</v>
      </c>
      <c r="AA14" s="259">
        <v>0</v>
      </c>
      <c r="AB14" s="259">
        <v>0</v>
      </c>
      <c r="AC14" s="259">
        <v>0</v>
      </c>
      <c r="AD14" s="259">
        <v>0</v>
      </c>
      <c r="AE14" s="259">
        <v>0</v>
      </c>
      <c r="AF14" s="259">
        <v>0</v>
      </c>
      <c r="AG14" s="259">
        <v>0</v>
      </c>
      <c r="AH14" s="259">
        <v>0</v>
      </c>
      <c r="AI14" s="259">
        <v>0</v>
      </c>
      <c r="AJ14" s="259">
        <v>0</v>
      </c>
      <c r="AK14" s="259">
        <v>0</v>
      </c>
      <c r="AL14" s="259">
        <v>0</v>
      </c>
      <c r="AM14" s="259">
        <v>0</v>
      </c>
      <c r="AN14" s="259">
        <v>0</v>
      </c>
      <c r="AO14" s="259">
        <v>0</v>
      </c>
      <c r="AP14" s="259">
        <v>0</v>
      </c>
      <c r="AQ14" s="259">
        <v>0</v>
      </c>
      <c r="AR14" s="259">
        <v>0</v>
      </c>
      <c r="AS14" s="259"/>
      <c r="AT14" s="259"/>
      <c r="AU14" s="260">
        <f t="shared" si="0"/>
        <v>81158</v>
      </c>
      <c r="AV14" s="261">
        <f t="shared" si="1"/>
        <v>0</v>
      </c>
      <c r="AW14" s="262">
        <f t="shared" si="2"/>
        <v>7854</v>
      </c>
      <c r="AX14" s="263">
        <f t="shared" si="3"/>
        <v>81158</v>
      </c>
      <c r="AZ14" s="250" t="b">
        <f t="shared" si="4"/>
        <v>1</v>
      </c>
      <c r="BA14" s="264">
        <f>AX14-K14</f>
        <v>0</v>
      </c>
    </row>
    <row r="15" spans="1:53" outlineLevel="1" x14ac:dyDescent="0.3">
      <c r="B15" s="265" t="s">
        <v>692</v>
      </c>
      <c r="C15" s="266"/>
      <c r="D15" s="267" t="s">
        <v>728</v>
      </c>
      <c r="E15" s="268"/>
      <c r="F15" s="269"/>
      <c r="G15" s="269"/>
      <c r="H15" s="269"/>
      <c r="I15" s="269"/>
      <c r="J15" s="270"/>
      <c r="K15" s="270"/>
      <c r="L15" s="270" t="s">
        <v>729</v>
      </c>
      <c r="M15" s="270"/>
      <c r="N15" s="271">
        <f t="shared" si="5"/>
        <v>3.6560000000000001</v>
      </c>
      <c r="O15" s="271">
        <v>3.6560000000000001</v>
      </c>
      <c r="P15" s="271">
        <f>$P$4</f>
        <v>0</v>
      </c>
      <c r="Q15" s="271" t="s">
        <v>702</v>
      </c>
      <c r="R15" s="273">
        <v>2678.4</v>
      </c>
      <c r="S15" s="273">
        <f>SUM(S14:$AR14)*$N15/100</f>
        <v>2584.2801600000003</v>
      </c>
      <c r="T15" s="273">
        <f>SUM(T14:$AR14)*$N15/100</f>
        <v>2201.4238400000004</v>
      </c>
      <c r="U15" s="273">
        <f>SUM(U14:$AR14)*$N15/100</f>
        <v>1818.5675200000001</v>
      </c>
      <c r="V15" s="273">
        <f>SUM(V14:$AR14)*$N15/100</f>
        <v>1435.7112</v>
      </c>
      <c r="W15" s="273">
        <f>SUM(W14:$AR14)*$N15/100</f>
        <v>1052.8548799999999</v>
      </c>
      <c r="X15" s="273">
        <f>SUM(X14:$AR14)*$N15/100</f>
        <v>669.99856</v>
      </c>
      <c r="Y15" s="273">
        <f>SUM(Y14:$AR14)*$N15/100</f>
        <v>287.14224000000002</v>
      </c>
      <c r="Z15" s="273">
        <v>0</v>
      </c>
      <c r="AA15" s="273">
        <v>0</v>
      </c>
      <c r="AB15" s="273">
        <v>0</v>
      </c>
      <c r="AC15" s="273">
        <v>0</v>
      </c>
      <c r="AD15" s="273">
        <v>0</v>
      </c>
      <c r="AE15" s="273">
        <v>0</v>
      </c>
      <c r="AF15" s="273">
        <v>0</v>
      </c>
      <c r="AG15" s="273">
        <v>0</v>
      </c>
      <c r="AH15" s="273">
        <v>0</v>
      </c>
      <c r="AI15" s="273">
        <v>0</v>
      </c>
      <c r="AJ15" s="273">
        <v>0</v>
      </c>
      <c r="AK15" s="273">
        <v>0</v>
      </c>
      <c r="AL15" s="273">
        <v>0</v>
      </c>
      <c r="AM15" s="273">
        <v>0</v>
      </c>
      <c r="AN15" s="273">
        <v>0</v>
      </c>
      <c r="AO15" s="273">
        <v>0</v>
      </c>
      <c r="AP15" s="273">
        <v>0</v>
      </c>
      <c r="AQ15" s="273">
        <v>0</v>
      </c>
      <c r="AR15" s="273">
        <v>0</v>
      </c>
      <c r="AS15" s="273"/>
      <c r="AT15" s="273"/>
      <c r="AU15" s="274">
        <f t="shared" si="0"/>
        <v>12728.3784</v>
      </c>
      <c r="AV15" s="261">
        <f t="shared" si="1"/>
        <v>0</v>
      </c>
      <c r="AW15" s="275">
        <f t="shared" si="2"/>
        <v>287.14224000000002</v>
      </c>
      <c r="AX15" s="276">
        <f t="shared" si="3"/>
        <v>12728.3784</v>
      </c>
      <c r="AZ15" s="250" t="b">
        <f t="shared" si="4"/>
        <v>1</v>
      </c>
    </row>
    <row r="16" spans="1:53" s="250" customFormat="1" outlineLevel="1" x14ac:dyDescent="0.3">
      <c r="B16" s="251" t="s">
        <v>692</v>
      </c>
      <c r="C16" s="252">
        <v>6</v>
      </c>
      <c r="D16" s="253" t="s">
        <v>730</v>
      </c>
      <c r="E16" s="254" t="s">
        <v>731</v>
      </c>
      <c r="F16" s="255" t="s">
        <v>732</v>
      </c>
      <c r="G16" s="255" t="s">
        <v>733</v>
      </c>
      <c r="H16" s="255" t="s">
        <v>734</v>
      </c>
      <c r="I16" s="255" t="s">
        <v>698</v>
      </c>
      <c r="J16" s="256">
        <v>11123368</v>
      </c>
      <c r="K16" s="257">
        <v>8929624</v>
      </c>
      <c r="L16" s="257"/>
      <c r="M16" s="257"/>
      <c r="N16" s="258"/>
      <c r="O16" s="258"/>
      <c r="P16" s="258"/>
      <c r="Q16" s="258" t="s">
        <v>699</v>
      </c>
      <c r="R16" s="259">
        <v>379984</v>
      </c>
      <c r="S16" s="259">
        <v>379984</v>
      </c>
      <c r="T16" s="259">
        <v>379984</v>
      </c>
      <c r="U16" s="259">
        <v>379984</v>
      </c>
      <c r="V16" s="259">
        <v>379984</v>
      </c>
      <c r="W16" s="259">
        <v>379984</v>
      </c>
      <c r="X16" s="259">
        <v>379984</v>
      </c>
      <c r="Y16" s="259">
        <v>379984</v>
      </c>
      <c r="Z16" s="259">
        <v>379984</v>
      </c>
      <c r="AA16" s="259">
        <v>379984</v>
      </c>
      <c r="AB16" s="259">
        <v>379984</v>
      </c>
      <c r="AC16" s="259">
        <v>379984</v>
      </c>
      <c r="AD16" s="259">
        <v>379984</v>
      </c>
      <c r="AE16" s="259">
        <v>379984</v>
      </c>
      <c r="AF16" s="259">
        <v>379984</v>
      </c>
      <c r="AG16" s="259">
        <v>379984</v>
      </c>
      <c r="AH16" s="259">
        <v>379984</v>
      </c>
      <c r="AI16" s="259">
        <v>379984</v>
      </c>
      <c r="AJ16" s="259">
        <v>379984</v>
      </c>
      <c r="AK16" s="259">
        <v>379984</v>
      </c>
      <c r="AL16" s="259">
        <v>379984</v>
      </c>
      <c r="AM16" s="259">
        <v>379984</v>
      </c>
      <c r="AN16" s="259">
        <v>379984</v>
      </c>
      <c r="AO16" s="259">
        <v>189992</v>
      </c>
      <c r="AP16" s="259">
        <v>0</v>
      </c>
      <c r="AQ16" s="259">
        <v>0</v>
      </c>
      <c r="AR16" s="259">
        <v>0</v>
      </c>
      <c r="AS16" s="259"/>
      <c r="AT16" s="259"/>
      <c r="AU16" s="260">
        <f t="shared" si="0"/>
        <v>8929624</v>
      </c>
      <c r="AV16" s="261">
        <f t="shared" si="1"/>
        <v>0</v>
      </c>
      <c r="AW16" s="262">
        <f t="shared" si="2"/>
        <v>6269736</v>
      </c>
      <c r="AX16" s="263">
        <f t="shared" si="3"/>
        <v>8929624</v>
      </c>
      <c r="AZ16" s="250" t="b">
        <f t="shared" si="4"/>
        <v>1</v>
      </c>
      <c r="BA16" s="264">
        <f>AX16-K16</f>
        <v>0</v>
      </c>
    </row>
    <row r="17" spans="2:53" outlineLevel="1" x14ac:dyDescent="0.3">
      <c r="B17" s="265" t="s">
        <v>692</v>
      </c>
      <c r="C17" s="266"/>
      <c r="D17" s="267" t="s">
        <v>735</v>
      </c>
      <c r="E17" s="268"/>
      <c r="F17" s="269"/>
      <c r="G17" s="269"/>
      <c r="H17" s="269"/>
      <c r="I17" s="269"/>
      <c r="J17" s="270"/>
      <c r="K17" s="270"/>
      <c r="L17" s="270" t="s">
        <v>736</v>
      </c>
      <c r="M17" s="270"/>
      <c r="N17" s="271">
        <f t="shared" si="5"/>
        <v>3.55</v>
      </c>
      <c r="O17" s="272">
        <v>3.55</v>
      </c>
      <c r="P17" s="271">
        <f>$P$4</f>
        <v>0</v>
      </c>
      <c r="Q17" s="271" t="s">
        <v>702</v>
      </c>
      <c r="R17" s="273">
        <f>292298.79+10000</f>
        <v>302298.78999999998</v>
      </c>
      <c r="S17" s="273">
        <f>SUM(S16:$AR16)*$N17/100</f>
        <v>303512.21999999997</v>
      </c>
      <c r="T17" s="273">
        <f>SUM(T16:$AR16)*$N17/100</f>
        <v>290022.78799999994</v>
      </c>
      <c r="U17" s="273">
        <f>SUM(U16:$AR16)*$N17/100</f>
        <v>276533.35599999997</v>
      </c>
      <c r="V17" s="273">
        <f>SUM(V16:$AR16)*$N17/100</f>
        <v>263043.924</v>
      </c>
      <c r="W17" s="273">
        <f>SUM(W16:$AR16)*$N17/100</f>
        <v>249554.492</v>
      </c>
      <c r="X17" s="273">
        <f>SUM(X16:$AR16)*$N17/100</f>
        <v>236065.06</v>
      </c>
      <c r="Y17" s="273">
        <f>SUM(Y16:$AR16)*$N17/100</f>
        <v>222575.628</v>
      </c>
      <c r="Z17" s="273">
        <f>SUM(Z16:$AR16)*$N17/100</f>
        <v>209086.19599999997</v>
      </c>
      <c r="AA17" s="273">
        <f>SUM(AA16:$AR16)*$N17/100</f>
        <v>195596.764</v>
      </c>
      <c r="AB17" s="273">
        <f>SUM(AB16:$AR16)*$N17/100</f>
        <v>182107.33199999999</v>
      </c>
      <c r="AC17" s="273">
        <f>SUM(AC16:$AR16)*$N17/100</f>
        <v>168617.9</v>
      </c>
      <c r="AD17" s="273">
        <f>SUM(AD16:$AR16)*$N17/100</f>
        <v>155128.46799999999</v>
      </c>
      <c r="AE17" s="273">
        <f>SUM(AE16:$AR16)*$N17/100</f>
        <v>141639.03599999999</v>
      </c>
      <c r="AF17" s="273">
        <f>SUM(AF16:$AR16)*$N17/100</f>
        <v>128149.60399999999</v>
      </c>
      <c r="AG17" s="273">
        <f>SUM(AG16:$AR16)*$N17/100</f>
        <v>114660.17199999999</v>
      </c>
      <c r="AH17" s="273">
        <f>SUM(AH16:$AR16)*$N17/100</f>
        <v>101170.74</v>
      </c>
      <c r="AI17" s="273">
        <f>SUM(AI16:$AR16)*$N17/100</f>
        <v>87681.30799999999</v>
      </c>
      <c r="AJ17" s="273">
        <f>SUM(AJ16:$AR16)*$N17/100</f>
        <v>74191.875999999989</v>
      </c>
      <c r="AK17" s="273">
        <f>SUM(AK16:$AR16)*$N17/100</f>
        <v>60702.443999999996</v>
      </c>
      <c r="AL17" s="273">
        <f>SUM(AL16:$AR16)*$N17/100</f>
        <v>47213.012000000002</v>
      </c>
      <c r="AM17" s="273">
        <f>SUM(AM16:$AR16)*$N17/100</f>
        <v>33723.58</v>
      </c>
      <c r="AN17" s="273">
        <f>SUM(AN16:$AR16)*$N17/100</f>
        <v>20234.147999999997</v>
      </c>
      <c r="AO17" s="273">
        <f>SUM(AO16:$AR16)*$N17/100</f>
        <v>6744.7159999999994</v>
      </c>
      <c r="AP17" s="273">
        <v>0</v>
      </c>
      <c r="AQ17" s="273">
        <v>0</v>
      </c>
      <c r="AR17" s="273">
        <v>0</v>
      </c>
      <c r="AS17" s="273"/>
      <c r="AT17" s="273"/>
      <c r="AU17" s="274">
        <f t="shared" si="0"/>
        <v>3870253.554</v>
      </c>
      <c r="AV17" s="261">
        <f t="shared" si="1"/>
        <v>0</v>
      </c>
      <c r="AW17" s="275">
        <f t="shared" si="2"/>
        <v>1949222.9240000001</v>
      </c>
      <c r="AX17" s="276">
        <f t="shared" si="3"/>
        <v>3870253.554</v>
      </c>
      <c r="AZ17" s="250" t="b">
        <f t="shared" si="4"/>
        <v>1</v>
      </c>
    </row>
    <row r="18" spans="2:53" s="250" customFormat="1" outlineLevel="1" x14ac:dyDescent="0.3">
      <c r="B18" s="251" t="s">
        <v>737</v>
      </c>
      <c r="C18" s="252">
        <v>7</v>
      </c>
      <c r="D18" s="253" t="s">
        <v>738</v>
      </c>
      <c r="E18" s="254" t="s">
        <v>739</v>
      </c>
      <c r="F18" s="255" t="s">
        <v>740</v>
      </c>
      <c r="G18" s="255" t="s">
        <v>741</v>
      </c>
      <c r="H18" s="255" t="s">
        <v>742</v>
      </c>
      <c r="I18" s="255" t="s">
        <v>698</v>
      </c>
      <c r="J18" s="256">
        <v>484935.32</v>
      </c>
      <c r="K18" s="257">
        <v>269134</v>
      </c>
      <c r="L18" s="257"/>
      <c r="M18" s="257"/>
      <c r="N18" s="258"/>
      <c r="O18" s="258"/>
      <c r="P18" s="258"/>
      <c r="Q18" s="258" t="s">
        <v>699</v>
      </c>
      <c r="R18" s="259">
        <v>20312</v>
      </c>
      <c r="S18" s="259">
        <v>20312</v>
      </c>
      <c r="T18" s="259">
        <v>20312</v>
      </c>
      <c r="U18" s="259">
        <v>20312</v>
      </c>
      <c r="V18" s="259">
        <v>20312</v>
      </c>
      <c r="W18" s="259">
        <v>20312</v>
      </c>
      <c r="X18" s="259">
        <v>20312</v>
      </c>
      <c r="Y18" s="259">
        <v>20312</v>
      </c>
      <c r="Z18" s="259">
        <v>20312</v>
      </c>
      <c r="AA18" s="259">
        <v>20312</v>
      </c>
      <c r="AB18" s="259">
        <v>20312</v>
      </c>
      <c r="AC18" s="259">
        <v>20312</v>
      </c>
      <c r="AD18" s="259">
        <v>20312</v>
      </c>
      <c r="AE18" s="259">
        <v>5078</v>
      </c>
      <c r="AF18" s="259">
        <v>0</v>
      </c>
      <c r="AG18" s="259">
        <v>0</v>
      </c>
      <c r="AH18" s="259">
        <v>0</v>
      </c>
      <c r="AI18" s="259">
        <v>0</v>
      </c>
      <c r="AJ18" s="259">
        <v>0</v>
      </c>
      <c r="AK18" s="259">
        <v>0</v>
      </c>
      <c r="AL18" s="259">
        <v>0</v>
      </c>
      <c r="AM18" s="259">
        <v>0</v>
      </c>
      <c r="AN18" s="259">
        <v>0</v>
      </c>
      <c r="AO18" s="259">
        <v>0</v>
      </c>
      <c r="AP18" s="259">
        <v>0</v>
      </c>
      <c r="AQ18" s="259">
        <v>0</v>
      </c>
      <c r="AR18" s="259">
        <v>0</v>
      </c>
      <c r="AS18" s="259"/>
      <c r="AT18" s="259"/>
      <c r="AU18" s="260">
        <f t="shared" si="0"/>
        <v>269134</v>
      </c>
      <c r="AV18" s="261">
        <f t="shared" si="1"/>
        <v>0</v>
      </c>
      <c r="AW18" s="262">
        <f t="shared" si="2"/>
        <v>126950</v>
      </c>
      <c r="AX18" s="263">
        <f t="shared" si="3"/>
        <v>269134</v>
      </c>
      <c r="AZ18" s="250" t="b">
        <f t="shared" si="4"/>
        <v>1</v>
      </c>
      <c r="BA18" s="264">
        <f>AX18-K18</f>
        <v>0</v>
      </c>
    </row>
    <row r="19" spans="2:53" outlineLevel="1" x14ac:dyDescent="0.3">
      <c r="B19" s="265" t="s">
        <v>737</v>
      </c>
      <c r="C19" s="266"/>
      <c r="D19" s="267" t="s">
        <v>743</v>
      </c>
      <c r="E19" s="268"/>
      <c r="F19" s="269"/>
      <c r="G19" s="269"/>
      <c r="H19" s="269"/>
      <c r="I19" s="269"/>
      <c r="J19" s="270"/>
      <c r="K19" s="270"/>
      <c r="L19" s="270" t="s">
        <v>744</v>
      </c>
      <c r="M19" s="270"/>
      <c r="N19" s="271">
        <f t="shared" si="5"/>
        <v>3.55</v>
      </c>
      <c r="O19" s="272">
        <v>3.55</v>
      </c>
      <c r="P19" s="271">
        <f>$P$4</f>
        <v>0</v>
      </c>
      <c r="Q19" s="271" t="s">
        <v>702</v>
      </c>
      <c r="R19" s="273">
        <f>8183.02+1000</f>
        <v>9183.02</v>
      </c>
      <c r="S19" s="273">
        <f>SUM(S18:$AR18)*$N19/100</f>
        <v>8833.1810000000005</v>
      </c>
      <c r="T19" s="273">
        <f>SUM(T18:$AR18)*$N19/100</f>
        <v>8112.1049999999996</v>
      </c>
      <c r="U19" s="273">
        <f>SUM(U18:$AR18)*$N19/100</f>
        <v>7391.0289999999986</v>
      </c>
      <c r="V19" s="273">
        <f>SUM(V18:$AR18)*$N19/100</f>
        <v>6669.9529999999995</v>
      </c>
      <c r="W19" s="273">
        <f>SUM(W18:$AR18)*$N19/100</f>
        <v>5948.8769999999995</v>
      </c>
      <c r="X19" s="273">
        <f>SUM(X18:$AR18)*$N19/100</f>
        <v>5227.8009999999995</v>
      </c>
      <c r="Y19" s="273">
        <f>SUM(Y18:$AR18)*$N19/100</f>
        <v>4506.7250000000004</v>
      </c>
      <c r="Z19" s="273">
        <f>SUM(Z18:$AR18)*$N19/100</f>
        <v>3785.6489999999994</v>
      </c>
      <c r="AA19" s="273">
        <f>SUM(AA18:$AR18)*$N19/100</f>
        <v>3064.5729999999999</v>
      </c>
      <c r="AB19" s="273">
        <f>SUM(AB18:$AR18)*$N19/100</f>
        <v>2343.4969999999998</v>
      </c>
      <c r="AC19" s="273">
        <f>SUM(AC18:$AR18)*$N19/100</f>
        <v>1622.421</v>
      </c>
      <c r="AD19" s="273">
        <f>SUM(AD18:$AR18)*$N19/100</f>
        <v>901.34500000000003</v>
      </c>
      <c r="AE19" s="273">
        <f>SUM(AE18:$AR18)*$N19/100</f>
        <v>180.26899999999998</v>
      </c>
      <c r="AF19" s="273">
        <v>0</v>
      </c>
      <c r="AG19" s="273">
        <v>0</v>
      </c>
      <c r="AH19" s="273">
        <v>0</v>
      </c>
      <c r="AI19" s="273">
        <v>0</v>
      </c>
      <c r="AJ19" s="273">
        <v>0</v>
      </c>
      <c r="AK19" s="273">
        <v>0</v>
      </c>
      <c r="AL19" s="273">
        <v>0</v>
      </c>
      <c r="AM19" s="273">
        <v>0</v>
      </c>
      <c r="AN19" s="273">
        <v>0</v>
      </c>
      <c r="AO19" s="273">
        <v>0</v>
      </c>
      <c r="AP19" s="273">
        <v>0</v>
      </c>
      <c r="AQ19" s="273">
        <v>0</v>
      </c>
      <c r="AR19" s="273">
        <v>0</v>
      </c>
      <c r="AS19" s="273"/>
      <c r="AT19" s="273"/>
      <c r="AU19" s="274">
        <f t="shared" si="0"/>
        <v>67770.444999999992</v>
      </c>
      <c r="AV19" s="261">
        <f t="shared" si="1"/>
        <v>0</v>
      </c>
      <c r="AW19" s="275">
        <f t="shared" si="2"/>
        <v>16404.478999999999</v>
      </c>
      <c r="AX19" s="276">
        <f t="shared" si="3"/>
        <v>67770.445000000007</v>
      </c>
      <c r="AZ19" s="250" t="b">
        <f t="shared" si="4"/>
        <v>1</v>
      </c>
    </row>
    <row r="20" spans="2:53" s="250" customFormat="1" outlineLevel="1" x14ac:dyDescent="0.3">
      <c r="B20" s="251" t="s">
        <v>737</v>
      </c>
      <c r="C20" s="252">
        <v>8</v>
      </c>
      <c r="D20" s="253" t="s">
        <v>745</v>
      </c>
      <c r="E20" s="254" t="s">
        <v>746</v>
      </c>
      <c r="F20" s="255" t="s">
        <v>747</v>
      </c>
      <c r="G20" s="255" t="s">
        <v>748</v>
      </c>
      <c r="H20" s="255" t="s">
        <v>749</v>
      </c>
      <c r="I20" s="255" t="s">
        <v>698</v>
      </c>
      <c r="J20" s="256">
        <v>278611.39</v>
      </c>
      <c r="K20" s="257">
        <v>195426</v>
      </c>
      <c r="L20" s="257"/>
      <c r="M20" s="257"/>
      <c r="N20" s="258"/>
      <c r="O20" s="258"/>
      <c r="P20" s="258"/>
      <c r="Q20" s="258" t="s">
        <v>699</v>
      </c>
      <c r="R20" s="259">
        <v>14476</v>
      </c>
      <c r="S20" s="259">
        <v>14476</v>
      </c>
      <c r="T20" s="259">
        <v>14476</v>
      </c>
      <c r="U20" s="259">
        <v>14476</v>
      </c>
      <c r="V20" s="259">
        <v>14476</v>
      </c>
      <c r="W20" s="259">
        <v>14476</v>
      </c>
      <c r="X20" s="259">
        <v>14476</v>
      </c>
      <c r="Y20" s="259">
        <v>14476</v>
      </c>
      <c r="Z20" s="259">
        <v>14476</v>
      </c>
      <c r="AA20" s="259">
        <v>14476</v>
      </c>
      <c r="AB20" s="259">
        <v>14476</v>
      </c>
      <c r="AC20" s="259">
        <v>14476</v>
      </c>
      <c r="AD20" s="259">
        <v>14476</v>
      </c>
      <c r="AE20" s="259">
        <v>7238</v>
      </c>
      <c r="AF20" s="259">
        <v>0</v>
      </c>
      <c r="AG20" s="259">
        <v>0</v>
      </c>
      <c r="AH20" s="259">
        <v>0</v>
      </c>
      <c r="AI20" s="259">
        <v>0</v>
      </c>
      <c r="AJ20" s="259">
        <v>0</v>
      </c>
      <c r="AK20" s="259">
        <v>0</v>
      </c>
      <c r="AL20" s="259">
        <v>0</v>
      </c>
      <c r="AM20" s="259">
        <v>0</v>
      </c>
      <c r="AN20" s="259">
        <v>0</v>
      </c>
      <c r="AO20" s="259">
        <v>0</v>
      </c>
      <c r="AP20" s="259">
        <v>0</v>
      </c>
      <c r="AQ20" s="259">
        <v>0</v>
      </c>
      <c r="AR20" s="259">
        <v>0</v>
      </c>
      <c r="AS20" s="259"/>
      <c r="AT20" s="259"/>
      <c r="AU20" s="260">
        <f t="shared" si="0"/>
        <v>195426</v>
      </c>
      <c r="AV20" s="261">
        <f t="shared" si="1"/>
        <v>0</v>
      </c>
      <c r="AW20" s="262">
        <f t="shared" si="2"/>
        <v>94094</v>
      </c>
      <c r="AX20" s="263">
        <f t="shared" si="3"/>
        <v>195426</v>
      </c>
      <c r="AZ20" s="250" t="b">
        <f t="shared" si="4"/>
        <v>1</v>
      </c>
      <c r="BA20" s="264">
        <f>AX20-K20</f>
        <v>0</v>
      </c>
    </row>
    <row r="21" spans="2:53" outlineLevel="1" x14ac:dyDescent="0.3">
      <c r="B21" s="265" t="s">
        <v>737</v>
      </c>
      <c r="C21" s="266"/>
      <c r="D21" s="267" t="s">
        <v>750</v>
      </c>
      <c r="E21" s="268"/>
      <c r="F21" s="269"/>
      <c r="G21" s="269"/>
      <c r="H21" s="269"/>
      <c r="I21" s="269"/>
      <c r="J21" s="270"/>
      <c r="K21" s="270"/>
      <c r="L21" s="270" t="s">
        <v>751</v>
      </c>
      <c r="M21" s="270"/>
      <c r="N21" s="271">
        <f t="shared" si="5"/>
        <v>4.0149999999999997</v>
      </c>
      <c r="O21" s="271">
        <v>4.0149999999999997</v>
      </c>
      <c r="P21" s="271">
        <f>$P$4</f>
        <v>0</v>
      </c>
      <c r="Q21" s="271" t="s">
        <v>702</v>
      </c>
      <c r="R21" s="273">
        <f>6626.61+1000</f>
        <v>7626.61</v>
      </c>
      <c r="S21" s="273">
        <f>SUM(S20:$AR20)*$N21/100</f>
        <v>7265.1424999999999</v>
      </c>
      <c r="T21" s="273">
        <f>SUM(T20:$AR20)*$N21/100</f>
        <v>6683.9310999999998</v>
      </c>
      <c r="U21" s="273">
        <f>SUM(U20:$AR20)*$N21/100</f>
        <v>6102.7196999999996</v>
      </c>
      <c r="V21" s="273">
        <f>SUM(V20:$AR20)*$N21/100</f>
        <v>5521.5082999999995</v>
      </c>
      <c r="W21" s="273">
        <f>SUM(W20:$AR20)*$N21/100</f>
        <v>4940.2968999999994</v>
      </c>
      <c r="X21" s="273">
        <f>SUM(X20:$AR20)*$N21/100</f>
        <v>4359.0855000000001</v>
      </c>
      <c r="Y21" s="273">
        <f>SUM(Y20:$AR20)*$N21/100</f>
        <v>3777.8740999999995</v>
      </c>
      <c r="Z21" s="273">
        <f>SUM(Z20:$AR20)*$N21/100</f>
        <v>3196.6626999999994</v>
      </c>
      <c r="AA21" s="273">
        <f>SUM(AA20:$AR20)*$N21/100</f>
        <v>2615.4512999999997</v>
      </c>
      <c r="AB21" s="273">
        <f>SUM(AB20:$AR20)*$N21/100</f>
        <v>2034.2398999999998</v>
      </c>
      <c r="AC21" s="273">
        <f>SUM(AC20:$AR20)*$N21/100</f>
        <v>1453.0284999999997</v>
      </c>
      <c r="AD21" s="273">
        <f>SUM(AD20:$AR20)*$N21/100</f>
        <v>871.81709999999987</v>
      </c>
      <c r="AE21" s="273">
        <f>SUM(AE20:$AR20)*$N21/100</f>
        <v>290.60569999999996</v>
      </c>
      <c r="AF21" s="273">
        <v>0</v>
      </c>
      <c r="AG21" s="273">
        <v>0</v>
      </c>
      <c r="AH21" s="273">
        <v>0</v>
      </c>
      <c r="AI21" s="273">
        <v>0</v>
      </c>
      <c r="AJ21" s="273">
        <v>0</v>
      </c>
      <c r="AK21" s="273">
        <v>0</v>
      </c>
      <c r="AL21" s="273">
        <v>0</v>
      </c>
      <c r="AM21" s="273">
        <v>0</v>
      </c>
      <c r="AN21" s="273">
        <v>0</v>
      </c>
      <c r="AO21" s="273">
        <v>0</v>
      </c>
      <c r="AP21" s="273">
        <v>0</v>
      </c>
      <c r="AQ21" s="273">
        <v>0</v>
      </c>
      <c r="AR21" s="273">
        <v>0</v>
      </c>
      <c r="AS21" s="273"/>
      <c r="AT21" s="273"/>
      <c r="AU21" s="274">
        <f t="shared" si="0"/>
        <v>56738.973300000005</v>
      </c>
      <c r="AV21" s="261">
        <f t="shared" si="1"/>
        <v>0</v>
      </c>
      <c r="AW21" s="275">
        <f t="shared" si="2"/>
        <v>14239.6793</v>
      </c>
      <c r="AX21" s="276">
        <f t="shared" si="3"/>
        <v>56738.973299999998</v>
      </c>
      <c r="AZ21" s="250" t="b">
        <f t="shared" si="4"/>
        <v>1</v>
      </c>
    </row>
    <row r="22" spans="2:53" s="250" customFormat="1" outlineLevel="1" x14ac:dyDescent="0.3">
      <c r="B22" s="251" t="s">
        <v>737</v>
      </c>
      <c r="C22" s="252">
        <v>9</v>
      </c>
      <c r="D22" s="253" t="s">
        <v>752</v>
      </c>
      <c r="E22" s="254" t="s">
        <v>753</v>
      </c>
      <c r="F22" s="255" t="s">
        <v>754</v>
      </c>
      <c r="G22" s="255" t="s">
        <v>748</v>
      </c>
      <c r="H22" s="255" t="s">
        <v>755</v>
      </c>
      <c r="I22" s="255" t="s">
        <v>698</v>
      </c>
      <c r="J22" s="256">
        <v>55899</v>
      </c>
      <c r="K22" s="257">
        <v>4472</v>
      </c>
      <c r="L22" s="257"/>
      <c r="M22" s="257"/>
      <c r="N22" s="258"/>
      <c r="O22" s="258"/>
      <c r="P22" s="258"/>
      <c r="Q22" s="258" t="s">
        <v>699</v>
      </c>
      <c r="R22" s="259">
        <v>4472</v>
      </c>
      <c r="S22" s="259">
        <v>0</v>
      </c>
      <c r="T22" s="259">
        <v>0</v>
      </c>
      <c r="U22" s="259">
        <v>0</v>
      </c>
      <c r="V22" s="259">
        <v>0</v>
      </c>
      <c r="W22" s="259">
        <v>0</v>
      </c>
      <c r="X22" s="259">
        <v>0</v>
      </c>
      <c r="Y22" s="259">
        <v>0</v>
      </c>
      <c r="Z22" s="259">
        <v>0</v>
      </c>
      <c r="AA22" s="259">
        <v>0</v>
      </c>
      <c r="AB22" s="259">
        <v>0</v>
      </c>
      <c r="AC22" s="259">
        <v>0</v>
      </c>
      <c r="AD22" s="259">
        <v>0</v>
      </c>
      <c r="AE22" s="259">
        <v>0</v>
      </c>
      <c r="AF22" s="259">
        <v>0</v>
      </c>
      <c r="AG22" s="259">
        <v>0</v>
      </c>
      <c r="AH22" s="259">
        <v>0</v>
      </c>
      <c r="AI22" s="259">
        <v>0</v>
      </c>
      <c r="AJ22" s="259">
        <v>0</v>
      </c>
      <c r="AK22" s="259">
        <v>0</v>
      </c>
      <c r="AL22" s="259">
        <v>0</v>
      </c>
      <c r="AM22" s="259">
        <v>0</v>
      </c>
      <c r="AN22" s="259">
        <v>0</v>
      </c>
      <c r="AO22" s="259">
        <v>0</v>
      </c>
      <c r="AP22" s="259">
        <v>0</v>
      </c>
      <c r="AQ22" s="259">
        <v>0</v>
      </c>
      <c r="AR22" s="259">
        <v>0</v>
      </c>
      <c r="AS22" s="259"/>
      <c r="AT22" s="259"/>
      <c r="AU22" s="260">
        <f t="shared" si="0"/>
        <v>4472</v>
      </c>
      <c r="AV22" s="261">
        <f t="shared" si="1"/>
        <v>0</v>
      </c>
      <c r="AW22" s="262">
        <f t="shared" si="2"/>
        <v>0</v>
      </c>
      <c r="AX22" s="263">
        <f t="shared" si="3"/>
        <v>4472</v>
      </c>
      <c r="AZ22" s="250" t="b">
        <f t="shared" si="4"/>
        <v>1</v>
      </c>
      <c r="BA22" s="264">
        <f>AX22-K22</f>
        <v>0</v>
      </c>
    </row>
    <row r="23" spans="2:53" outlineLevel="1" x14ac:dyDescent="0.3">
      <c r="B23" s="265" t="s">
        <v>737</v>
      </c>
      <c r="C23" s="266"/>
      <c r="D23" s="267" t="s">
        <v>756</v>
      </c>
      <c r="E23" s="268"/>
      <c r="F23" s="269"/>
      <c r="G23" s="269"/>
      <c r="H23" s="269"/>
      <c r="I23" s="269"/>
      <c r="J23" s="270"/>
      <c r="K23" s="270"/>
      <c r="L23" s="270" t="s">
        <v>751</v>
      </c>
      <c r="M23" s="270"/>
      <c r="N23" s="271">
        <f t="shared" si="5"/>
        <v>4.0149999999999997</v>
      </c>
      <c r="O23" s="271">
        <v>4.0149999999999997</v>
      </c>
      <c r="P23" s="271">
        <f>$P$4</f>
        <v>0</v>
      </c>
      <c r="Q23" s="271" t="s">
        <v>702</v>
      </c>
      <c r="R23" s="273">
        <v>113</v>
      </c>
      <c r="S23" s="273">
        <v>0</v>
      </c>
      <c r="T23" s="273">
        <v>0</v>
      </c>
      <c r="U23" s="273">
        <v>0</v>
      </c>
      <c r="V23" s="273">
        <v>0</v>
      </c>
      <c r="W23" s="273">
        <v>0</v>
      </c>
      <c r="X23" s="273">
        <v>0</v>
      </c>
      <c r="Y23" s="273">
        <v>0</v>
      </c>
      <c r="Z23" s="273">
        <v>0</v>
      </c>
      <c r="AA23" s="273">
        <v>0</v>
      </c>
      <c r="AB23" s="273">
        <v>0</v>
      </c>
      <c r="AC23" s="273">
        <v>0</v>
      </c>
      <c r="AD23" s="273">
        <v>0</v>
      </c>
      <c r="AE23" s="273">
        <v>0</v>
      </c>
      <c r="AF23" s="273">
        <v>0</v>
      </c>
      <c r="AG23" s="273">
        <v>0</v>
      </c>
      <c r="AH23" s="273">
        <v>0</v>
      </c>
      <c r="AI23" s="273">
        <v>0</v>
      </c>
      <c r="AJ23" s="273">
        <v>0</v>
      </c>
      <c r="AK23" s="273">
        <v>0</v>
      </c>
      <c r="AL23" s="273">
        <v>0</v>
      </c>
      <c r="AM23" s="273">
        <v>0</v>
      </c>
      <c r="AN23" s="273">
        <v>0</v>
      </c>
      <c r="AO23" s="273">
        <v>0</v>
      </c>
      <c r="AP23" s="273">
        <v>0</v>
      </c>
      <c r="AQ23" s="273">
        <v>0</v>
      </c>
      <c r="AR23" s="273">
        <v>0</v>
      </c>
      <c r="AS23" s="273"/>
      <c r="AT23" s="273"/>
      <c r="AU23" s="274">
        <f t="shared" si="0"/>
        <v>113</v>
      </c>
      <c r="AV23" s="261">
        <f t="shared" si="1"/>
        <v>0</v>
      </c>
      <c r="AW23" s="275">
        <f t="shared" si="2"/>
        <v>0</v>
      </c>
      <c r="AX23" s="276">
        <f t="shared" si="3"/>
        <v>113</v>
      </c>
      <c r="AZ23" s="250" t="b">
        <f t="shared" si="4"/>
        <v>1</v>
      </c>
    </row>
    <row r="24" spans="2:53" s="250" customFormat="1" outlineLevel="1" x14ac:dyDescent="0.3">
      <c r="B24" s="251" t="s">
        <v>737</v>
      </c>
      <c r="C24" s="252">
        <v>10</v>
      </c>
      <c r="D24" s="253" t="s">
        <v>757</v>
      </c>
      <c r="E24" s="254" t="s">
        <v>758</v>
      </c>
      <c r="F24" s="255" t="s">
        <v>759</v>
      </c>
      <c r="G24" s="255" t="s">
        <v>748</v>
      </c>
      <c r="H24" s="255" t="s">
        <v>760</v>
      </c>
      <c r="I24" s="255" t="s">
        <v>698</v>
      </c>
      <c r="J24" s="256">
        <v>49472</v>
      </c>
      <c r="K24" s="257">
        <v>12580</v>
      </c>
      <c r="L24" s="257"/>
      <c r="M24" s="257"/>
      <c r="N24" s="258"/>
      <c r="O24" s="258"/>
      <c r="P24" s="258"/>
      <c r="Q24" s="258" t="s">
        <v>699</v>
      </c>
      <c r="R24" s="259">
        <v>1480</v>
      </c>
      <c r="S24" s="259">
        <v>1480</v>
      </c>
      <c r="T24" s="259">
        <v>1480</v>
      </c>
      <c r="U24" s="259">
        <v>1480</v>
      </c>
      <c r="V24" s="259">
        <v>1480</v>
      </c>
      <c r="W24" s="259">
        <v>1480</v>
      </c>
      <c r="X24" s="259">
        <v>1480</v>
      </c>
      <c r="Y24" s="259">
        <v>1480</v>
      </c>
      <c r="Z24" s="259">
        <v>740</v>
      </c>
      <c r="AA24" s="259">
        <v>0</v>
      </c>
      <c r="AB24" s="259">
        <v>0</v>
      </c>
      <c r="AC24" s="259">
        <v>0</v>
      </c>
      <c r="AD24" s="259">
        <v>0</v>
      </c>
      <c r="AE24" s="259">
        <v>0</v>
      </c>
      <c r="AF24" s="259">
        <v>0</v>
      </c>
      <c r="AG24" s="259">
        <v>0</v>
      </c>
      <c r="AH24" s="259">
        <v>0</v>
      </c>
      <c r="AI24" s="259">
        <v>0</v>
      </c>
      <c r="AJ24" s="259">
        <v>0</v>
      </c>
      <c r="AK24" s="259">
        <v>0</v>
      </c>
      <c r="AL24" s="259">
        <v>0</v>
      </c>
      <c r="AM24" s="259">
        <v>0</v>
      </c>
      <c r="AN24" s="259">
        <v>0</v>
      </c>
      <c r="AO24" s="259">
        <v>0</v>
      </c>
      <c r="AP24" s="259">
        <v>0</v>
      </c>
      <c r="AQ24" s="259">
        <v>0</v>
      </c>
      <c r="AR24" s="259">
        <v>0</v>
      </c>
      <c r="AS24" s="259"/>
      <c r="AT24" s="259"/>
      <c r="AU24" s="260">
        <f t="shared" si="0"/>
        <v>12580</v>
      </c>
      <c r="AV24" s="261">
        <f t="shared" si="1"/>
        <v>0</v>
      </c>
      <c r="AW24" s="262">
        <f t="shared" si="2"/>
        <v>2220</v>
      </c>
      <c r="AX24" s="263">
        <f t="shared" si="3"/>
        <v>12580</v>
      </c>
      <c r="AZ24" s="250" t="b">
        <f t="shared" si="4"/>
        <v>1</v>
      </c>
      <c r="BA24" s="264">
        <f>AX24-K24</f>
        <v>0</v>
      </c>
    </row>
    <row r="25" spans="2:53" outlineLevel="1" x14ac:dyDescent="0.3">
      <c r="B25" s="265" t="s">
        <v>737</v>
      </c>
      <c r="C25" s="266"/>
      <c r="D25" s="267" t="s">
        <v>761</v>
      </c>
      <c r="E25" s="268"/>
      <c r="F25" s="269"/>
      <c r="G25" s="269"/>
      <c r="H25" s="269"/>
      <c r="I25" s="269"/>
      <c r="J25" s="270"/>
      <c r="K25" s="270"/>
      <c r="L25" s="270" t="s">
        <v>751</v>
      </c>
      <c r="M25" s="270"/>
      <c r="N25" s="271">
        <f t="shared" si="5"/>
        <v>4.0149999999999997</v>
      </c>
      <c r="O25" s="271">
        <v>4.0149999999999997</v>
      </c>
      <c r="P25" s="271">
        <f>$P$4</f>
        <v>0</v>
      </c>
      <c r="Q25" s="271" t="s">
        <v>702</v>
      </c>
      <c r="R25" s="273">
        <f>424+50</f>
        <v>474</v>
      </c>
      <c r="S25" s="273">
        <f>SUM(S24:$AR24)*$N25/100</f>
        <v>445.66500000000002</v>
      </c>
      <c r="T25" s="273">
        <f>SUM(T24:$AR24)*$N25/100</f>
        <v>386.24299999999994</v>
      </c>
      <c r="U25" s="273">
        <f>SUM(U24:$AR24)*$N25/100</f>
        <v>326.82099999999997</v>
      </c>
      <c r="V25" s="273">
        <f>SUM(V24:$AR24)*$N25/100</f>
        <v>267.399</v>
      </c>
      <c r="W25" s="273">
        <f>SUM(W24:$AR24)*$N25/100</f>
        <v>207.97699999999998</v>
      </c>
      <c r="X25" s="273">
        <f>SUM(X24:$AR24)*$N25/100</f>
        <v>148.55499999999998</v>
      </c>
      <c r="Y25" s="273">
        <f>SUM(Y24:$AR24)*$N25/100</f>
        <v>89.132999999999996</v>
      </c>
      <c r="Z25" s="273">
        <f>SUM(Z24:$AR24)*$N25/100</f>
        <v>29.710999999999999</v>
      </c>
      <c r="AA25" s="273">
        <v>0</v>
      </c>
      <c r="AB25" s="273">
        <v>0</v>
      </c>
      <c r="AC25" s="273">
        <v>0</v>
      </c>
      <c r="AD25" s="273">
        <v>0</v>
      </c>
      <c r="AE25" s="273">
        <v>0</v>
      </c>
      <c r="AF25" s="273">
        <v>0</v>
      </c>
      <c r="AG25" s="273">
        <v>0</v>
      </c>
      <c r="AH25" s="273">
        <v>0</v>
      </c>
      <c r="AI25" s="273">
        <v>0</v>
      </c>
      <c r="AJ25" s="273">
        <v>0</v>
      </c>
      <c r="AK25" s="273">
        <v>0</v>
      </c>
      <c r="AL25" s="273">
        <v>0</v>
      </c>
      <c r="AM25" s="273">
        <v>0</v>
      </c>
      <c r="AN25" s="273">
        <v>0</v>
      </c>
      <c r="AO25" s="273">
        <v>0</v>
      </c>
      <c r="AP25" s="273">
        <v>0</v>
      </c>
      <c r="AQ25" s="273">
        <v>0</v>
      </c>
      <c r="AR25" s="273">
        <v>0</v>
      </c>
      <c r="AS25" s="273"/>
      <c r="AT25" s="273"/>
      <c r="AU25" s="274">
        <f t="shared" si="0"/>
        <v>2375.503999999999</v>
      </c>
      <c r="AV25" s="261">
        <f t="shared" si="1"/>
        <v>0</v>
      </c>
      <c r="AW25" s="275">
        <f t="shared" si="2"/>
        <v>118.84399999999999</v>
      </c>
      <c r="AX25" s="276">
        <f t="shared" si="3"/>
        <v>2375.5039999999995</v>
      </c>
      <c r="AZ25" s="250" t="b">
        <f t="shared" si="4"/>
        <v>1</v>
      </c>
    </row>
    <row r="26" spans="2:53" s="250" customFormat="1" outlineLevel="1" x14ac:dyDescent="0.3">
      <c r="B26" s="251" t="s">
        <v>737</v>
      </c>
      <c r="C26" s="252">
        <v>11</v>
      </c>
      <c r="D26" s="253" t="s">
        <v>762</v>
      </c>
      <c r="E26" s="254" t="s">
        <v>763</v>
      </c>
      <c r="F26" s="255" t="s">
        <v>764</v>
      </c>
      <c r="G26" s="255" t="s">
        <v>748</v>
      </c>
      <c r="H26" s="255" t="s">
        <v>749</v>
      </c>
      <c r="I26" s="255" t="s">
        <v>698</v>
      </c>
      <c r="J26" s="256">
        <v>238897.15</v>
      </c>
      <c r="K26" s="257">
        <v>143100</v>
      </c>
      <c r="L26" s="257"/>
      <c r="M26" s="257"/>
      <c r="N26" s="258"/>
      <c r="O26" s="258"/>
      <c r="P26" s="258"/>
      <c r="Q26" s="258" t="s">
        <v>699</v>
      </c>
      <c r="R26" s="259">
        <v>10600</v>
      </c>
      <c r="S26" s="259">
        <v>10600</v>
      </c>
      <c r="T26" s="259">
        <v>10600</v>
      </c>
      <c r="U26" s="259">
        <v>10600</v>
      </c>
      <c r="V26" s="259">
        <v>10600</v>
      </c>
      <c r="W26" s="259">
        <v>10600</v>
      </c>
      <c r="X26" s="259">
        <v>10600</v>
      </c>
      <c r="Y26" s="259">
        <v>10600</v>
      </c>
      <c r="Z26" s="259">
        <v>10600</v>
      </c>
      <c r="AA26" s="259">
        <v>10600</v>
      </c>
      <c r="AB26" s="259">
        <v>10600</v>
      </c>
      <c r="AC26" s="259">
        <v>10600</v>
      </c>
      <c r="AD26" s="259">
        <v>10600</v>
      </c>
      <c r="AE26" s="259">
        <v>5300</v>
      </c>
      <c r="AF26" s="259">
        <v>0</v>
      </c>
      <c r="AG26" s="259">
        <v>0</v>
      </c>
      <c r="AH26" s="259">
        <v>0</v>
      </c>
      <c r="AI26" s="259">
        <v>0</v>
      </c>
      <c r="AJ26" s="259">
        <v>0</v>
      </c>
      <c r="AK26" s="259">
        <v>0</v>
      </c>
      <c r="AL26" s="259">
        <v>0</v>
      </c>
      <c r="AM26" s="259">
        <v>0</v>
      </c>
      <c r="AN26" s="259">
        <v>0</v>
      </c>
      <c r="AO26" s="259">
        <v>0</v>
      </c>
      <c r="AP26" s="259">
        <v>0</v>
      </c>
      <c r="AQ26" s="259">
        <v>0</v>
      </c>
      <c r="AR26" s="259">
        <v>0</v>
      </c>
      <c r="AS26" s="259"/>
      <c r="AT26" s="259"/>
      <c r="AU26" s="260">
        <f t="shared" si="0"/>
        <v>143100</v>
      </c>
      <c r="AV26" s="261">
        <f t="shared" si="1"/>
        <v>0</v>
      </c>
      <c r="AW26" s="262">
        <f t="shared" si="2"/>
        <v>68900</v>
      </c>
      <c r="AX26" s="263">
        <f t="shared" si="3"/>
        <v>143100</v>
      </c>
      <c r="AZ26" s="250" t="b">
        <f t="shared" si="4"/>
        <v>1</v>
      </c>
      <c r="BA26" s="264">
        <f>AX26-K26</f>
        <v>0</v>
      </c>
    </row>
    <row r="27" spans="2:53" outlineLevel="1" x14ac:dyDescent="0.3">
      <c r="B27" s="265" t="s">
        <v>737</v>
      </c>
      <c r="C27" s="266"/>
      <c r="D27" s="267" t="s">
        <v>765</v>
      </c>
      <c r="E27" s="268"/>
      <c r="F27" s="269"/>
      <c r="G27" s="269"/>
      <c r="H27" s="269"/>
      <c r="I27" s="269"/>
      <c r="J27" s="270"/>
      <c r="K27" s="270"/>
      <c r="L27" s="270" t="s">
        <v>751</v>
      </c>
      <c r="M27" s="270"/>
      <c r="N27" s="271">
        <f t="shared" si="5"/>
        <v>3.55</v>
      </c>
      <c r="O27" s="272">
        <v>3.55</v>
      </c>
      <c r="P27" s="271">
        <f>$P$4</f>
        <v>0</v>
      </c>
      <c r="Q27" s="271" t="s">
        <v>702</v>
      </c>
      <c r="R27" s="273">
        <v>4852.3</v>
      </c>
      <c r="S27" s="273">
        <f>SUM(S26:$AR26)*$N27/100</f>
        <v>4703.75</v>
      </c>
      <c r="T27" s="273">
        <f>SUM(T26:$AR26)*$N27/100</f>
        <v>4327.45</v>
      </c>
      <c r="U27" s="273">
        <f>SUM(U26:$AR26)*$N27/100</f>
        <v>3951.15</v>
      </c>
      <c r="V27" s="273">
        <f>SUM(V26:$AR26)*$N27/100</f>
        <v>3574.85</v>
      </c>
      <c r="W27" s="273">
        <f>SUM(W26:$AR26)*$N27/100</f>
        <v>3198.55</v>
      </c>
      <c r="X27" s="273">
        <f>SUM(X26:$AR26)*$N27/100</f>
        <v>2822.25</v>
      </c>
      <c r="Y27" s="273">
        <f>SUM(Y26:$AR26)*$N27/100</f>
        <v>2445.9499999999998</v>
      </c>
      <c r="Z27" s="273">
        <f>SUM(Z26:$AR26)*$N27/100</f>
        <v>2069.65</v>
      </c>
      <c r="AA27" s="273">
        <f>SUM(AA26:$AR26)*$N27/100</f>
        <v>1693.35</v>
      </c>
      <c r="AB27" s="273">
        <f>SUM(AB26:$AR26)*$N27/100</f>
        <v>1317.05</v>
      </c>
      <c r="AC27" s="273">
        <f>SUM(AC26:$AR26)*$N27/100</f>
        <v>940.75</v>
      </c>
      <c r="AD27" s="273">
        <f>SUM(AD26:$AR26)*$N27/100</f>
        <v>564.45000000000005</v>
      </c>
      <c r="AE27" s="273">
        <f>SUM(AE26:$AR26)*$N27/100</f>
        <v>188.15</v>
      </c>
      <c r="AF27" s="273">
        <v>0</v>
      </c>
      <c r="AG27" s="273">
        <v>0</v>
      </c>
      <c r="AH27" s="273">
        <v>0</v>
      </c>
      <c r="AI27" s="273">
        <v>0</v>
      </c>
      <c r="AJ27" s="273">
        <v>0</v>
      </c>
      <c r="AK27" s="273">
        <v>0</v>
      </c>
      <c r="AL27" s="273">
        <v>0</v>
      </c>
      <c r="AM27" s="273">
        <v>0</v>
      </c>
      <c r="AN27" s="273">
        <v>0</v>
      </c>
      <c r="AO27" s="273">
        <v>0</v>
      </c>
      <c r="AP27" s="273">
        <v>0</v>
      </c>
      <c r="AQ27" s="273">
        <v>0</v>
      </c>
      <c r="AR27" s="273">
        <v>0</v>
      </c>
      <c r="AS27" s="273"/>
      <c r="AT27" s="273"/>
      <c r="AU27" s="274">
        <f t="shared" si="0"/>
        <v>36649.65</v>
      </c>
      <c r="AV27" s="261">
        <f t="shared" si="1"/>
        <v>0</v>
      </c>
      <c r="AW27" s="275">
        <f t="shared" si="2"/>
        <v>9219.35</v>
      </c>
      <c r="AX27" s="276">
        <f t="shared" si="3"/>
        <v>36649.65</v>
      </c>
      <c r="AZ27" s="250" t="b">
        <f t="shared" si="4"/>
        <v>1</v>
      </c>
    </row>
    <row r="28" spans="2:53" s="283" customFormat="1" outlineLevel="1" x14ac:dyDescent="0.3">
      <c r="B28" s="279" t="s">
        <v>737</v>
      </c>
      <c r="C28" s="280">
        <v>12</v>
      </c>
      <c r="D28" s="281" t="s">
        <v>766</v>
      </c>
      <c r="E28" s="254" t="s">
        <v>767</v>
      </c>
      <c r="F28" s="254" t="s">
        <v>768</v>
      </c>
      <c r="G28" s="254" t="s">
        <v>769</v>
      </c>
      <c r="H28" s="254" t="s">
        <v>770</v>
      </c>
      <c r="I28" s="254" t="s">
        <v>698</v>
      </c>
      <c r="J28" s="256">
        <v>34291</v>
      </c>
      <c r="K28" s="257">
        <v>12418</v>
      </c>
      <c r="L28" s="257"/>
      <c r="M28" s="257"/>
      <c r="N28" s="258"/>
      <c r="O28" s="258"/>
      <c r="P28" s="258"/>
      <c r="Q28" s="258" t="s">
        <v>699</v>
      </c>
      <c r="R28" s="259">
        <v>3548</v>
      </c>
      <c r="S28" s="259">
        <v>3548</v>
      </c>
      <c r="T28" s="259">
        <v>3548</v>
      </c>
      <c r="U28" s="259">
        <v>1774</v>
      </c>
      <c r="V28" s="259">
        <v>0</v>
      </c>
      <c r="W28" s="259">
        <v>0</v>
      </c>
      <c r="X28" s="259">
        <v>0</v>
      </c>
      <c r="Y28" s="259">
        <v>0</v>
      </c>
      <c r="Z28" s="259">
        <v>0</v>
      </c>
      <c r="AA28" s="259">
        <v>0</v>
      </c>
      <c r="AB28" s="259">
        <v>0</v>
      </c>
      <c r="AC28" s="259">
        <v>0</v>
      </c>
      <c r="AD28" s="259">
        <v>0</v>
      </c>
      <c r="AE28" s="259">
        <v>0</v>
      </c>
      <c r="AF28" s="259">
        <v>0</v>
      </c>
      <c r="AG28" s="259">
        <v>0</v>
      </c>
      <c r="AH28" s="259">
        <v>0</v>
      </c>
      <c r="AI28" s="259">
        <v>0</v>
      </c>
      <c r="AJ28" s="259">
        <v>0</v>
      </c>
      <c r="AK28" s="259">
        <v>0</v>
      </c>
      <c r="AL28" s="259">
        <v>0</v>
      </c>
      <c r="AM28" s="259">
        <v>0</v>
      </c>
      <c r="AN28" s="259">
        <v>0</v>
      </c>
      <c r="AO28" s="259">
        <v>0</v>
      </c>
      <c r="AP28" s="259">
        <v>0</v>
      </c>
      <c r="AQ28" s="259">
        <v>0</v>
      </c>
      <c r="AR28" s="259">
        <v>0</v>
      </c>
      <c r="AS28" s="259"/>
      <c r="AT28" s="259"/>
      <c r="AU28" s="263">
        <f t="shared" si="0"/>
        <v>12418</v>
      </c>
      <c r="AV28" s="282">
        <f t="shared" si="1"/>
        <v>0</v>
      </c>
      <c r="AW28" s="262">
        <f t="shared" si="2"/>
        <v>0</v>
      </c>
      <c r="AX28" s="263">
        <f t="shared" si="3"/>
        <v>12418</v>
      </c>
      <c r="AZ28" s="283" t="b">
        <f t="shared" si="4"/>
        <v>1</v>
      </c>
      <c r="BA28" s="264">
        <f>AX28-K28</f>
        <v>0</v>
      </c>
    </row>
    <row r="29" spans="2:53" s="232" customFormat="1" outlineLevel="1" x14ac:dyDescent="0.3">
      <c r="B29" s="284" t="s">
        <v>737</v>
      </c>
      <c r="C29" s="285"/>
      <c r="D29" s="286" t="s">
        <v>771</v>
      </c>
      <c r="E29" s="268"/>
      <c r="F29" s="268"/>
      <c r="G29" s="268"/>
      <c r="H29" s="268"/>
      <c r="I29" s="268"/>
      <c r="J29" s="270"/>
      <c r="K29" s="270"/>
      <c r="L29" s="270" t="s">
        <v>772</v>
      </c>
      <c r="M29" s="270"/>
      <c r="N29" s="271">
        <f t="shared" si="5"/>
        <v>3.9790000000000001</v>
      </c>
      <c r="O29" s="271">
        <v>3.9790000000000001</v>
      </c>
      <c r="P29" s="271">
        <f>$P$4</f>
        <v>0</v>
      </c>
      <c r="Q29" s="271" t="s">
        <v>702</v>
      </c>
      <c r="R29" s="273">
        <v>423.15999999999997</v>
      </c>
      <c r="S29" s="273">
        <f>SUM(S28:$AR28)*$N29/100</f>
        <v>352.93730000000005</v>
      </c>
      <c r="T29" s="273">
        <f>SUM(T28:$AR28)*$N29/100</f>
        <v>211.76238000000001</v>
      </c>
      <c r="U29" s="273">
        <f>SUM(U28:$AR28)*$N29/100</f>
        <v>70.587460000000007</v>
      </c>
      <c r="V29" s="273">
        <v>0</v>
      </c>
      <c r="W29" s="273">
        <v>0</v>
      </c>
      <c r="X29" s="273">
        <v>0</v>
      </c>
      <c r="Y29" s="273">
        <v>0</v>
      </c>
      <c r="Z29" s="273">
        <v>0</v>
      </c>
      <c r="AA29" s="273">
        <v>0</v>
      </c>
      <c r="AB29" s="273">
        <v>0</v>
      </c>
      <c r="AC29" s="273">
        <v>0</v>
      </c>
      <c r="AD29" s="273">
        <v>0</v>
      </c>
      <c r="AE29" s="273">
        <v>0</v>
      </c>
      <c r="AF29" s="273">
        <v>0</v>
      </c>
      <c r="AG29" s="273">
        <v>0</v>
      </c>
      <c r="AH29" s="273">
        <v>0</v>
      </c>
      <c r="AI29" s="273">
        <v>0</v>
      </c>
      <c r="AJ29" s="273">
        <v>0</v>
      </c>
      <c r="AK29" s="273">
        <v>0</v>
      </c>
      <c r="AL29" s="273">
        <v>0</v>
      </c>
      <c r="AM29" s="273">
        <v>0</v>
      </c>
      <c r="AN29" s="273">
        <v>0</v>
      </c>
      <c r="AO29" s="273">
        <v>0</v>
      </c>
      <c r="AP29" s="273">
        <v>0</v>
      </c>
      <c r="AQ29" s="273">
        <v>0</v>
      </c>
      <c r="AR29" s="273">
        <v>0</v>
      </c>
      <c r="AS29" s="273"/>
      <c r="AT29" s="273"/>
      <c r="AU29" s="276">
        <f t="shared" si="0"/>
        <v>1058.44714</v>
      </c>
      <c r="AV29" s="282">
        <f t="shared" si="1"/>
        <v>0</v>
      </c>
      <c r="AW29" s="275">
        <f t="shared" si="2"/>
        <v>0</v>
      </c>
      <c r="AX29" s="276">
        <f t="shared" si="3"/>
        <v>1058.44714</v>
      </c>
      <c r="AZ29" s="283" t="b">
        <f t="shared" si="4"/>
        <v>1</v>
      </c>
      <c r="BA29" s="230"/>
    </row>
    <row r="30" spans="2:53" s="250" customFormat="1" outlineLevel="1" x14ac:dyDescent="0.3">
      <c r="B30" s="251" t="s">
        <v>737</v>
      </c>
      <c r="C30" s="252">
        <v>13</v>
      </c>
      <c r="D30" s="253" t="s">
        <v>773</v>
      </c>
      <c r="E30" s="254" t="s">
        <v>774</v>
      </c>
      <c r="F30" s="255" t="s">
        <v>775</v>
      </c>
      <c r="G30" s="255" t="s">
        <v>776</v>
      </c>
      <c r="H30" s="255" t="s">
        <v>777</v>
      </c>
      <c r="I30" s="255" t="s">
        <v>698</v>
      </c>
      <c r="J30" s="256">
        <v>2609698.31</v>
      </c>
      <c r="K30" s="257">
        <v>2232939</v>
      </c>
      <c r="L30" s="257"/>
      <c r="M30" s="257"/>
      <c r="N30" s="258"/>
      <c r="O30" s="258"/>
      <c r="P30" s="258"/>
      <c r="Q30" s="258" t="s">
        <v>699</v>
      </c>
      <c r="R30" s="259">
        <v>94200</v>
      </c>
      <c r="S30" s="259">
        <v>94200</v>
      </c>
      <c r="T30" s="259">
        <v>94200</v>
      </c>
      <c r="U30" s="259">
        <v>94200</v>
      </c>
      <c r="V30" s="259">
        <v>94200</v>
      </c>
      <c r="W30" s="259">
        <v>94200</v>
      </c>
      <c r="X30" s="259">
        <v>94200</v>
      </c>
      <c r="Y30" s="259">
        <v>94200</v>
      </c>
      <c r="Z30" s="259">
        <v>94200</v>
      </c>
      <c r="AA30" s="259">
        <v>94200</v>
      </c>
      <c r="AB30" s="259">
        <v>94200</v>
      </c>
      <c r="AC30" s="259">
        <v>94200</v>
      </c>
      <c r="AD30" s="259">
        <v>94200</v>
      </c>
      <c r="AE30" s="259">
        <v>94200</v>
      </c>
      <c r="AF30" s="259">
        <v>94200</v>
      </c>
      <c r="AG30" s="259">
        <v>94200</v>
      </c>
      <c r="AH30" s="259">
        <v>94200</v>
      </c>
      <c r="AI30" s="259">
        <v>94200</v>
      </c>
      <c r="AJ30" s="259">
        <v>94200</v>
      </c>
      <c r="AK30" s="259">
        <v>94200</v>
      </c>
      <c r="AL30" s="259">
        <v>94200</v>
      </c>
      <c r="AM30" s="259">
        <v>94200</v>
      </c>
      <c r="AN30" s="259">
        <v>94200</v>
      </c>
      <c r="AO30" s="259">
        <v>66339.31</v>
      </c>
      <c r="AP30" s="259">
        <v>0</v>
      </c>
      <c r="AQ30" s="259">
        <v>0</v>
      </c>
      <c r="AR30" s="259">
        <v>0</v>
      </c>
      <c r="AS30" s="259"/>
      <c r="AT30" s="259"/>
      <c r="AU30" s="260">
        <f t="shared" si="0"/>
        <v>2232939.31</v>
      </c>
      <c r="AV30" s="261">
        <f t="shared" si="1"/>
        <v>0</v>
      </c>
      <c r="AW30" s="262">
        <f t="shared" si="2"/>
        <v>1573539.31</v>
      </c>
      <c r="AX30" s="263">
        <f t="shared" si="3"/>
        <v>2232939.31</v>
      </c>
      <c r="AZ30" s="250" t="b">
        <f t="shared" si="4"/>
        <v>1</v>
      </c>
      <c r="BA30" s="264">
        <f>AX30-K30</f>
        <v>0.31000000005587935</v>
      </c>
    </row>
    <row r="31" spans="2:53" outlineLevel="1" x14ac:dyDescent="0.3">
      <c r="B31" s="265" t="s">
        <v>737</v>
      </c>
      <c r="C31" s="266"/>
      <c r="D31" s="267" t="s">
        <v>778</v>
      </c>
      <c r="E31" s="268"/>
      <c r="F31" s="269"/>
      <c r="G31" s="269"/>
      <c r="H31" s="269"/>
      <c r="I31" s="269"/>
      <c r="J31" s="270"/>
      <c r="K31" s="270"/>
      <c r="L31" s="270" t="s">
        <v>779</v>
      </c>
      <c r="M31" s="270"/>
      <c r="N31" s="271">
        <f t="shared" si="5"/>
        <v>3.55</v>
      </c>
      <c r="O31" s="272">
        <v>3.55</v>
      </c>
      <c r="P31" s="271">
        <f>$P$4</f>
        <v>0</v>
      </c>
      <c r="Q31" s="271" t="s">
        <v>702</v>
      </c>
      <c r="R31" s="273">
        <v>77502.47</v>
      </c>
      <c r="S31" s="273">
        <f>SUM(S30:$AR30)*$N31/100</f>
        <v>75925.245504999999</v>
      </c>
      <c r="T31" s="273">
        <f>SUM(T30:$AR30)*$N31/100</f>
        <v>72581.145504999993</v>
      </c>
      <c r="U31" s="273">
        <f>SUM(U30:$AR30)*$N31/100</f>
        <v>69237.045505000002</v>
      </c>
      <c r="V31" s="273">
        <f>SUM(V30:$AR30)*$N31/100</f>
        <v>65892.945504999996</v>
      </c>
      <c r="W31" s="273">
        <f>SUM(W30:$AR30)*$N31/100</f>
        <v>62548.845504999998</v>
      </c>
      <c r="X31" s="273">
        <f>SUM(X30:$AR30)*$N31/100</f>
        <v>59204.745504999999</v>
      </c>
      <c r="Y31" s="273">
        <f>SUM(Y30:$AR30)*$N31/100</f>
        <v>55860.645505</v>
      </c>
      <c r="Z31" s="273">
        <f>SUM(Z30:$AR30)*$N31/100</f>
        <v>52516.545505000002</v>
      </c>
      <c r="AA31" s="273">
        <f>SUM(AA30:$AR30)*$N31/100</f>
        <v>49172.445504999996</v>
      </c>
      <c r="AB31" s="273">
        <f>SUM(AB30:$AR30)*$N31/100</f>
        <v>45828.345504999998</v>
      </c>
      <c r="AC31" s="273">
        <f>SUM(AC30:$AR30)*$N31/100</f>
        <v>42484.245504999999</v>
      </c>
      <c r="AD31" s="273">
        <f>SUM(AD30:$AR30)*$N31/100</f>
        <v>39140.145505</v>
      </c>
      <c r="AE31" s="273">
        <f>SUM(AE30:$AR30)*$N31/100</f>
        <v>35796.045505000002</v>
      </c>
      <c r="AF31" s="273">
        <f>SUM(AF30:$AR30)*$N31/100</f>
        <v>32451.945505</v>
      </c>
      <c r="AG31" s="273">
        <f>SUM(AG30:$AR30)*$N31/100</f>
        <v>29107.845504999998</v>
      </c>
      <c r="AH31" s="273">
        <f>SUM(AH30:$AR30)*$N31/100</f>
        <v>25763.745504999999</v>
      </c>
      <c r="AI31" s="273">
        <f>SUM(AI30:$AR30)*$N31/100</f>
        <v>22419.645505</v>
      </c>
      <c r="AJ31" s="273">
        <f>SUM(AJ30:$AR30)*$N31/100</f>
        <v>19075.545505000002</v>
      </c>
      <c r="AK31" s="273">
        <f>SUM(AK30:$AR30)*$N31/100</f>
        <v>15731.445505</v>
      </c>
      <c r="AL31" s="273">
        <f>SUM(AL30:$AR30)*$N31/100</f>
        <v>12387.345504999999</v>
      </c>
      <c r="AM31" s="273">
        <f>SUM(AM30:$AR30)*$N31/100</f>
        <v>9043.245504999999</v>
      </c>
      <c r="AN31" s="273">
        <f>SUM(AN30:$AR30)*$N31/100</f>
        <v>5699.1455050000004</v>
      </c>
      <c r="AO31" s="273">
        <f>SUM(AO30:$AR30)*$N31/100</f>
        <v>2355.045505</v>
      </c>
      <c r="AP31" s="273">
        <v>0</v>
      </c>
      <c r="AQ31" s="273">
        <v>0</v>
      </c>
      <c r="AR31" s="273">
        <v>0</v>
      </c>
      <c r="AS31" s="273"/>
      <c r="AT31" s="273"/>
      <c r="AU31" s="274">
        <f t="shared" si="0"/>
        <v>977725.81661500002</v>
      </c>
      <c r="AV31" s="261">
        <f t="shared" si="1"/>
        <v>0</v>
      </c>
      <c r="AW31" s="275">
        <f t="shared" si="2"/>
        <v>494833.37358499999</v>
      </c>
      <c r="AX31" s="276">
        <f t="shared" si="3"/>
        <v>977725.8166149999</v>
      </c>
      <c r="AZ31" s="250" t="b">
        <f t="shared" si="4"/>
        <v>1</v>
      </c>
    </row>
    <row r="32" spans="2:53" s="250" customFormat="1" outlineLevel="1" x14ac:dyDescent="0.3">
      <c r="B32" s="251" t="s">
        <v>737</v>
      </c>
      <c r="C32" s="252">
        <v>14</v>
      </c>
      <c r="D32" s="253" t="s">
        <v>780</v>
      </c>
      <c r="E32" s="254" t="s">
        <v>781</v>
      </c>
      <c r="F32" s="255" t="s">
        <v>782</v>
      </c>
      <c r="G32" s="255" t="s">
        <v>776</v>
      </c>
      <c r="H32" s="255" t="s">
        <v>777</v>
      </c>
      <c r="I32" s="255" t="s">
        <v>698</v>
      </c>
      <c r="J32" s="256">
        <v>3496295</v>
      </c>
      <c r="K32" s="257">
        <v>2992405</v>
      </c>
      <c r="L32" s="257"/>
      <c r="M32" s="257"/>
      <c r="N32" s="258"/>
      <c r="O32" s="258"/>
      <c r="P32" s="258"/>
      <c r="Q32" s="258" t="s">
        <v>699</v>
      </c>
      <c r="R32" s="259">
        <v>125996</v>
      </c>
      <c r="S32" s="259">
        <v>125996</v>
      </c>
      <c r="T32" s="259">
        <v>125996</v>
      </c>
      <c r="U32" s="259">
        <v>125996</v>
      </c>
      <c r="V32" s="259">
        <v>125996</v>
      </c>
      <c r="W32" s="259">
        <v>125996</v>
      </c>
      <c r="X32" s="259">
        <v>125996</v>
      </c>
      <c r="Y32" s="259">
        <v>125996</v>
      </c>
      <c r="Z32" s="259">
        <v>125996</v>
      </c>
      <c r="AA32" s="259">
        <v>125996</v>
      </c>
      <c r="AB32" s="259">
        <v>125996</v>
      </c>
      <c r="AC32" s="259">
        <v>125996</v>
      </c>
      <c r="AD32" s="259">
        <v>125996</v>
      </c>
      <c r="AE32" s="259">
        <v>125996</v>
      </c>
      <c r="AF32" s="259">
        <v>125996</v>
      </c>
      <c r="AG32" s="259">
        <v>125996</v>
      </c>
      <c r="AH32" s="259">
        <v>125996</v>
      </c>
      <c r="AI32" s="259">
        <v>125996</v>
      </c>
      <c r="AJ32" s="259">
        <v>125996</v>
      </c>
      <c r="AK32" s="259">
        <v>125996</v>
      </c>
      <c r="AL32" s="259">
        <v>125996</v>
      </c>
      <c r="AM32" s="259">
        <v>125996</v>
      </c>
      <c r="AN32" s="259">
        <v>125996</v>
      </c>
      <c r="AO32" s="259">
        <v>94497</v>
      </c>
      <c r="AP32" s="259">
        <v>0</v>
      </c>
      <c r="AQ32" s="259">
        <v>0</v>
      </c>
      <c r="AR32" s="259">
        <v>0</v>
      </c>
      <c r="AS32" s="259"/>
      <c r="AT32" s="259"/>
      <c r="AU32" s="260">
        <f t="shared" si="0"/>
        <v>2992405</v>
      </c>
      <c r="AV32" s="261">
        <f t="shared" si="1"/>
        <v>0</v>
      </c>
      <c r="AW32" s="262">
        <f t="shared" si="2"/>
        <v>2110433</v>
      </c>
      <c r="AX32" s="263">
        <f t="shared" si="3"/>
        <v>2992405</v>
      </c>
      <c r="AZ32" s="250" t="b">
        <f t="shared" si="4"/>
        <v>1</v>
      </c>
      <c r="BA32" s="264">
        <f>AX32-K32</f>
        <v>0</v>
      </c>
    </row>
    <row r="33" spans="2:53" outlineLevel="1" x14ac:dyDescent="0.3">
      <c r="B33" s="265" t="s">
        <v>737</v>
      </c>
      <c r="C33" s="266"/>
      <c r="D33" s="267" t="s">
        <v>783</v>
      </c>
      <c r="E33" s="268"/>
      <c r="F33" s="269"/>
      <c r="G33" s="269"/>
      <c r="H33" s="269"/>
      <c r="I33" s="269"/>
      <c r="J33" s="270"/>
      <c r="K33" s="270"/>
      <c r="L33" s="270" t="s">
        <v>779</v>
      </c>
      <c r="M33" s="270"/>
      <c r="N33" s="271">
        <f t="shared" si="5"/>
        <v>3.55</v>
      </c>
      <c r="O33" s="272">
        <v>3.55</v>
      </c>
      <c r="P33" s="271">
        <f>$P$4</f>
        <v>0</v>
      </c>
      <c r="Q33" s="271" t="s">
        <v>702</v>
      </c>
      <c r="R33" s="273">
        <v>103863.72</v>
      </c>
      <c r="S33" s="273">
        <f>SUM(S32:$AR32)*$N33/100</f>
        <v>101757.51949999999</v>
      </c>
      <c r="T33" s="273">
        <f>SUM(T32:$AR32)*$N33/100</f>
        <v>97284.661500000002</v>
      </c>
      <c r="U33" s="273">
        <f>SUM(U32:$AR32)*$N33/100</f>
        <v>92811.803499999995</v>
      </c>
      <c r="V33" s="273">
        <f>SUM(V32:$AR32)*$N33/100</f>
        <v>88338.945499999987</v>
      </c>
      <c r="W33" s="273">
        <f>SUM(W32:$AR32)*$N33/100</f>
        <v>83866.087499999994</v>
      </c>
      <c r="X33" s="273">
        <f>SUM(X32:$AR32)*$N33/100</f>
        <v>79393.229499999987</v>
      </c>
      <c r="Y33" s="273">
        <f>SUM(Y32:$AR32)*$N33/100</f>
        <v>74920.371499999994</v>
      </c>
      <c r="Z33" s="273">
        <f>SUM(Z32:$AR32)*$N33/100</f>
        <v>70447.513500000001</v>
      </c>
      <c r="AA33" s="273">
        <f>SUM(AA32:$AR32)*$N33/100</f>
        <v>65974.655499999993</v>
      </c>
      <c r="AB33" s="273">
        <f>SUM(AB32:$AR32)*$N33/100</f>
        <v>61501.797500000001</v>
      </c>
      <c r="AC33" s="273">
        <f>SUM(AC32:$AR32)*$N33/100</f>
        <v>57028.939499999993</v>
      </c>
      <c r="AD33" s="273">
        <f>SUM(AD32:$AR32)*$N33/100</f>
        <v>52556.081499999993</v>
      </c>
      <c r="AE33" s="273">
        <f>SUM(AE32:$AR32)*$N33/100</f>
        <v>48083.223499999993</v>
      </c>
      <c r="AF33" s="273">
        <f>SUM(AF32:$AR32)*$N33/100</f>
        <v>43610.3655</v>
      </c>
      <c r="AG33" s="273">
        <f>SUM(AG32:$AR32)*$N33/100</f>
        <v>39137.5075</v>
      </c>
      <c r="AH33" s="273">
        <f>SUM(AH32:$AR32)*$N33/100</f>
        <v>34664.6495</v>
      </c>
      <c r="AI33" s="273">
        <f>SUM(AI32:$AR32)*$N33/100</f>
        <v>30191.791499999999</v>
      </c>
      <c r="AJ33" s="273">
        <f>SUM(AJ32:$AR32)*$N33/100</f>
        <v>25718.933499999999</v>
      </c>
      <c r="AK33" s="273">
        <f>SUM(AK32:$AR32)*$N33/100</f>
        <v>21246.075499999999</v>
      </c>
      <c r="AL33" s="273">
        <f>SUM(AL32:$AR32)*$N33/100</f>
        <v>16773.217499999999</v>
      </c>
      <c r="AM33" s="273">
        <f>SUM(AM32:$AR32)*$N33/100</f>
        <v>12300.359499999999</v>
      </c>
      <c r="AN33" s="273">
        <f>SUM(AN32:$AR32)*$N33/100</f>
        <v>7827.5014999999994</v>
      </c>
      <c r="AO33" s="273">
        <f>SUM(AO32:$AR32)*$N33/100</f>
        <v>3354.6434999999997</v>
      </c>
      <c r="AP33" s="273">
        <v>0</v>
      </c>
      <c r="AQ33" s="273">
        <v>0</v>
      </c>
      <c r="AR33" s="273">
        <v>0</v>
      </c>
      <c r="AS33" s="273"/>
      <c r="AT33" s="273"/>
      <c r="AU33" s="274">
        <f t="shared" si="0"/>
        <v>1312653.5945000004</v>
      </c>
      <c r="AV33" s="261">
        <f t="shared" si="1"/>
        <v>0</v>
      </c>
      <c r="AW33" s="275">
        <f t="shared" si="2"/>
        <v>665337.62750000018</v>
      </c>
      <c r="AX33" s="276">
        <f t="shared" si="3"/>
        <v>1312653.5945000001</v>
      </c>
      <c r="AZ33" s="250" t="b">
        <f t="shared" si="4"/>
        <v>1</v>
      </c>
    </row>
    <row r="34" spans="2:53" s="250" customFormat="1" outlineLevel="1" x14ac:dyDescent="0.3">
      <c r="B34" s="251" t="s">
        <v>737</v>
      </c>
      <c r="C34" s="252">
        <v>15</v>
      </c>
      <c r="D34" s="253" t="s">
        <v>745</v>
      </c>
      <c r="E34" s="254" t="s">
        <v>784</v>
      </c>
      <c r="F34" s="255" t="s">
        <v>785</v>
      </c>
      <c r="G34" s="255" t="s">
        <v>786</v>
      </c>
      <c r="H34" s="255" t="s">
        <v>787</v>
      </c>
      <c r="I34" s="255" t="s">
        <v>698</v>
      </c>
      <c r="J34" s="256">
        <v>190122</v>
      </c>
      <c r="K34" s="257">
        <v>134084</v>
      </c>
      <c r="L34" s="257"/>
      <c r="M34" s="257"/>
      <c r="N34" s="258"/>
      <c r="O34" s="258"/>
      <c r="P34" s="258"/>
      <c r="Q34" s="258" t="s">
        <v>699</v>
      </c>
      <c r="R34" s="259">
        <v>9752</v>
      </c>
      <c r="S34" s="259">
        <v>9752</v>
      </c>
      <c r="T34" s="259">
        <v>9752</v>
      </c>
      <c r="U34" s="259">
        <v>9752</v>
      </c>
      <c r="V34" s="259">
        <v>9752</v>
      </c>
      <c r="W34" s="259">
        <v>9752</v>
      </c>
      <c r="X34" s="259">
        <v>9752</v>
      </c>
      <c r="Y34" s="259">
        <v>9752</v>
      </c>
      <c r="Z34" s="259">
        <v>9752</v>
      </c>
      <c r="AA34" s="259">
        <v>9752</v>
      </c>
      <c r="AB34" s="259">
        <v>9752</v>
      </c>
      <c r="AC34" s="259">
        <v>9752</v>
      </c>
      <c r="AD34" s="259">
        <v>9752</v>
      </c>
      <c r="AE34" s="259">
        <v>7308</v>
      </c>
      <c r="AF34" s="259">
        <v>0</v>
      </c>
      <c r="AG34" s="259">
        <v>0</v>
      </c>
      <c r="AH34" s="259">
        <v>0</v>
      </c>
      <c r="AI34" s="259">
        <v>0</v>
      </c>
      <c r="AJ34" s="259">
        <v>0</v>
      </c>
      <c r="AK34" s="259">
        <v>0</v>
      </c>
      <c r="AL34" s="259">
        <v>0</v>
      </c>
      <c r="AM34" s="259">
        <v>0</v>
      </c>
      <c r="AN34" s="259">
        <v>0</v>
      </c>
      <c r="AO34" s="259">
        <v>0</v>
      </c>
      <c r="AP34" s="259">
        <v>0</v>
      </c>
      <c r="AQ34" s="259">
        <v>0</v>
      </c>
      <c r="AR34" s="259">
        <v>0</v>
      </c>
      <c r="AS34" s="259"/>
      <c r="AT34" s="259"/>
      <c r="AU34" s="260">
        <f t="shared" si="0"/>
        <v>134084</v>
      </c>
      <c r="AV34" s="261">
        <f t="shared" si="1"/>
        <v>0</v>
      </c>
      <c r="AW34" s="262">
        <f t="shared" si="2"/>
        <v>65820</v>
      </c>
      <c r="AX34" s="263">
        <f t="shared" si="3"/>
        <v>134084</v>
      </c>
      <c r="AZ34" s="250" t="b">
        <f t="shared" si="4"/>
        <v>1</v>
      </c>
      <c r="BA34" s="264">
        <f>AX34-K34</f>
        <v>0</v>
      </c>
    </row>
    <row r="35" spans="2:53" outlineLevel="1" x14ac:dyDescent="0.3">
      <c r="B35" s="265" t="s">
        <v>737</v>
      </c>
      <c r="C35" s="266"/>
      <c r="D35" s="267" t="s">
        <v>788</v>
      </c>
      <c r="E35" s="268"/>
      <c r="F35" s="269"/>
      <c r="G35" s="269"/>
      <c r="H35" s="269"/>
      <c r="I35" s="269"/>
      <c r="J35" s="270"/>
      <c r="K35" s="270"/>
      <c r="L35" s="270" t="s">
        <v>789</v>
      </c>
      <c r="M35" s="270"/>
      <c r="N35" s="271">
        <f t="shared" si="5"/>
        <v>3.55</v>
      </c>
      <c r="O35" s="272">
        <v>3.55</v>
      </c>
      <c r="P35" s="271">
        <f>$P$4</f>
        <v>0</v>
      </c>
      <c r="Q35" s="271" t="s">
        <v>702</v>
      </c>
      <c r="R35" s="273">
        <v>4416.17</v>
      </c>
      <c r="S35" s="273">
        <f>SUM(S34:$AR34)*$N35/100</f>
        <v>4413.7860000000001</v>
      </c>
      <c r="T35" s="273">
        <f>SUM(T34:$AR34)*$N35/100</f>
        <v>4067.59</v>
      </c>
      <c r="U35" s="273">
        <f>SUM(U34:$AR34)*$N35/100</f>
        <v>3721.3939999999998</v>
      </c>
      <c r="V35" s="273">
        <f>SUM(V34:$AR34)*$N35/100</f>
        <v>3375.1979999999999</v>
      </c>
      <c r="W35" s="273">
        <f>SUM(W34:$AR34)*$N35/100</f>
        <v>3029.002</v>
      </c>
      <c r="X35" s="273">
        <f>SUM(X34:$AR34)*$N35/100</f>
        <v>2682.8059999999996</v>
      </c>
      <c r="Y35" s="273">
        <f>SUM(Y34:$AR34)*$N35/100</f>
        <v>2336.61</v>
      </c>
      <c r="Z35" s="273">
        <f>SUM(Z34:$AR34)*$N35/100</f>
        <v>1990.414</v>
      </c>
      <c r="AA35" s="273">
        <f>SUM(AA34:$AR34)*$N35/100</f>
        <v>1644.2179999999998</v>
      </c>
      <c r="AB35" s="273">
        <f>SUM(AB34:$AR34)*$N35/100</f>
        <v>1298.0219999999999</v>
      </c>
      <c r="AC35" s="273">
        <f>SUM(AC34:$AR34)*$N35/100</f>
        <v>951.82599999999991</v>
      </c>
      <c r="AD35" s="273">
        <f>SUM(AD34:$AR34)*$N35/100</f>
        <v>605.63</v>
      </c>
      <c r="AE35" s="273">
        <f>SUM(AE34:$AR34)*$N35/100</f>
        <v>259.43399999999997</v>
      </c>
      <c r="AF35" s="273">
        <v>0</v>
      </c>
      <c r="AG35" s="273">
        <v>0</v>
      </c>
      <c r="AH35" s="273">
        <v>0</v>
      </c>
      <c r="AI35" s="273">
        <v>0</v>
      </c>
      <c r="AJ35" s="273">
        <v>0</v>
      </c>
      <c r="AK35" s="273">
        <v>0</v>
      </c>
      <c r="AL35" s="273">
        <v>0</v>
      </c>
      <c r="AM35" s="273">
        <v>0</v>
      </c>
      <c r="AN35" s="273">
        <v>0</v>
      </c>
      <c r="AO35" s="273">
        <v>0</v>
      </c>
      <c r="AP35" s="273">
        <v>0</v>
      </c>
      <c r="AQ35" s="273">
        <v>0</v>
      </c>
      <c r="AR35" s="273">
        <v>0</v>
      </c>
      <c r="AS35" s="273"/>
      <c r="AT35" s="273"/>
      <c r="AU35" s="274">
        <f t="shared" si="0"/>
        <v>34792.1</v>
      </c>
      <c r="AV35" s="261">
        <f t="shared" si="1"/>
        <v>0</v>
      </c>
      <c r="AW35" s="275">
        <f t="shared" si="2"/>
        <v>9086.1539999999986</v>
      </c>
      <c r="AX35" s="276">
        <f t="shared" si="3"/>
        <v>34792.1</v>
      </c>
      <c r="AZ35" s="250" t="b">
        <f t="shared" si="4"/>
        <v>1</v>
      </c>
    </row>
    <row r="36" spans="2:53" s="250" customFormat="1" outlineLevel="1" collapsed="1" x14ac:dyDescent="0.3">
      <c r="B36" s="251" t="s">
        <v>737</v>
      </c>
      <c r="C36" s="252">
        <v>16</v>
      </c>
      <c r="D36" s="253" t="s">
        <v>790</v>
      </c>
      <c r="E36" s="254" t="s">
        <v>791</v>
      </c>
      <c r="F36" s="255" t="s">
        <v>792</v>
      </c>
      <c r="G36" s="255" t="s">
        <v>793</v>
      </c>
      <c r="H36" s="255" t="s">
        <v>787</v>
      </c>
      <c r="I36" s="255" t="s">
        <v>698</v>
      </c>
      <c r="J36" s="256">
        <v>177076.43</v>
      </c>
      <c r="K36" s="257">
        <v>126500</v>
      </c>
      <c r="L36" s="257"/>
      <c r="M36" s="257"/>
      <c r="N36" s="258"/>
      <c r="O36" s="287"/>
      <c r="P36" s="258"/>
      <c r="Q36" s="258" t="s">
        <v>699</v>
      </c>
      <c r="R36" s="259">
        <v>9200</v>
      </c>
      <c r="S36" s="259">
        <v>9200</v>
      </c>
      <c r="T36" s="259">
        <v>9200</v>
      </c>
      <c r="U36" s="259">
        <v>9200</v>
      </c>
      <c r="V36" s="259">
        <v>9200</v>
      </c>
      <c r="W36" s="259">
        <v>9200</v>
      </c>
      <c r="X36" s="259">
        <v>9200</v>
      </c>
      <c r="Y36" s="259">
        <v>9200</v>
      </c>
      <c r="Z36" s="259">
        <v>9200</v>
      </c>
      <c r="AA36" s="259">
        <v>9200</v>
      </c>
      <c r="AB36" s="259">
        <v>9200</v>
      </c>
      <c r="AC36" s="259">
        <v>9200</v>
      </c>
      <c r="AD36" s="259">
        <v>9200</v>
      </c>
      <c r="AE36" s="259">
        <v>6900</v>
      </c>
      <c r="AF36" s="259">
        <v>0</v>
      </c>
      <c r="AG36" s="259">
        <v>0</v>
      </c>
      <c r="AH36" s="259">
        <v>0</v>
      </c>
      <c r="AI36" s="259">
        <v>0</v>
      </c>
      <c r="AJ36" s="259">
        <v>0</v>
      </c>
      <c r="AK36" s="259">
        <v>0</v>
      </c>
      <c r="AL36" s="259">
        <v>0</v>
      </c>
      <c r="AM36" s="259">
        <v>0</v>
      </c>
      <c r="AN36" s="259">
        <v>0</v>
      </c>
      <c r="AO36" s="259">
        <v>0</v>
      </c>
      <c r="AP36" s="259">
        <v>0</v>
      </c>
      <c r="AQ36" s="259">
        <v>0</v>
      </c>
      <c r="AR36" s="259">
        <v>0</v>
      </c>
      <c r="AS36" s="259"/>
      <c r="AT36" s="259"/>
      <c r="AU36" s="260">
        <f t="shared" si="0"/>
        <v>126500</v>
      </c>
      <c r="AV36" s="261">
        <f t="shared" si="1"/>
        <v>0</v>
      </c>
      <c r="AW36" s="262">
        <f t="shared" si="2"/>
        <v>62100</v>
      </c>
      <c r="AX36" s="263">
        <f t="shared" si="3"/>
        <v>126500</v>
      </c>
      <c r="AZ36" s="250" t="b">
        <f t="shared" si="4"/>
        <v>1</v>
      </c>
      <c r="BA36" s="264">
        <f>AX36-K36</f>
        <v>0</v>
      </c>
    </row>
    <row r="37" spans="2:53" outlineLevel="1" x14ac:dyDescent="0.3">
      <c r="B37" s="265" t="s">
        <v>737</v>
      </c>
      <c r="C37" s="266"/>
      <c r="D37" s="267" t="s">
        <v>794</v>
      </c>
      <c r="E37" s="268"/>
      <c r="F37" s="269"/>
      <c r="G37" s="269"/>
      <c r="H37" s="269"/>
      <c r="I37" s="269"/>
      <c r="J37" s="270"/>
      <c r="K37" s="270"/>
      <c r="L37" s="270" t="s">
        <v>795</v>
      </c>
      <c r="M37" s="270"/>
      <c r="N37" s="271">
        <f t="shared" si="5"/>
        <v>3.5819999999999999</v>
      </c>
      <c r="O37" s="278">
        <v>3.5819999999999999</v>
      </c>
      <c r="P37" s="271">
        <f>$P$4</f>
        <v>0</v>
      </c>
      <c r="Q37" s="271" t="s">
        <v>702</v>
      </c>
      <c r="R37" s="273">
        <f>4180.61+500</f>
        <v>4680.6099999999997</v>
      </c>
      <c r="S37" s="273">
        <f>SUM(S36:$AR36)*$N37/100</f>
        <v>4201.6859999999997</v>
      </c>
      <c r="T37" s="273">
        <f>SUM(T36:$AR36)*$N37/100</f>
        <v>3872.1420000000003</v>
      </c>
      <c r="U37" s="273">
        <f>SUM(U36:$AR36)*$N37/100</f>
        <v>3542.598</v>
      </c>
      <c r="V37" s="273">
        <f>SUM(V36:$AR36)*$N37/100</f>
        <v>3213.0539999999996</v>
      </c>
      <c r="W37" s="273">
        <f>SUM(W36:$AR36)*$N37/100</f>
        <v>2883.51</v>
      </c>
      <c r="X37" s="273">
        <f>SUM(X36:$AR36)*$N37/100</f>
        <v>2553.9659999999999</v>
      </c>
      <c r="Y37" s="273">
        <f>SUM(Y36:$AR36)*$N37/100</f>
        <v>2224.422</v>
      </c>
      <c r="Z37" s="273">
        <f>SUM(Z36:$AR36)*$N37/100</f>
        <v>1894.8779999999999</v>
      </c>
      <c r="AA37" s="273">
        <f>SUM(AA36:$AR36)*$N37/100</f>
        <v>1565.3339999999998</v>
      </c>
      <c r="AB37" s="273">
        <f>SUM(AB36:$AR36)*$N37/100</f>
        <v>1235.79</v>
      </c>
      <c r="AC37" s="273">
        <f>SUM(AC36:$AR36)*$N37/100</f>
        <v>906.24599999999987</v>
      </c>
      <c r="AD37" s="273">
        <f>SUM(AD36:$AR36)*$N37/100</f>
        <v>576.702</v>
      </c>
      <c r="AE37" s="273">
        <f>SUM(AE36:$AR36)*$N37/100</f>
        <v>247.15799999999999</v>
      </c>
      <c r="AF37" s="273">
        <v>0</v>
      </c>
      <c r="AG37" s="273">
        <v>0</v>
      </c>
      <c r="AH37" s="273">
        <v>0</v>
      </c>
      <c r="AI37" s="273">
        <v>0</v>
      </c>
      <c r="AJ37" s="273">
        <v>0</v>
      </c>
      <c r="AK37" s="273">
        <v>0</v>
      </c>
      <c r="AL37" s="273">
        <v>0</v>
      </c>
      <c r="AM37" s="273">
        <v>0</v>
      </c>
      <c r="AN37" s="273">
        <v>0</v>
      </c>
      <c r="AO37" s="273">
        <v>0</v>
      </c>
      <c r="AP37" s="273">
        <v>0</v>
      </c>
      <c r="AQ37" s="273">
        <v>0</v>
      </c>
      <c r="AR37" s="273">
        <v>0</v>
      </c>
      <c r="AS37" s="273"/>
      <c r="AT37" s="273"/>
      <c r="AU37" s="274">
        <f t="shared" si="0"/>
        <v>33598.095999999998</v>
      </c>
      <c r="AV37" s="261">
        <f t="shared" si="1"/>
        <v>0</v>
      </c>
      <c r="AW37" s="275">
        <f t="shared" si="2"/>
        <v>8650.5299999999988</v>
      </c>
      <c r="AX37" s="276">
        <f t="shared" si="3"/>
        <v>33598.095999999998</v>
      </c>
      <c r="AZ37" s="250" t="b">
        <f t="shared" si="4"/>
        <v>1</v>
      </c>
    </row>
    <row r="38" spans="2:53" s="250" customFormat="1" outlineLevel="1" collapsed="1" x14ac:dyDescent="0.3">
      <c r="B38" s="251" t="s">
        <v>692</v>
      </c>
      <c r="C38" s="252">
        <v>17</v>
      </c>
      <c r="D38" s="253" t="s">
        <v>796</v>
      </c>
      <c r="E38" s="254" t="s">
        <v>797</v>
      </c>
      <c r="F38" s="255" t="s">
        <v>798</v>
      </c>
      <c r="G38" s="255" t="s">
        <v>793</v>
      </c>
      <c r="H38" s="255" t="s">
        <v>799</v>
      </c>
      <c r="I38" s="255" t="s">
        <v>698</v>
      </c>
      <c r="J38" s="256">
        <v>1174139.99</v>
      </c>
      <c r="K38" s="257">
        <v>708540</v>
      </c>
      <c r="L38" s="257"/>
      <c r="M38" s="257"/>
      <c r="N38" s="258"/>
      <c r="O38" s="258"/>
      <c r="P38" s="258"/>
      <c r="Q38" s="258" t="s">
        <v>699</v>
      </c>
      <c r="R38" s="259">
        <v>80976</v>
      </c>
      <c r="S38" s="259">
        <v>80976</v>
      </c>
      <c r="T38" s="259">
        <v>80976</v>
      </c>
      <c r="U38" s="259">
        <v>80976</v>
      </c>
      <c r="V38" s="259">
        <v>80976</v>
      </c>
      <c r="W38" s="259">
        <v>80976</v>
      </c>
      <c r="X38" s="259">
        <v>80976</v>
      </c>
      <c r="Y38" s="259">
        <v>80976</v>
      </c>
      <c r="Z38" s="259">
        <v>60731.990000000005</v>
      </c>
      <c r="AA38" s="259">
        <v>0</v>
      </c>
      <c r="AB38" s="259">
        <v>0</v>
      </c>
      <c r="AC38" s="259">
        <v>0</v>
      </c>
      <c r="AD38" s="259">
        <v>0</v>
      </c>
      <c r="AE38" s="259">
        <v>0</v>
      </c>
      <c r="AF38" s="259">
        <v>0</v>
      </c>
      <c r="AG38" s="259">
        <v>0</v>
      </c>
      <c r="AH38" s="259">
        <v>0</v>
      </c>
      <c r="AI38" s="259">
        <v>0</v>
      </c>
      <c r="AJ38" s="259">
        <v>0</v>
      </c>
      <c r="AK38" s="259">
        <v>0</v>
      </c>
      <c r="AL38" s="259">
        <v>0</v>
      </c>
      <c r="AM38" s="259">
        <v>0</v>
      </c>
      <c r="AN38" s="259">
        <v>0</v>
      </c>
      <c r="AO38" s="259">
        <v>0</v>
      </c>
      <c r="AP38" s="259">
        <v>0</v>
      </c>
      <c r="AQ38" s="259">
        <v>0</v>
      </c>
      <c r="AR38" s="259">
        <v>0</v>
      </c>
      <c r="AS38" s="259"/>
      <c r="AT38" s="259"/>
      <c r="AU38" s="260">
        <f t="shared" si="0"/>
        <v>708539.99</v>
      </c>
      <c r="AV38" s="261">
        <f t="shared" si="1"/>
        <v>0</v>
      </c>
      <c r="AW38" s="262">
        <f t="shared" si="2"/>
        <v>141707.99</v>
      </c>
      <c r="AX38" s="263">
        <f t="shared" si="3"/>
        <v>708539.99</v>
      </c>
      <c r="AZ38" s="250" t="b">
        <f t="shared" si="4"/>
        <v>1</v>
      </c>
      <c r="BA38" s="264">
        <f>AX38-K38</f>
        <v>-1.0000000009313226E-2</v>
      </c>
    </row>
    <row r="39" spans="2:53" outlineLevel="1" x14ac:dyDescent="0.3">
      <c r="B39" s="265" t="s">
        <v>692</v>
      </c>
      <c r="C39" s="266"/>
      <c r="D39" s="267"/>
      <c r="E39" s="268"/>
      <c r="F39" s="269"/>
      <c r="G39" s="269"/>
      <c r="H39" s="269"/>
      <c r="I39" s="269"/>
      <c r="J39" s="270"/>
      <c r="K39" s="270"/>
      <c r="L39" s="270" t="s">
        <v>800</v>
      </c>
      <c r="M39" s="270"/>
      <c r="N39" s="271">
        <f t="shared" si="5"/>
        <v>3.5819999999999999</v>
      </c>
      <c r="O39" s="278">
        <v>3.5819999999999999</v>
      </c>
      <c r="P39" s="271">
        <f>$P$4</f>
        <v>0</v>
      </c>
      <c r="Q39" s="271" t="s">
        <v>702</v>
      </c>
      <c r="R39" s="273">
        <v>23280.369999999995</v>
      </c>
      <c r="S39" s="273">
        <f>SUM(S38:$AR38)*$N39/100</f>
        <v>22479.342121799997</v>
      </c>
      <c r="T39" s="273">
        <f>SUM(T38:$AR38)*$N39/100</f>
        <v>19578.7818018</v>
      </c>
      <c r="U39" s="273">
        <f>SUM(U38:$AR38)*$N39/100</f>
        <v>16678.221481799999</v>
      </c>
      <c r="V39" s="273">
        <f>SUM(V38:$AR38)*$N39/100</f>
        <v>13777.661161799999</v>
      </c>
      <c r="W39" s="273">
        <f>SUM(W38:$AR38)*$N39/100</f>
        <v>10877.1008418</v>
      </c>
      <c r="X39" s="273">
        <f>SUM(X38:$AR38)*$N39/100</f>
        <v>7976.5405217999987</v>
      </c>
      <c r="Y39" s="273">
        <f>SUM(Y38:$AR38)*$N39/100</f>
        <v>5075.9802017999991</v>
      </c>
      <c r="Z39" s="273">
        <f>SUM(Z38:$AR38)*$N39/100</f>
        <v>2175.4198818</v>
      </c>
      <c r="AA39" s="273">
        <v>0</v>
      </c>
      <c r="AB39" s="273">
        <v>0</v>
      </c>
      <c r="AC39" s="273">
        <v>0</v>
      </c>
      <c r="AD39" s="273">
        <v>0</v>
      </c>
      <c r="AE39" s="273">
        <v>0</v>
      </c>
      <c r="AF39" s="273">
        <v>0</v>
      </c>
      <c r="AG39" s="273">
        <v>0</v>
      </c>
      <c r="AH39" s="273">
        <v>0</v>
      </c>
      <c r="AI39" s="273">
        <v>0</v>
      </c>
      <c r="AJ39" s="273">
        <v>0</v>
      </c>
      <c r="AK39" s="273">
        <v>0</v>
      </c>
      <c r="AL39" s="273">
        <v>0</v>
      </c>
      <c r="AM39" s="273">
        <v>0</v>
      </c>
      <c r="AN39" s="273">
        <v>0</v>
      </c>
      <c r="AO39" s="273">
        <v>0</v>
      </c>
      <c r="AP39" s="273">
        <v>0</v>
      </c>
      <c r="AQ39" s="273">
        <v>0</v>
      </c>
      <c r="AR39" s="273">
        <v>0</v>
      </c>
      <c r="AS39" s="273"/>
      <c r="AT39" s="273"/>
      <c r="AU39" s="274">
        <f t="shared" si="0"/>
        <v>121899.4180144</v>
      </c>
      <c r="AV39" s="261">
        <f t="shared" si="1"/>
        <v>0</v>
      </c>
      <c r="AW39" s="275">
        <f t="shared" si="2"/>
        <v>7251.4000835999996</v>
      </c>
      <c r="AX39" s="276">
        <f t="shared" si="3"/>
        <v>121899.4180144</v>
      </c>
      <c r="AZ39" s="250" t="b">
        <f t="shared" si="4"/>
        <v>1</v>
      </c>
    </row>
    <row r="40" spans="2:53" s="250" customFormat="1" outlineLevel="1" collapsed="1" x14ac:dyDescent="0.3">
      <c r="B40" s="251" t="s">
        <v>692</v>
      </c>
      <c r="C40" s="252">
        <v>18</v>
      </c>
      <c r="D40" s="253" t="s">
        <v>801</v>
      </c>
      <c r="E40" s="254" t="s">
        <v>802</v>
      </c>
      <c r="F40" s="255" t="s">
        <v>803</v>
      </c>
      <c r="G40" s="255" t="s">
        <v>804</v>
      </c>
      <c r="H40" s="255" t="s">
        <v>805</v>
      </c>
      <c r="I40" s="255" t="s">
        <v>698</v>
      </c>
      <c r="J40" s="256">
        <v>388132.51</v>
      </c>
      <c r="K40" s="257">
        <v>146130</v>
      </c>
      <c r="L40" s="257"/>
      <c r="M40" s="257"/>
      <c r="N40" s="258"/>
      <c r="O40" s="258"/>
      <c r="P40" s="258"/>
      <c r="Q40" s="258" t="s">
        <v>699</v>
      </c>
      <c r="R40" s="259">
        <v>38968</v>
      </c>
      <c r="S40" s="259">
        <v>38968</v>
      </c>
      <c r="T40" s="259">
        <v>38968</v>
      </c>
      <c r="U40" s="259">
        <v>29226</v>
      </c>
      <c r="V40" s="259">
        <v>0</v>
      </c>
      <c r="W40" s="259">
        <v>0</v>
      </c>
      <c r="X40" s="259">
        <v>0</v>
      </c>
      <c r="Y40" s="259">
        <v>0</v>
      </c>
      <c r="Z40" s="259">
        <v>0</v>
      </c>
      <c r="AA40" s="259">
        <v>0</v>
      </c>
      <c r="AB40" s="259">
        <v>0</v>
      </c>
      <c r="AC40" s="259">
        <v>0</v>
      </c>
      <c r="AD40" s="259">
        <v>0</v>
      </c>
      <c r="AE40" s="259">
        <v>0</v>
      </c>
      <c r="AF40" s="259">
        <v>0</v>
      </c>
      <c r="AG40" s="259">
        <v>0</v>
      </c>
      <c r="AH40" s="259">
        <v>0</v>
      </c>
      <c r="AI40" s="259">
        <v>0</v>
      </c>
      <c r="AJ40" s="259">
        <v>0</v>
      </c>
      <c r="AK40" s="259">
        <v>0</v>
      </c>
      <c r="AL40" s="259">
        <v>0</v>
      </c>
      <c r="AM40" s="259">
        <v>0</v>
      </c>
      <c r="AN40" s="259">
        <v>0</v>
      </c>
      <c r="AO40" s="259">
        <v>0</v>
      </c>
      <c r="AP40" s="259">
        <v>0</v>
      </c>
      <c r="AQ40" s="259">
        <v>0</v>
      </c>
      <c r="AR40" s="259">
        <v>0</v>
      </c>
      <c r="AS40" s="259"/>
      <c r="AT40" s="259"/>
      <c r="AU40" s="260">
        <f t="shared" si="0"/>
        <v>146130</v>
      </c>
      <c r="AV40" s="261">
        <f t="shared" si="1"/>
        <v>0</v>
      </c>
      <c r="AW40" s="262">
        <f t="shared" si="2"/>
        <v>0</v>
      </c>
      <c r="AX40" s="263">
        <f t="shared" si="3"/>
        <v>146130</v>
      </c>
      <c r="AZ40" s="250" t="b">
        <f t="shared" si="4"/>
        <v>1</v>
      </c>
      <c r="BA40" s="264">
        <f>AX40-K40</f>
        <v>0</v>
      </c>
    </row>
    <row r="41" spans="2:53" outlineLevel="1" x14ac:dyDescent="0.3">
      <c r="B41" s="265" t="s">
        <v>692</v>
      </c>
      <c r="C41" s="266"/>
      <c r="D41" s="267"/>
      <c r="E41" s="268"/>
      <c r="F41" s="269"/>
      <c r="G41" s="269"/>
      <c r="H41" s="269"/>
      <c r="I41" s="269"/>
      <c r="J41" s="270"/>
      <c r="K41" s="270"/>
      <c r="L41" s="270" t="s">
        <v>806</v>
      </c>
      <c r="M41" s="270"/>
      <c r="N41" s="271">
        <f t="shared" si="5"/>
        <v>3.2730000000000001</v>
      </c>
      <c r="O41" s="278">
        <v>3.2730000000000001</v>
      </c>
      <c r="P41" s="271">
        <f>$P$4</f>
        <v>0</v>
      </c>
      <c r="Q41" s="271" t="s">
        <v>702</v>
      </c>
      <c r="R41" s="273">
        <v>4303.3499999999995</v>
      </c>
      <c r="S41" s="273">
        <f>SUM(S40:$AR40)*$N41/100</f>
        <v>3507.4122600000001</v>
      </c>
      <c r="T41" s="273">
        <f>SUM(T40:$AR40)*$N41/100</f>
        <v>2231.9896199999998</v>
      </c>
      <c r="U41" s="273">
        <f>SUM(U40:$AR40)*$N41/100</f>
        <v>956.56698000000006</v>
      </c>
      <c r="V41" s="273">
        <v>0</v>
      </c>
      <c r="W41" s="273">
        <v>0</v>
      </c>
      <c r="X41" s="273">
        <v>0</v>
      </c>
      <c r="Y41" s="273">
        <v>0</v>
      </c>
      <c r="Z41" s="273">
        <v>0</v>
      </c>
      <c r="AA41" s="273">
        <v>0</v>
      </c>
      <c r="AB41" s="273">
        <v>0</v>
      </c>
      <c r="AC41" s="273">
        <v>0</v>
      </c>
      <c r="AD41" s="273">
        <v>0</v>
      </c>
      <c r="AE41" s="273">
        <v>0</v>
      </c>
      <c r="AF41" s="273">
        <v>0</v>
      </c>
      <c r="AG41" s="273">
        <v>0</v>
      </c>
      <c r="AH41" s="273">
        <v>0</v>
      </c>
      <c r="AI41" s="273">
        <v>0</v>
      </c>
      <c r="AJ41" s="273">
        <v>0</v>
      </c>
      <c r="AK41" s="273">
        <v>0</v>
      </c>
      <c r="AL41" s="273">
        <v>0</v>
      </c>
      <c r="AM41" s="273">
        <v>0</v>
      </c>
      <c r="AN41" s="273">
        <v>0</v>
      </c>
      <c r="AO41" s="273">
        <v>0</v>
      </c>
      <c r="AP41" s="273">
        <v>0</v>
      </c>
      <c r="AQ41" s="273">
        <v>0</v>
      </c>
      <c r="AR41" s="273">
        <v>0</v>
      </c>
      <c r="AS41" s="273"/>
      <c r="AT41" s="273"/>
      <c r="AU41" s="274">
        <f t="shared" si="0"/>
        <v>10999.318859999999</v>
      </c>
      <c r="AV41" s="261">
        <f t="shared" si="1"/>
        <v>0</v>
      </c>
      <c r="AW41" s="275">
        <f t="shared" si="2"/>
        <v>0</v>
      </c>
      <c r="AX41" s="276">
        <f t="shared" si="3"/>
        <v>10999.318859999999</v>
      </c>
      <c r="AZ41" s="250" t="b">
        <f t="shared" si="4"/>
        <v>1</v>
      </c>
    </row>
    <row r="42" spans="2:53" s="250" customFormat="1" outlineLevel="1" x14ac:dyDescent="0.3">
      <c r="B42" s="251" t="s">
        <v>737</v>
      </c>
      <c r="C42" s="252">
        <v>19</v>
      </c>
      <c r="D42" s="253" t="s">
        <v>745</v>
      </c>
      <c r="E42" s="254" t="s">
        <v>807</v>
      </c>
      <c r="F42" s="255" t="s">
        <v>808</v>
      </c>
      <c r="G42" s="255" t="s">
        <v>809</v>
      </c>
      <c r="H42" s="255" t="s">
        <v>810</v>
      </c>
      <c r="I42" s="255" t="s">
        <v>698</v>
      </c>
      <c r="J42" s="256">
        <v>160577.24</v>
      </c>
      <c r="K42" s="257">
        <v>115304</v>
      </c>
      <c r="L42" s="257"/>
      <c r="M42" s="257"/>
      <c r="N42" s="258"/>
      <c r="O42" s="258"/>
      <c r="P42" s="258"/>
      <c r="Q42" s="258" t="s">
        <v>699</v>
      </c>
      <c r="R42" s="259">
        <v>8236</v>
      </c>
      <c r="S42" s="259">
        <v>8236</v>
      </c>
      <c r="T42" s="259">
        <v>8236</v>
      </c>
      <c r="U42" s="259">
        <v>8236</v>
      </c>
      <c r="V42" s="259">
        <v>8236</v>
      </c>
      <c r="W42" s="259">
        <v>8236</v>
      </c>
      <c r="X42" s="259">
        <v>8236</v>
      </c>
      <c r="Y42" s="259">
        <v>8236</v>
      </c>
      <c r="Z42" s="259">
        <v>8236</v>
      </c>
      <c r="AA42" s="259">
        <v>8236</v>
      </c>
      <c r="AB42" s="259">
        <v>8236</v>
      </c>
      <c r="AC42" s="259">
        <v>8236</v>
      </c>
      <c r="AD42" s="259">
        <v>8236</v>
      </c>
      <c r="AE42" s="259">
        <v>8236</v>
      </c>
      <c r="AF42" s="259">
        <v>0</v>
      </c>
      <c r="AG42" s="259">
        <v>0</v>
      </c>
      <c r="AH42" s="259">
        <v>0</v>
      </c>
      <c r="AI42" s="259">
        <v>0</v>
      </c>
      <c r="AJ42" s="259">
        <v>0</v>
      </c>
      <c r="AK42" s="259">
        <v>0</v>
      </c>
      <c r="AL42" s="259">
        <v>0</v>
      </c>
      <c r="AM42" s="259">
        <v>0</v>
      </c>
      <c r="AN42" s="259">
        <v>0</v>
      </c>
      <c r="AO42" s="259">
        <v>0</v>
      </c>
      <c r="AP42" s="259">
        <v>0</v>
      </c>
      <c r="AQ42" s="259">
        <v>0</v>
      </c>
      <c r="AR42" s="259">
        <v>0</v>
      </c>
      <c r="AS42" s="259"/>
      <c r="AT42" s="259"/>
      <c r="AU42" s="260">
        <f t="shared" si="0"/>
        <v>115304</v>
      </c>
      <c r="AV42" s="261">
        <f t="shared" si="1"/>
        <v>0</v>
      </c>
      <c r="AW42" s="262">
        <f t="shared" si="2"/>
        <v>57652</v>
      </c>
      <c r="AX42" s="263">
        <f t="shared" si="3"/>
        <v>115304</v>
      </c>
      <c r="AZ42" s="250" t="b">
        <f t="shared" si="4"/>
        <v>1</v>
      </c>
      <c r="BA42" s="264">
        <f>AX42-K42</f>
        <v>0</v>
      </c>
    </row>
    <row r="43" spans="2:53" outlineLevel="1" x14ac:dyDescent="0.3">
      <c r="B43" s="265" t="s">
        <v>737</v>
      </c>
      <c r="C43" s="266"/>
      <c r="D43" s="267" t="s">
        <v>811</v>
      </c>
      <c r="E43" s="268"/>
      <c r="F43" s="269"/>
      <c r="G43" s="269"/>
      <c r="H43" s="269"/>
      <c r="I43" s="269"/>
      <c r="J43" s="270"/>
      <c r="K43" s="270"/>
      <c r="L43" s="270" t="s">
        <v>812</v>
      </c>
      <c r="M43" s="270"/>
      <c r="N43" s="271">
        <f t="shared" si="5"/>
        <v>3.077</v>
      </c>
      <c r="O43" s="278">
        <v>3.077</v>
      </c>
      <c r="P43" s="271">
        <f>$P$4</f>
        <v>0</v>
      </c>
      <c r="Q43" s="271" t="s">
        <v>702</v>
      </c>
      <c r="R43" s="273">
        <v>3432.35</v>
      </c>
      <c r="S43" s="273">
        <f>SUM(S42:$AR42)*$N43/100</f>
        <v>3294.48236</v>
      </c>
      <c r="T43" s="273">
        <f>SUM(T42:$AR42)*$N43/100</f>
        <v>3041.0606400000001</v>
      </c>
      <c r="U43" s="273">
        <f>SUM(U42:$AR42)*$N43/100</f>
        <v>2787.6389199999999</v>
      </c>
      <c r="V43" s="273">
        <f>SUM(V42:$AR42)*$N43/100</f>
        <v>2534.2172</v>
      </c>
      <c r="W43" s="273">
        <f>SUM(W42:$AR42)*$N43/100</f>
        <v>2280.7954800000002</v>
      </c>
      <c r="X43" s="273">
        <f>SUM(X42:$AR42)*$N43/100</f>
        <v>2027.3737599999999</v>
      </c>
      <c r="Y43" s="273">
        <f>SUM(Y42:$AR42)*$N43/100</f>
        <v>1773.9520399999999</v>
      </c>
      <c r="Z43" s="273">
        <f>SUM(Z42:$AR42)*$N43/100</f>
        <v>1520.5303200000001</v>
      </c>
      <c r="AA43" s="273">
        <f>SUM(AA42:$AR42)*$N43/100</f>
        <v>1267.1086</v>
      </c>
      <c r="AB43" s="273">
        <f>SUM(AB42:$AR42)*$N43/100</f>
        <v>1013.68688</v>
      </c>
      <c r="AC43" s="273">
        <f>SUM(AC42:$AR42)*$N43/100</f>
        <v>760.26516000000004</v>
      </c>
      <c r="AD43" s="273">
        <f>SUM(AD42:$AR42)*$N43/100</f>
        <v>506.84343999999999</v>
      </c>
      <c r="AE43" s="273">
        <f>SUM(AE42:$AR42)*$N43/100</f>
        <v>253.42171999999999</v>
      </c>
      <c r="AF43" s="273">
        <v>0</v>
      </c>
      <c r="AG43" s="273">
        <v>0</v>
      </c>
      <c r="AH43" s="273">
        <v>0</v>
      </c>
      <c r="AI43" s="273">
        <v>0</v>
      </c>
      <c r="AJ43" s="273">
        <v>0</v>
      </c>
      <c r="AK43" s="273">
        <v>0</v>
      </c>
      <c r="AL43" s="273">
        <v>0</v>
      </c>
      <c r="AM43" s="273">
        <v>0</v>
      </c>
      <c r="AN43" s="273">
        <v>0</v>
      </c>
      <c r="AO43" s="273">
        <v>0</v>
      </c>
      <c r="AP43" s="273">
        <v>0</v>
      </c>
      <c r="AQ43" s="273">
        <v>0</v>
      </c>
      <c r="AR43" s="273">
        <v>0</v>
      </c>
      <c r="AS43" s="273"/>
      <c r="AT43" s="273"/>
      <c r="AU43" s="274">
        <f t="shared" si="0"/>
        <v>26493.72652</v>
      </c>
      <c r="AV43" s="261">
        <f t="shared" si="1"/>
        <v>0</v>
      </c>
      <c r="AW43" s="275">
        <f t="shared" si="2"/>
        <v>7095.8081599999996</v>
      </c>
      <c r="AX43" s="276">
        <f t="shared" si="3"/>
        <v>26493.72652</v>
      </c>
      <c r="AZ43" s="250" t="b">
        <f t="shared" si="4"/>
        <v>1</v>
      </c>
    </row>
    <row r="44" spans="2:53" s="250" customFormat="1" outlineLevel="1" x14ac:dyDescent="0.3">
      <c r="B44" s="251" t="s">
        <v>737</v>
      </c>
      <c r="C44" s="252">
        <v>20</v>
      </c>
      <c r="D44" s="253" t="s">
        <v>813</v>
      </c>
      <c r="E44" s="254" t="s">
        <v>814</v>
      </c>
      <c r="F44" s="255" t="s">
        <v>815</v>
      </c>
      <c r="G44" s="255" t="s">
        <v>816</v>
      </c>
      <c r="H44" s="255" t="s">
        <v>817</v>
      </c>
      <c r="I44" s="255" t="s">
        <v>698</v>
      </c>
      <c r="J44" s="256">
        <v>131127</v>
      </c>
      <c r="K44" s="257">
        <v>94192</v>
      </c>
      <c r="L44" s="257"/>
      <c r="M44" s="257"/>
      <c r="N44" s="258"/>
      <c r="O44" s="258"/>
      <c r="P44" s="258"/>
      <c r="Q44" s="258" t="s">
        <v>699</v>
      </c>
      <c r="R44" s="259">
        <v>6728</v>
      </c>
      <c r="S44" s="259">
        <v>6728</v>
      </c>
      <c r="T44" s="259">
        <v>6728</v>
      </c>
      <c r="U44" s="259">
        <v>6728</v>
      </c>
      <c r="V44" s="259">
        <v>6728</v>
      </c>
      <c r="W44" s="259">
        <v>6728</v>
      </c>
      <c r="X44" s="259">
        <v>6728</v>
      </c>
      <c r="Y44" s="259">
        <v>6728</v>
      </c>
      <c r="Z44" s="259">
        <v>6728</v>
      </c>
      <c r="AA44" s="259">
        <v>6728</v>
      </c>
      <c r="AB44" s="259">
        <v>6728</v>
      </c>
      <c r="AC44" s="259">
        <v>6728</v>
      </c>
      <c r="AD44" s="259">
        <v>6728</v>
      </c>
      <c r="AE44" s="259">
        <v>6728</v>
      </c>
      <c r="AF44" s="259">
        <v>0</v>
      </c>
      <c r="AG44" s="259">
        <v>0</v>
      </c>
      <c r="AH44" s="259">
        <v>0</v>
      </c>
      <c r="AI44" s="259">
        <v>0</v>
      </c>
      <c r="AJ44" s="259">
        <v>0</v>
      </c>
      <c r="AK44" s="259">
        <v>0</v>
      </c>
      <c r="AL44" s="259">
        <v>0</v>
      </c>
      <c r="AM44" s="259">
        <v>0</v>
      </c>
      <c r="AN44" s="259">
        <v>0</v>
      </c>
      <c r="AO44" s="259">
        <v>0</v>
      </c>
      <c r="AP44" s="259">
        <v>0</v>
      </c>
      <c r="AQ44" s="259">
        <v>0</v>
      </c>
      <c r="AR44" s="259">
        <v>0</v>
      </c>
      <c r="AS44" s="259"/>
      <c r="AT44" s="259"/>
      <c r="AU44" s="260">
        <f t="shared" si="0"/>
        <v>94192</v>
      </c>
      <c r="AV44" s="261">
        <f t="shared" si="1"/>
        <v>0</v>
      </c>
      <c r="AW44" s="262">
        <f t="shared" si="2"/>
        <v>47096</v>
      </c>
      <c r="AX44" s="263">
        <f t="shared" si="3"/>
        <v>94192</v>
      </c>
      <c r="AZ44" s="250" t="b">
        <f t="shared" si="4"/>
        <v>1</v>
      </c>
      <c r="BA44" s="264">
        <f>AX44-K44</f>
        <v>0</v>
      </c>
    </row>
    <row r="45" spans="2:53" outlineLevel="1" x14ac:dyDescent="0.3">
      <c r="B45" s="265" t="s">
        <v>737</v>
      </c>
      <c r="C45" s="266"/>
      <c r="D45" s="267" t="s">
        <v>818</v>
      </c>
      <c r="E45" s="268"/>
      <c r="F45" s="269"/>
      <c r="G45" s="269"/>
      <c r="H45" s="269"/>
      <c r="I45" s="269"/>
      <c r="J45" s="270"/>
      <c r="K45" s="270"/>
      <c r="L45" s="270" t="s">
        <v>305</v>
      </c>
      <c r="M45" s="270"/>
      <c r="N45" s="271">
        <f t="shared" si="5"/>
        <v>3.077</v>
      </c>
      <c r="O45" s="278">
        <v>3.077</v>
      </c>
      <c r="P45" s="271">
        <f>$P$4</f>
        <v>0</v>
      </c>
      <c r="Q45" s="271" t="s">
        <v>702</v>
      </c>
      <c r="R45" s="273">
        <v>2825.9</v>
      </c>
      <c r="S45" s="273">
        <f>SUM(S44:$AR44)*$N45/100</f>
        <v>2691.26728</v>
      </c>
      <c r="T45" s="273">
        <f>SUM(T44:$AR44)*$N45/100</f>
        <v>2484.2467200000001</v>
      </c>
      <c r="U45" s="273">
        <f>SUM(U44:$AR44)*$N45/100</f>
        <v>2277.2261600000002</v>
      </c>
      <c r="V45" s="273">
        <f>SUM(V44:$AR44)*$N45/100</f>
        <v>2070.2055999999998</v>
      </c>
      <c r="W45" s="273">
        <f>SUM(W44:$AR44)*$N45/100</f>
        <v>1863.1850399999998</v>
      </c>
      <c r="X45" s="273">
        <f>SUM(X44:$AR44)*$N45/100</f>
        <v>1656.1644800000001</v>
      </c>
      <c r="Y45" s="273">
        <f>SUM(Y44:$AR44)*$N45/100</f>
        <v>1449.14392</v>
      </c>
      <c r="Z45" s="273">
        <f>SUM(Z44:$AR44)*$N45/100</f>
        <v>1242.12336</v>
      </c>
      <c r="AA45" s="273">
        <f>SUM(AA44:$AR44)*$N45/100</f>
        <v>1035.1027999999999</v>
      </c>
      <c r="AB45" s="273">
        <f>SUM(AB44:$AR44)*$N45/100</f>
        <v>828.08224000000007</v>
      </c>
      <c r="AC45" s="273">
        <f>SUM(AC44:$AR44)*$N45/100</f>
        <v>621.06168000000002</v>
      </c>
      <c r="AD45" s="273">
        <f>SUM(AD44:$AR44)*$N45/100</f>
        <v>414.04112000000003</v>
      </c>
      <c r="AE45" s="273">
        <f>SUM(AE44:$AR44)*$N45/100</f>
        <v>207.02056000000002</v>
      </c>
      <c r="AF45" s="273">
        <v>0</v>
      </c>
      <c r="AG45" s="273">
        <v>0</v>
      </c>
      <c r="AH45" s="273">
        <v>0</v>
      </c>
      <c r="AI45" s="273">
        <v>0</v>
      </c>
      <c r="AJ45" s="273">
        <v>0</v>
      </c>
      <c r="AK45" s="273">
        <v>0</v>
      </c>
      <c r="AL45" s="273">
        <v>0</v>
      </c>
      <c r="AM45" s="273">
        <v>0</v>
      </c>
      <c r="AN45" s="273">
        <v>0</v>
      </c>
      <c r="AO45" s="273">
        <v>0</v>
      </c>
      <c r="AP45" s="273">
        <v>0</v>
      </c>
      <c r="AQ45" s="273">
        <v>0</v>
      </c>
      <c r="AR45" s="273">
        <v>0</v>
      </c>
      <c r="AS45" s="273"/>
      <c r="AT45" s="273"/>
      <c r="AU45" s="274">
        <f t="shared" si="0"/>
        <v>21664.770960000002</v>
      </c>
      <c r="AV45" s="261">
        <f t="shared" si="1"/>
        <v>0</v>
      </c>
      <c r="AW45" s="275">
        <f t="shared" si="2"/>
        <v>5796.575679999999</v>
      </c>
      <c r="AX45" s="276">
        <f t="shared" si="3"/>
        <v>21664.770959999998</v>
      </c>
      <c r="AZ45" s="250" t="b">
        <f t="shared" si="4"/>
        <v>1</v>
      </c>
    </row>
    <row r="46" spans="2:53" s="250" customFormat="1" outlineLevel="1" x14ac:dyDescent="0.3">
      <c r="B46" s="251" t="s">
        <v>737</v>
      </c>
      <c r="C46" s="252">
        <v>21</v>
      </c>
      <c r="D46" s="253" t="s">
        <v>819</v>
      </c>
      <c r="E46" s="254" t="s">
        <v>820</v>
      </c>
      <c r="F46" s="255" t="s">
        <v>821</v>
      </c>
      <c r="G46" s="255" t="s">
        <v>822</v>
      </c>
      <c r="H46" s="255" t="s">
        <v>823</v>
      </c>
      <c r="I46" s="255" t="s">
        <v>698</v>
      </c>
      <c r="J46" s="256">
        <v>5678344.2000000002</v>
      </c>
      <c r="K46" s="257">
        <v>2636868</v>
      </c>
      <c r="L46" s="257"/>
      <c r="M46" s="257"/>
      <c r="N46" s="258"/>
      <c r="O46" s="258"/>
      <c r="P46" s="258"/>
      <c r="Q46" s="258" t="s">
        <v>699</v>
      </c>
      <c r="R46" s="259">
        <v>363420</v>
      </c>
      <c r="S46" s="259">
        <v>344336</v>
      </c>
      <c r="T46" s="259">
        <v>314856</v>
      </c>
      <c r="U46" s="259">
        <v>305080</v>
      </c>
      <c r="V46" s="259">
        <v>279984</v>
      </c>
      <c r="W46" s="259">
        <v>252100</v>
      </c>
      <c r="X46" s="259">
        <v>243352</v>
      </c>
      <c r="Y46" s="259">
        <v>243352</v>
      </c>
      <c r="Z46" s="259">
        <v>243352</v>
      </c>
      <c r="AA46" s="259">
        <v>33356</v>
      </c>
      <c r="AB46" s="259">
        <v>13680</v>
      </c>
      <c r="AC46" s="259">
        <v>0</v>
      </c>
      <c r="AD46" s="259">
        <v>0</v>
      </c>
      <c r="AE46" s="259">
        <v>0</v>
      </c>
      <c r="AF46" s="259">
        <v>0</v>
      </c>
      <c r="AG46" s="259">
        <v>0</v>
      </c>
      <c r="AH46" s="259">
        <v>0</v>
      </c>
      <c r="AI46" s="259">
        <v>0</v>
      </c>
      <c r="AJ46" s="259">
        <v>0</v>
      </c>
      <c r="AK46" s="259">
        <v>0</v>
      </c>
      <c r="AL46" s="259">
        <v>0</v>
      </c>
      <c r="AM46" s="259">
        <v>0</v>
      </c>
      <c r="AN46" s="259">
        <v>0</v>
      </c>
      <c r="AO46" s="259">
        <v>0</v>
      </c>
      <c r="AP46" s="259">
        <v>0</v>
      </c>
      <c r="AQ46" s="259">
        <v>0</v>
      </c>
      <c r="AR46" s="259">
        <v>0</v>
      </c>
      <c r="AS46" s="259"/>
      <c r="AT46" s="259"/>
      <c r="AU46" s="260">
        <f t="shared" si="0"/>
        <v>2636868</v>
      </c>
      <c r="AV46" s="261">
        <f t="shared" si="1"/>
        <v>0</v>
      </c>
      <c r="AW46" s="262">
        <f t="shared" si="2"/>
        <v>533740</v>
      </c>
      <c r="AX46" s="263">
        <f t="shared" si="3"/>
        <v>2636868</v>
      </c>
      <c r="AZ46" s="250" t="b">
        <f t="shared" si="4"/>
        <v>1</v>
      </c>
      <c r="BA46" s="264">
        <f>AX46-K46</f>
        <v>0</v>
      </c>
    </row>
    <row r="47" spans="2:53" outlineLevel="1" x14ac:dyDescent="0.3">
      <c r="B47" s="265" t="s">
        <v>737</v>
      </c>
      <c r="C47" s="266"/>
      <c r="D47" s="267" t="s">
        <v>824</v>
      </c>
      <c r="E47" s="268"/>
      <c r="F47" s="269"/>
      <c r="G47" s="269"/>
      <c r="H47" s="269"/>
      <c r="I47" s="269"/>
      <c r="J47" s="270"/>
      <c r="K47" s="270"/>
      <c r="L47" s="270" t="s">
        <v>825</v>
      </c>
      <c r="M47" s="270"/>
      <c r="N47" s="271">
        <f t="shared" si="5"/>
        <v>3.55</v>
      </c>
      <c r="O47" s="272">
        <v>3.55</v>
      </c>
      <c r="P47" s="271">
        <f>$P$4</f>
        <v>0</v>
      </c>
      <c r="Q47" s="271" t="s">
        <v>702</v>
      </c>
      <c r="R47" s="273">
        <v>82456.03</v>
      </c>
      <c r="S47" s="273">
        <f>SUM(S46:$AR46)*$N47/100</f>
        <v>80707.403999999995</v>
      </c>
      <c r="T47" s="273">
        <f>SUM(T46:$AR46)*$N47/100</f>
        <v>68483.475999999995</v>
      </c>
      <c r="U47" s="273">
        <f>SUM(U46:$AR46)*$N47/100</f>
        <v>57306.087999999996</v>
      </c>
      <c r="V47" s="273">
        <f>SUM(V46:$AR46)*$N47/100</f>
        <v>46475.748</v>
      </c>
      <c r="W47" s="273">
        <f>SUM(W46:$AR46)*$N47/100</f>
        <v>36536.315999999999</v>
      </c>
      <c r="X47" s="273">
        <f>SUM(X46:$AR46)*$N47/100</f>
        <v>27586.766</v>
      </c>
      <c r="Y47" s="273">
        <f>SUM(Y46:$AR46)*$N47/100</f>
        <v>18947.77</v>
      </c>
      <c r="Z47" s="273">
        <f>SUM(Z46:$AR46)*$N47/100</f>
        <v>10308.773999999999</v>
      </c>
      <c r="AA47" s="273">
        <f>SUM(AA46:$AR46)*$N47/100</f>
        <v>1669.7779999999998</v>
      </c>
      <c r="AB47" s="273">
        <f>SUM(AB46:$AR46)*$N47/100</f>
        <v>485.64</v>
      </c>
      <c r="AC47" s="273">
        <v>0</v>
      </c>
      <c r="AD47" s="273">
        <v>0</v>
      </c>
      <c r="AE47" s="273">
        <v>0</v>
      </c>
      <c r="AF47" s="273">
        <v>0</v>
      </c>
      <c r="AG47" s="273">
        <v>0</v>
      </c>
      <c r="AH47" s="273">
        <v>0</v>
      </c>
      <c r="AI47" s="273">
        <v>0</v>
      </c>
      <c r="AJ47" s="273">
        <v>0</v>
      </c>
      <c r="AK47" s="273">
        <v>0</v>
      </c>
      <c r="AL47" s="273">
        <v>0</v>
      </c>
      <c r="AM47" s="273">
        <v>0</v>
      </c>
      <c r="AN47" s="273">
        <v>0</v>
      </c>
      <c r="AO47" s="273">
        <v>0</v>
      </c>
      <c r="AP47" s="273">
        <v>0</v>
      </c>
      <c r="AQ47" s="273">
        <v>0</v>
      </c>
      <c r="AR47" s="273">
        <v>0</v>
      </c>
      <c r="AS47" s="273"/>
      <c r="AT47" s="273"/>
      <c r="AU47" s="274">
        <f t="shared" si="0"/>
        <v>430963.79000000004</v>
      </c>
      <c r="AV47" s="261">
        <f t="shared" si="1"/>
        <v>0</v>
      </c>
      <c r="AW47" s="275">
        <f t="shared" si="2"/>
        <v>31411.962</v>
      </c>
      <c r="AX47" s="276">
        <f t="shared" si="3"/>
        <v>430963.79000000004</v>
      </c>
      <c r="AZ47" s="250" t="b">
        <f t="shared" si="4"/>
        <v>1</v>
      </c>
    </row>
    <row r="48" spans="2:53" s="250" customFormat="1" outlineLevel="1" x14ac:dyDescent="0.3">
      <c r="B48" s="251" t="s">
        <v>737</v>
      </c>
      <c r="C48" s="252">
        <v>22</v>
      </c>
      <c r="D48" s="253" t="s">
        <v>826</v>
      </c>
      <c r="E48" s="254" t="s">
        <v>827</v>
      </c>
      <c r="F48" s="255" t="s">
        <v>828</v>
      </c>
      <c r="G48" s="255" t="s">
        <v>829</v>
      </c>
      <c r="H48" s="255" t="s">
        <v>830</v>
      </c>
      <c r="I48" s="255" t="s">
        <v>698</v>
      </c>
      <c r="J48" s="256">
        <v>117517</v>
      </c>
      <c r="K48" s="257">
        <v>8211</v>
      </c>
      <c r="L48" s="257"/>
      <c r="M48" s="257"/>
      <c r="N48" s="258"/>
      <c r="O48" s="258"/>
      <c r="P48" s="258"/>
      <c r="Q48" s="258" t="s">
        <v>699</v>
      </c>
      <c r="R48" s="259">
        <v>1932</v>
      </c>
      <c r="S48" s="259">
        <v>1932</v>
      </c>
      <c r="T48" s="259">
        <v>1932</v>
      </c>
      <c r="U48" s="259">
        <v>1932</v>
      </c>
      <c r="V48" s="259">
        <v>483</v>
      </c>
      <c r="W48" s="259">
        <v>0</v>
      </c>
      <c r="X48" s="259">
        <v>0</v>
      </c>
      <c r="Y48" s="259">
        <v>0</v>
      </c>
      <c r="Z48" s="259">
        <v>0</v>
      </c>
      <c r="AA48" s="259">
        <v>0</v>
      </c>
      <c r="AB48" s="259">
        <v>0</v>
      </c>
      <c r="AC48" s="259">
        <v>0</v>
      </c>
      <c r="AD48" s="259">
        <v>0</v>
      </c>
      <c r="AE48" s="259">
        <v>0</v>
      </c>
      <c r="AF48" s="259">
        <v>0</v>
      </c>
      <c r="AG48" s="259">
        <v>0</v>
      </c>
      <c r="AH48" s="259">
        <v>0</v>
      </c>
      <c r="AI48" s="259">
        <v>0</v>
      </c>
      <c r="AJ48" s="259">
        <v>0</v>
      </c>
      <c r="AK48" s="259">
        <v>0</v>
      </c>
      <c r="AL48" s="259">
        <v>0</v>
      </c>
      <c r="AM48" s="259">
        <v>0</v>
      </c>
      <c r="AN48" s="259">
        <v>0</v>
      </c>
      <c r="AO48" s="259">
        <v>0</v>
      </c>
      <c r="AP48" s="259">
        <v>0</v>
      </c>
      <c r="AQ48" s="259">
        <v>0</v>
      </c>
      <c r="AR48" s="259">
        <v>0</v>
      </c>
      <c r="AS48" s="259"/>
      <c r="AT48" s="259"/>
      <c r="AU48" s="260">
        <f t="shared" si="0"/>
        <v>8211</v>
      </c>
      <c r="AV48" s="261">
        <f t="shared" si="1"/>
        <v>0</v>
      </c>
      <c r="AW48" s="262">
        <f t="shared" si="2"/>
        <v>0</v>
      </c>
      <c r="AX48" s="263">
        <f t="shared" si="3"/>
        <v>8211</v>
      </c>
      <c r="AZ48" s="250" t="b">
        <f t="shared" si="4"/>
        <v>1</v>
      </c>
      <c r="BA48" s="264">
        <f>AX48-K48</f>
        <v>0</v>
      </c>
    </row>
    <row r="49" spans="1:53" outlineLevel="1" x14ac:dyDescent="0.3">
      <c r="B49" s="265" t="s">
        <v>737</v>
      </c>
      <c r="C49" s="266"/>
      <c r="D49" s="267" t="s">
        <v>831</v>
      </c>
      <c r="E49" s="268"/>
      <c r="F49" s="269"/>
      <c r="G49" s="269"/>
      <c r="H49" s="269"/>
      <c r="I49" s="269"/>
      <c r="J49" s="270"/>
      <c r="K49" s="270"/>
      <c r="L49" s="270" t="s">
        <v>832</v>
      </c>
      <c r="M49" s="270"/>
      <c r="N49" s="271">
        <f t="shared" si="5"/>
        <v>4.0549999999999997</v>
      </c>
      <c r="O49" s="271">
        <v>4.0549999999999997</v>
      </c>
      <c r="P49" s="271">
        <f>$P$4</f>
        <v>0</v>
      </c>
      <c r="Q49" s="271" t="s">
        <v>702</v>
      </c>
      <c r="R49" s="273">
        <f>256+50</f>
        <v>306</v>
      </c>
      <c r="S49" s="273">
        <f>SUM(S48:$AR48)*$N49/100</f>
        <v>254.61344999999997</v>
      </c>
      <c r="T49" s="273">
        <f>SUM(T48:$AR48)*$N49/100</f>
        <v>176.27085</v>
      </c>
      <c r="U49" s="273">
        <f>SUM(U48:$AR48)*$N49/100</f>
        <v>97.928249999999991</v>
      </c>
      <c r="V49" s="273">
        <f>SUM(V48:$AR48)*$N49/100</f>
        <v>19.585649999999998</v>
      </c>
      <c r="W49" s="273">
        <v>0</v>
      </c>
      <c r="X49" s="273">
        <v>0</v>
      </c>
      <c r="Y49" s="273">
        <v>0</v>
      </c>
      <c r="Z49" s="273">
        <v>0</v>
      </c>
      <c r="AA49" s="273">
        <v>0</v>
      </c>
      <c r="AB49" s="273">
        <v>0</v>
      </c>
      <c r="AC49" s="273">
        <v>0</v>
      </c>
      <c r="AD49" s="273">
        <v>0</v>
      </c>
      <c r="AE49" s="273">
        <v>0</v>
      </c>
      <c r="AF49" s="273">
        <v>0</v>
      </c>
      <c r="AG49" s="273">
        <v>0</v>
      </c>
      <c r="AH49" s="273">
        <v>0</v>
      </c>
      <c r="AI49" s="273">
        <v>0</v>
      </c>
      <c r="AJ49" s="273">
        <v>0</v>
      </c>
      <c r="AK49" s="273">
        <v>0</v>
      </c>
      <c r="AL49" s="273">
        <v>0</v>
      </c>
      <c r="AM49" s="273">
        <v>0</v>
      </c>
      <c r="AN49" s="273">
        <v>0</v>
      </c>
      <c r="AO49" s="273">
        <v>0</v>
      </c>
      <c r="AP49" s="273">
        <v>0</v>
      </c>
      <c r="AQ49" s="273">
        <v>0</v>
      </c>
      <c r="AR49" s="273">
        <v>0</v>
      </c>
      <c r="AS49" s="273"/>
      <c r="AT49" s="273"/>
      <c r="AU49" s="274">
        <f t="shared" si="0"/>
        <v>854.39819999999986</v>
      </c>
      <c r="AV49" s="261">
        <f t="shared" si="1"/>
        <v>0</v>
      </c>
      <c r="AW49" s="275">
        <f t="shared" si="2"/>
        <v>0</v>
      </c>
      <c r="AX49" s="276">
        <f t="shared" si="3"/>
        <v>854.39819999999986</v>
      </c>
      <c r="AZ49" s="250" t="b">
        <f t="shared" si="4"/>
        <v>1</v>
      </c>
    </row>
    <row r="50" spans="1:53" s="250" customFormat="1" outlineLevel="1" x14ac:dyDescent="0.3">
      <c r="B50" s="251" t="s">
        <v>737</v>
      </c>
      <c r="C50" s="252">
        <v>23</v>
      </c>
      <c r="D50" s="253" t="s">
        <v>833</v>
      </c>
      <c r="E50" s="254" t="s">
        <v>834</v>
      </c>
      <c r="F50" s="255" t="s">
        <v>835</v>
      </c>
      <c r="G50" s="255" t="s">
        <v>836</v>
      </c>
      <c r="H50" s="255" t="s">
        <v>837</v>
      </c>
      <c r="I50" s="255" t="s">
        <v>698</v>
      </c>
      <c r="J50" s="256">
        <v>2227434</v>
      </c>
      <c r="K50" s="257">
        <v>1725780</v>
      </c>
      <c r="L50" s="257"/>
      <c r="M50" s="257"/>
      <c r="N50" s="258"/>
      <c r="O50" s="258"/>
      <c r="P50" s="258"/>
      <c r="Q50" s="258" t="s">
        <v>699</v>
      </c>
      <c r="R50" s="259">
        <v>70440</v>
      </c>
      <c r="S50" s="259">
        <v>70440</v>
      </c>
      <c r="T50" s="259">
        <v>70440</v>
      </c>
      <c r="U50" s="259">
        <v>70440</v>
      </c>
      <c r="V50" s="259">
        <v>70440</v>
      </c>
      <c r="W50" s="259">
        <v>70440</v>
      </c>
      <c r="X50" s="259">
        <v>70440</v>
      </c>
      <c r="Y50" s="259">
        <v>70440</v>
      </c>
      <c r="Z50" s="259">
        <v>70440</v>
      </c>
      <c r="AA50" s="259">
        <v>70440</v>
      </c>
      <c r="AB50" s="259">
        <v>70440</v>
      </c>
      <c r="AC50" s="259">
        <v>70440</v>
      </c>
      <c r="AD50" s="259">
        <v>70440</v>
      </c>
      <c r="AE50" s="259">
        <v>70440</v>
      </c>
      <c r="AF50" s="259">
        <v>70440</v>
      </c>
      <c r="AG50" s="259">
        <v>70440</v>
      </c>
      <c r="AH50" s="259">
        <v>70440</v>
      </c>
      <c r="AI50" s="259">
        <v>70440</v>
      </c>
      <c r="AJ50" s="259">
        <v>70440</v>
      </c>
      <c r="AK50" s="259">
        <v>70440</v>
      </c>
      <c r="AL50" s="259">
        <v>70440</v>
      </c>
      <c r="AM50" s="259">
        <v>70440</v>
      </c>
      <c r="AN50" s="259">
        <v>70440</v>
      </c>
      <c r="AO50" s="259">
        <v>70440</v>
      </c>
      <c r="AP50" s="259">
        <v>35220</v>
      </c>
      <c r="AQ50" s="259">
        <v>0</v>
      </c>
      <c r="AR50" s="259">
        <v>0</v>
      </c>
      <c r="AS50" s="259"/>
      <c r="AT50" s="259"/>
      <c r="AU50" s="260">
        <f t="shared" si="0"/>
        <v>1725780</v>
      </c>
      <c r="AV50" s="261">
        <f t="shared" si="1"/>
        <v>0</v>
      </c>
      <c r="AW50" s="262">
        <f t="shared" si="2"/>
        <v>1232700</v>
      </c>
      <c r="AX50" s="263">
        <f t="shared" si="3"/>
        <v>1725780</v>
      </c>
      <c r="AZ50" s="250" t="b">
        <f t="shared" si="4"/>
        <v>1</v>
      </c>
      <c r="BA50" s="264">
        <f>AX50-K50</f>
        <v>0</v>
      </c>
    </row>
    <row r="51" spans="1:53" outlineLevel="1" x14ac:dyDescent="0.3">
      <c r="B51" s="265" t="s">
        <v>737</v>
      </c>
      <c r="C51" s="266"/>
      <c r="D51" s="267" t="s">
        <v>838</v>
      </c>
      <c r="E51" s="268"/>
      <c r="F51" s="269"/>
      <c r="G51" s="269"/>
      <c r="H51" s="269"/>
      <c r="I51" s="269"/>
      <c r="J51" s="270"/>
      <c r="K51" s="270"/>
      <c r="L51" s="270" t="s">
        <v>839</v>
      </c>
      <c r="M51" s="270"/>
      <c r="N51" s="271">
        <f t="shared" si="5"/>
        <v>3.55</v>
      </c>
      <c r="O51" s="272">
        <v>3.55</v>
      </c>
      <c r="P51" s="271">
        <f>$P$4</f>
        <v>0</v>
      </c>
      <c r="Q51" s="271" t="s">
        <v>702</v>
      </c>
      <c r="R51" s="273">
        <v>59120.9</v>
      </c>
      <c r="S51" s="273">
        <f>SUM(S50:$AR50)*$N51/100</f>
        <v>58764.57</v>
      </c>
      <c r="T51" s="273">
        <f>SUM(T50:$AR50)*$N51/100</f>
        <v>56263.95</v>
      </c>
      <c r="U51" s="273">
        <f>SUM(U50:$AR50)*$N51/100</f>
        <v>53763.33</v>
      </c>
      <c r="V51" s="273">
        <f>SUM(V50:$AR50)*$N51/100</f>
        <v>51262.71</v>
      </c>
      <c r="W51" s="273">
        <f>SUM(W50:$AR50)*$N51/100</f>
        <v>48762.09</v>
      </c>
      <c r="X51" s="273">
        <f>SUM(X50:$AR50)*$N51/100</f>
        <v>46261.47</v>
      </c>
      <c r="Y51" s="273">
        <f>SUM(Y50:$AR50)*$N51/100</f>
        <v>43760.85</v>
      </c>
      <c r="Z51" s="273">
        <f>SUM(Z50:$AR50)*$N51/100</f>
        <v>41260.230000000003</v>
      </c>
      <c r="AA51" s="273">
        <f>SUM(AA50:$AR50)*$N51/100</f>
        <v>38759.61</v>
      </c>
      <c r="AB51" s="273">
        <f>SUM(AB50:$AR50)*$N51/100</f>
        <v>36258.99</v>
      </c>
      <c r="AC51" s="273">
        <f>SUM(AC50:$AR50)*$N51/100</f>
        <v>33758.370000000003</v>
      </c>
      <c r="AD51" s="273">
        <f>SUM(AD50:$AR50)*$N51/100</f>
        <v>31257.75</v>
      </c>
      <c r="AE51" s="273">
        <f>SUM(AE50:$AR50)*$N51/100</f>
        <v>28757.13</v>
      </c>
      <c r="AF51" s="273">
        <f>SUM(AF50:$AR50)*$N51/100</f>
        <v>26256.51</v>
      </c>
      <c r="AG51" s="273">
        <f>SUM(AG50:$AR50)*$N51/100</f>
        <v>23755.89</v>
      </c>
      <c r="AH51" s="273">
        <f>SUM(AH50:$AR50)*$N51/100</f>
        <v>21255.27</v>
      </c>
      <c r="AI51" s="273">
        <f>SUM(AI50:$AR50)*$N51/100</f>
        <v>18754.650000000001</v>
      </c>
      <c r="AJ51" s="273">
        <f>SUM(AJ50:$AR50)*$N51/100</f>
        <v>16254.03</v>
      </c>
      <c r="AK51" s="273">
        <f>SUM(AK50:$AR50)*$N51/100</f>
        <v>13753.41</v>
      </c>
      <c r="AL51" s="273">
        <f>SUM(AL50:$AR50)*$N51/100</f>
        <v>11252.79</v>
      </c>
      <c r="AM51" s="273">
        <f>SUM(AM50:$AR50)*$N51/100</f>
        <v>8752.17</v>
      </c>
      <c r="AN51" s="273">
        <f>SUM(AN50:$AR50)*$N51/100</f>
        <v>6251.55</v>
      </c>
      <c r="AO51" s="273">
        <f>SUM(AO50:$AR50)*$N51/100</f>
        <v>3750.93</v>
      </c>
      <c r="AP51" s="273">
        <f>SUM(AP50:$AR50)*$N51/100</f>
        <v>1250.31</v>
      </c>
      <c r="AQ51" s="273">
        <v>0</v>
      </c>
      <c r="AR51" s="273">
        <v>0</v>
      </c>
      <c r="AS51" s="273"/>
      <c r="AT51" s="273"/>
      <c r="AU51" s="274">
        <f t="shared" si="0"/>
        <v>779299.46000000031</v>
      </c>
      <c r="AV51" s="261">
        <f t="shared" si="1"/>
        <v>0</v>
      </c>
      <c r="AW51" s="275">
        <f t="shared" si="2"/>
        <v>405100.44</v>
      </c>
      <c r="AX51" s="276">
        <f t="shared" si="3"/>
        <v>779299.46</v>
      </c>
      <c r="AZ51" s="250" t="b">
        <f t="shared" si="4"/>
        <v>1</v>
      </c>
    </row>
    <row r="52" spans="1:53" s="250" customFormat="1" outlineLevel="1" x14ac:dyDescent="0.3">
      <c r="B52" s="251" t="s">
        <v>692</v>
      </c>
      <c r="C52" s="252">
        <v>24</v>
      </c>
      <c r="D52" s="253" t="s">
        <v>840</v>
      </c>
      <c r="E52" s="254" t="s">
        <v>841</v>
      </c>
      <c r="F52" s="255" t="s">
        <v>842</v>
      </c>
      <c r="G52" s="255" t="s">
        <v>843</v>
      </c>
      <c r="H52" s="255" t="s">
        <v>844</v>
      </c>
      <c r="I52" s="255" t="s">
        <v>698</v>
      </c>
      <c r="J52" s="256">
        <v>531484</v>
      </c>
      <c r="K52" s="257">
        <v>357396</v>
      </c>
      <c r="L52" s="257"/>
      <c r="M52" s="257"/>
      <c r="N52" s="258"/>
      <c r="O52" s="258"/>
      <c r="P52" s="258"/>
      <c r="Q52" s="258" t="s">
        <v>699</v>
      </c>
      <c r="R52" s="259">
        <v>36656</v>
      </c>
      <c r="S52" s="259">
        <v>36656</v>
      </c>
      <c r="T52" s="259">
        <v>36656</v>
      </c>
      <c r="U52" s="259">
        <v>36656</v>
      </c>
      <c r="V52" s="259">
        <v>36656</v>
      </c>
      <c r="W52" s="259">
        <v>36656</v>
      </c>
      <c r="X52" s="259">
        <v>36656</v>
      </c>
      <c r="Y52" s="259">
        <v>36656</v>
      </c>
      <c r="Z52" s="259">
        <v>36656</v>
      </c>
      <c r="AA52" s="259">
        <v>27492</v>
      </c>
      <c r="AB52" s="259">
        <v>0</v>
      </c>
      <c r="AC52" s="259">
        <v>0</v>
      </c>
      <c r="AD52" s="259">
        <v>0</v>
      </c>
      <c r="AE52" s="259">
        <v>0</v>
      </c>
      <c r="AF52" s="259">
        <v>0</v>
      </c>
      <c r="AG52" s="259">
        <v>0</v>
      </c>
      <c r="AH52" s="259">
        <v>0</v>
      </c>
      <c r="AI52" s="259">
        <v>0</v>
      </c>
      <c r="AJ52" s="259">
        <v>0</v>
      </c>
      <c r="AK52" s="259">
        <v>0</v>
      </c>
      <c r="AL52" s="259">
        <v>0</v>
      </c>
      <c r="AM52" s="259">
        <v>0</v>
      </c>
      <c r="AN52" s="259">
        <v>0</v>
      </c>
      <c r="AO52" s="259">
        <v>0</v>
      </c>
      <c r="AP52" s="259">
        <v>0</v>
      </c>
      <c r="AQ52" s="259">
        <v>0</v>
      </c>
      <c r="AR52" s="259">
        <v>0</v>
      </c>
      <c r="AS52" s="259"/>
      <c r="AT52" s="259"/>
      <c r="AU52" s="260">
        <f t="shared" si="0"/>
        <v>357396</v>
      </c>
      <c r="AV52" s="261">
        <f t="shared" si="1"/>
        <v>0</v>
      </c>
      <c r="AW52" s="262">
        <f t="shared" si="2"/>
        <v>100804</v>
      </c>
      <c r="AX52" s="263">
        <f t="shared" si="3"/>
        <v>357396</v>
      </c>
      <c r="AZ52" s="250" t="b">
        <f t="shared" si="4"/>
        <v>1</v>
      </c>
      <c r="BA52" s="264">
        <f>AX52-K52</f>
        <v>0</v>
      </c>
    </row>
    <row r="53" spans="1:53" outlineLevel="1" x14ac:dyDescent="0.3">
      <c r="B53" s="265" t="s">
        <v>692</v>
      </c>
      <c r="C53" s="266"/>
      <c r="D53" s="267"/>
      <c r="E53" s="268"/>
      <c r="F53" s="269"/>
      <c r="G53" s="269"/>
      <c r="H53" s="269"/>
      <c r="I53" s="269"/>
      <c r="J53" s="270"/>
      <c r="K53" s="270"/>
      <c r="L53" s="270" t="s">
        <v>845</v>
      </c>
      <c r="M53" s="270"/>
      <c r="N53" s="271">
        <f t="shared" si="5"/>
        <v>3.2189999999999999</v>
      </c>
      <c r="O53" s="278">
        <v>3.2189999999999999</v>
      </c>
      <c r="P53" s="271">
        <f>$P$4</f>
        <v>0</v>
      </c>
      <c r="Q53" s="271" t="s">
        <v>702</v>
      </c>
      <c r="R53" s="273">
        <v>10675.21</v>
      </c>
      <c r="S53" s="273">
        <f>SUM(S52:$AR52)*$N53/100</f>
        <v>10324.6206</v>
      </c>
      <c r="T53" s="273">
        <f>SUM(T52:$AR52)*$N53/100</f>
        <v>9144.6639599999999</v>
      </c>
      <c r="U53" s="273">
        <f>SUM(U52:$AR52)*$N53/100</f>
        <v>7964.7073199999995</v>
      </c>
      <c r="V53" s="273">
        <f>SUM(V52:$AR52)*$N53/100</f>
        <v>6784.7506800000001</v>
      </c>
      <c r="W53" s="273">
        <f>SUM(W52:$AR52)*$N53/100</f>
        <v>5604.7940399999998</v>
      </c>
      <c r="X53" s="273">
        <f>SUM(X52:$AR52)*$N53/100</f>
        <v>4424.8374000000003</v>
      </c>
      <c r="Y53" s="273">
        <f>SUM(Y52:$AR52)*$N53/100</f>
        <v>3244.88076</v>
      </c>
      <c r="Z53" s="273">
        <f>SUM(Z52:$AR52)*$N53/100</f>
        <v>2064.9241199999997</v>
      </c>
      <c r="AA53" s="273">
        <f>SUM(AA52:$AR52)*$N53/100</f>
        <v>884.96747999999991</v>
      </c>
      <c r="AB53" s="273">
        <v>0</v>
      </c>
      <c r="AC53" s="273">
        <v>0</v>
      </c>
      <c r="AD53" s="273">
        <v>0</v>
      </c>
      <c r="AE53" s="273">
        <v>0</v>
      </c>
      <c r="AF53" s="273">
        <v>0</v>
      </c>
      <c r="AG53" s="273">
        <v>0</v>
      </c>
      <c r="AH53" s="273">
        <v>0</v>
      </c>
      <c r="AI53" s="273">
        <v>0</v>
      </c>
      <c r="AJ53" s="273">
        <v>0</v>
      </c>
      <c r="AK53" s="273">
        <v>0</v>
      </c>
      <c r="AL53" s="273">
        <v>0</v>
      </c>
      <c r="AM53" s="273">
        <v>0</v>
      </c>
      <c r="AN53" s="273">
        <v>0</v>
      </c>
      <c r="AO53" s="273">
        <v>0</v>
      </c>
      <c r="AP53" s="273">
        <v>0</v>
      </c>
      <c r="AQ53" s="273">
        <v>0</v>
      </c>
      <c r="AR53" s="273">
        <v>0</v>
      </c>
      <c r="AS53" s="273"/>
      <c r="AT53" s="273"/>
      <c r="AU53" s="274">
        <f t="shared" si="0"/>
        <v>61118.356359999998</v>
      </c>
      <c r="AV53" s="261">
        <f t="shared" si="1"/>
        <v>0</v>
      </c>
      <c r="AW53" s="275">
        <f t="shared" si="2"/>
        <v>6194.7723599999999</v>
      </c>
      <c r="AX53" s="276">
        <f t="shared" si="3"/>
        <v>61118.356360000005</v>
      </c>
      <c r="AZ53" s="250" t="b">
        <f t="shared" si="4"/>
        <v>1</v>
      </c>
    </row>
    <row r="54" spans="1:53" s="250" customFormat="1" outlineLevel="1" x14ac:dyDescent="0.3">
      <c r="B54" s="251" t="s">
        <v>737</v>
      </c>
      <c r="C54" s="252">
        <v>25</v>
      </c>
      <c r="D54" s="253" t="s">
        <v>846</v>
      </c>
      <c r="E54" s="254" t="s">
        <v>847</v>
      </c>
      <c r="F54" s="255" t="s">
        <v>848</v>
      </c>
      <c r="G54" s="255" t="s">
        <v>849</v>
      </c>
      <c r="H54" s="255" t="s">
        <v>850</v>
      </c>
      <c r="I54" s="255" t="s">
        <v>698</v>
      </c>
      <c r="J54" s="256">
        <v>583938.46</v>
      </c>
      <c r="K54" s="257">
        <v>473520</v>
      </c>
      <c r="L54" s="257"/>
      <c r="M54" s="257"/>
      <c r="N54" s="258"/>
      <c r="O54" s="258"/>
      <c r="P54" s="258"/>
      <c r="Q54" s="258" t="s">
        <v>699</v>
      </c>
      <c r="R54" s="259">
        <v>31568</v>
      </c>
      <c r="S54" s="259">
        <v>31568</v>
      </c>
      <c r="T54" s="259">
        <v>31568</v>
      </c>
      <c r="U54" s="259">
        <v>31568</v>
      </c>
      <c r="V54" s="259">
        <v>31568</v>
      </c>
      <c r="W54" s="259">
        <v>31568</v>
      </c>
      <c r="X54" s="259">
        <v>31568</v>
      </c>
      <c r="Y54" s="259">
        <v>31568</v>
      </c>
      <c r="Z54" s="259">
        <v>31568</v>
      </c>
      <c r="AA54" s="259">
        <v>31568</v>
      </c>
      <c r="AB54" s="259">
        <v>31568</v>
      </c>
      <c r="AC54" s="259">
        <v>31568</v>
      </c>
      <c r="AD54" s="259">
        <v>31568</v>
      </c>
      <c r="AE54" s="259">
        <v>31568</v>
      </c>
      <c r="AF54" s="259">
        <v>31568</v>
      </c>
      <c r="AG54" s="259">
        <v>0</v>
      </c>
      <c r="AH54" s="259">
        <v>0</v>
      </c>
      <c r="AI54" s="259">
        <v>0</v>
      </c>
      <c r="AJ54" s="259">
        <v>0</v>
      </c>
      <c r="AK54" s="259">
        <v>0</v>
      </c>
      <c r="AL54" s="259">
        <v>0</v>
      </c>
      <c r="AM54" s="259">
        <v>0</v>
      </c>
      <c r="AN54" s="259">
        <v>0</v>
      </c>
      <c r="AO54" s="259">
        <v>0</v>
      </c>
      <c r="AP54" s="259">
        <v>0</v>
      </c>
      <c r="AQ54" s="259">
        <v>0</v>
      </c>
      <c r="AR54" s="259">
        <v>0</v>
      </c>
      <c r="AS54" s="259"/>
      <c r="AT54" s="259"/>
      <c r="AU54" s="260">
        <f t="shared" si="0"/>
        <v>473520</v>
      </c>
      <c r="AV54" s="261">
        <f t="shared" si="1"/>
        <v>0</v>
      </c>
      <c r="AW54" s="262">
        <f t="shared" si="2"/>
        <v>252544</v>
      </c>
      <c r="AX54" s="263">
        <f t="shared" si="3"/>
        <v>473520</v>
      </c>
      <c r="AZ54" s="250" t="b">
        <f t="shared" si="4"/>
        <v>1</v>
      </c>
      <c r="BA54" s="264">
        <f>AX54-K54</f>
        <v>0</v>
      </c>
    </row>
    <row r="55" spans="1:53" outlineLevel="1" x14ac:dyDescent="0.3">
      <c r="B55" s="265" t="s">
        <v>737</v>
      </c>
      <c r="C55" s="266"/>
      <c r="D55" s="267"/>
      <c r="E55" s="268"/>
      <c r="F55" s="269"/>
      <c r="G55" s="269"/>
      <c r="H55" s="269"/>
      <c r="I55" s="269"/>
      <c r="J55" s="270"/>
      <c r="K55" s="270"/>
      <c r="L55" s="270" t="s">
        <v>851</v>
      </c>
      <c r="M55" s="270"/>
      <c r="N55" s="271">
        <f t="shared" si="5"/>
        <v>2.8</v>
      </c>
      <c r="O55" s="278">
        <v>2.8</v>
      </c>
      <c r="P55" s="271">
        <f>$P$4</f>
        <v>0</v>
      </c>
      <c r="Q55" s="271" t="s">
        <v>702</v>
      </c>
      <c r="R55" s="273">
        <v>13478.29</v>
      </c>
      <c r="S55" s="273">
        <f>SUM(S54:$AR54)*$N55/100</f>
        <v>12374.655999999999</v>
      </c>
      <c r="T55" s="273">
        <f>SUM(T54:$AR54)*$N55/100</f>
        <v>11490.752</v>
      </c>
      <c r="U55" s="273">
        <f>SUM(U54:$AR54)*$N55/100</f>
        <v>10606.848</v>
      </c>
      <c r="V55" s="273">
        <f>SUM(V54:$AR54)*$N55/100</f>
        <v>9722.9439999999995</v>
      </c>
      <c r="W55" s="273">
        <f>SUM(W54:$AR54)*$N55/100</f>
        <v>8839.0400000000009</v>
      </c>
      <c r="X55" s="273">
        <f>SUM(X54:$AR54)*$N55/100</f>
        <v>7955.1359999999995</v>
      </c>
      <c r="Y55" s="273">
        <f>SUM(Y54:$AR54)*$N55/100</f>
        <v>7071.232</v>
      </c>
      <c r="Z55" s="273">
        <f>SUM(Z54:$AR54)*$N55/100</f>
        <v>6187.3279999999995</v>
      </c>
      <c r="AA55" s="273">
        <f>SUM(AA54:$AR54)*$N55/100</f>
        <v>5303.424</v>
      </c>
      <c r="AB55" s="273">
        <f>SUM(AB54:$AR54)*$N55/100</f>
        <v>4419.5200000000004</v>
      </c>
      <c r="AC55" s="273">
        <f>SUM(AC54:$AR54)*$N55/100</f>
        <v>3535.616</v>
      </c>
      <c r="AD55" s="273">
        <f>SUM(AD54:$AR54)*$N55/100</f>
        <v>2651.712</v>
      </c>
      <c r="AE55" s="273">
        <f>SUM(AE54:$AR54)*$N55/100</f>
        <v>1767.808</v>
      </c>
      <c r="AF55" s="273">
        <f>SUM(AF54:$AR54)*$N55/100</f>
        <v>883.904</v>
      </c>
      <c r="AG55" s="273">
        <v>0</v>
      </c>
      <c r="AH55" s="273">
        <v>0</v>
      </c>
      <c r="AI55" s="273">
        <v>0</v>
      </c>
      <c r="AJ55" s="273">
        <v>0</v>
      </c>
      <c r="AK55" s="273">
        <v>0</v>
      </c>
      <c r="AL55" s="273">
        <v>0</v>
      </c>
      <c r="AM55" s="273">
        <v>0</v>
      </c>
      <c r="AN55" s="273">
        <v>0</v>
      </c>
      <c r="AO55" s="273">
        <v>0</v>
      </c>
      <c r="AP55" s="273">
        <v>0</v>
      </c>
      <c r="AQ55" s="273">
        <v>0</v>
      </c>
      <c r="AR55" s="273">
        <v>0</v>
      </c>
      <c r="AS55" s="273"/>
      <c r="AT55" s="273"/>
      <c r="AU55" s="274">
        <f t="shared" si="0"/>
        <v>106288.20999999999</v>
      </c>
      <c r="AV55" s="261">
        <f t="shared" si="1"/>
        <v>0</v>
      </c>
      <c r="AW55" s="275">
        <f t="shared" si="2"/>
        <v>31820.544000000002</v>
      </c>
      <c r="AX55" s="276">
        <f t="shared" si="3"/>
        <v>106288.20999999999</v>
      </c>
      <c r="AZ55" s="250" t="b">
        <f t="shared" si="4"/>
        <v>1</v>
      </c>
    </row>
    <row r="56" spans="1:53" s="250" customFormat="1" outlineLevel="1" x14ac:dyDescent="0.3">
      <c r="B56" s="251" t="s">
        <v>692</v>
      </c>
      <c r="C56" s="252">
        <v>26</v>
      </c>
      <c r="D56" s="253" t="s">
        <v>852</v>
      </c>
      <c r="E56" s="254" t="s">
        <v>853</v>
      </c>
      <c r="F56" s="255" t="s">
        <v>854</v>
      </c>
      <c r="G56" s="255" t="s">
        <v>855</v>
      </c>
      <c r="H56" s="255" t="s">
        <v>856</v>
      </c>
      <c r="I56" s="255" t="s">
        <v>698</v>
      </c>
      <c r="J56" s="256">
        <v>2556845.52</v>
      </c>
      <c r="K56" s="257">
        <v>2243904</v>
      </c>
      <c r="L56" s="257"/>
      <c r="M56" s="257"/>
      <c r="N56" s="258"/>
      <c r="O56" s="258"/>
      <c r="P56" s="258"/>
      <c r="Q56" s="258" t="s">
        <v>699</v>
      </c>
      <c r="R56" s="259">
        <v>96316</v>
      </c>
      <c r="S56" s="259">
        <v>96316</v>
      </c>
      <c r="T56" s="259">
        <v>96316</v>
      </c>
      <c r="U56" s="259">
        <v>96316</v>
      </c>
      <c r="V56" s="259">
        <v>96316</v>
      </c>
      <c r="W56" s="259">
        <v>96316</v>
      </c>
      <c r="X56" s="259">
        <v>96316</v>
      </c>
      <c r="Y56" s="259">
        <v>96316</v>
      </c>
      <c r="Z56" s="259">
        <v>96316</v>
      </c>
      <c r="AA56" s="259">
        <v>96316</v>
      </c>
      <c r="AB56" s="259">
        <v>96316</v>
      </c>
      <c r="AC56" s="259">
        <v>96316</v>
      </c>
      <c r="AD56" s="259">
        <v>96316</v>
      </c>
      <c r="AE56" s="259">
        <v>96316</v>
      </c>
      <c r="AF56" s="259">
        <v>96316</v>
      </c>
      <c r="AG56" s="259">
        <v>96316</v>
      </c>
      <c r="AH56" s="259">
        <v>96316</v>
      </c>
      <c r="AI56" s="259">
        <v>96316</v>
      </c>
      <c r="AJ56" s="259">
        <v>96316</v>
      </c>
      <c r="AK56" s="259">
        <v>96316</v>
      </c>
      <c r="AL56" s="259">
        <v>96316</v>
      </c>
      <c r="AM56" s="259">
        <v>96316</v>
      </c>
      <c r="AN56" s="259">
        <v>96316</v>
      </c>
      <c r="AO56" s="259">
        <v>28635.52</v>
      </c>
      <c r="AP56" s="259">
        <v>0</v>
      </c>
      <c r="AQ56" s="259">
        <v>0</v>
      </c>
      <c r="AR56" s="259">
        <v>0</v>
      </c>
      <c r="AS56" s="259"/>
      <c r="AT56" s="259"/>
      <c r="AU56" s="260">
        <f t="shared" si="0"/>
        <v>2243903.52</v>
      </c>
      <c r="AV56" s="261">
        <f t="shared" si="1"/>
        <v>0</v>
      </c>
      <c r="AW56" s="262">
        <f t="shared" si="2"/>
        <v>1569691.52</v>
      </c>
      <c r="AX56" s="263">
        <f t="shared" si="3"/>
        <v>2243903.52</v>
      </c>
      <c r="AZ56" s="250" t="b">
        <f t="shared" si="4"/>
        <v>1</v>
      </c>
      <c r="BA56" s="264">
        <f>AX56-K56</f>
        <v>-0.47999999998137355</v>
      </c>
    </row>
    <row r="57" spans="1:53" outlineLevel="1" x14ac:dyDescent="0.3">
      <c r="B57" s="265" t="s">
        <v>692</v>
      </c>
      <c r="C57" s="266"/>
      <c r="D57" s="267"/>
      <c r="E57" s="268"/>
      <c r="F57" s="269"/>
      <c r="G57" s="269"/>
      <c r="H57" s="269"/>
      <c r="I57" s="269"/>
      <c r="J57" s="270"/>
      <c r="K57" s="270"/>
      <c r="L57" s="270" t="s">
        <v>857</v>
      </c>
      <c r="M57" s="270"/>
      <c r="N57" s="271">
        <f t="shared" si="5"/>
        <v>4.55</v>
      </c>
      <c r="O57" s="272">
        <v>4.55</v>
      </c>
      <c r="P57" s="271">
        <f>$P$4</f>
        <v>0</v>
      </c>
      <c r="Q57" s="271" t="s">
        <v>702</v>
      </c>
      <c r="R57" s="273">
        <v>120601.41999999998</v>
      </c>
      <c r="S57" s="273">
        <f>SUM(S56:$AR56)*$N57/100</f>
        <v>97715.23216</v>
      </c>
      <c r="T57" s="273">
        <f>SUM(T56:$AR56)*$N57/100</f>
        <v>93332.854159999988</v>
      </c>
      <c r="U57" s="273">
        <f>SUM(U56:$AR56)*$N57/100</f>
        <v>88950.476160000006</v>
      </c>
      <c r="V57" s="273">
        <f>SUM(V56:$AR56)*$N57/100</f>
        <v>84568.098159999994</v>
      </c>
      <c r="W57" s="273">
        <f>SUM(W56:$AR56)*$N57/100</f>
        <v>80185.720159999997</v>
      </c>
      <c r="X57" s="273">
        <f>SUM(X56:$AR56)*$N57/100</f>
        <v>75803.34216</v>
      </c>
      <c r="Y57" s="273">
        <f>SUM(Y56:$AR56)*$N57/100</f>
        <v>71420.964160000003</v>
      </c>
      <c r="Z57" s="273">
        <f>SUM(Z56:$AR56)*$N57/100</f>
        <v>67038.586159999992</v>
      </c>
      <c r="AA57" s="273">
        <f>SUM(AA56:$AR56)*$N57/100</f>
        <v>62656.208159999995</v>
      </c>
      <c r="AB57" s="273">
        <f>SUM(AB56:$AR56)*$N57/100</f>
        <v>58273.830159999998</v>
      </c>
      <c r="AC57" s="273">
        <f>SUM(AC56:$AR56)*$N57/100</f>
        <v>53891.452160000001</v>
      </c>
      <c r="AD57" s="273">
        <f>SUM(AD56:$AR56)*$N57/100</f>
        <v>49509.074160000004</v>
      </c>
      <c r="AE57" s="273">
        <f>SUM(AE56:$AR56)*$N57/100</f>
        <v>45126.696159999992</v>
      </c>
      <c r="AF57" s="273">
        <f>SUM(AF56:$AR56)*$N57/100</f>
        <v>40744.318160000003</v>
      </c>
      <c r="AG57" s="273">
        <f>SUM(AG56:$AR56)*$N57/100</f>
        <v>36361.940159999998</v>
      </c>
      <c r="AH57" s="273">
        <f>SUM(AH56:$AR56)*$N57/100</f>
        <v>31979.562160000001</v>
      </c>
      <c r="AI57" s="273">
        <f>SUM(AI56:$AR56)*$N57/100</f>
        <v>27597.184160000001</v>
      </c>
      <c r="AJ57" s="273">
        <f>SUM(AJ56:$AR56)*$N57/100</f>
        <v>23214.80616</v>
      </c>
      <c r="AK57" s="273">
        <f>SUM(AK56:$AR56)*$N57/100</f>
        <v>18832.428159999999</v>
      </c>
      <c r="AL57" s="273">
        <f>SUM(AL56:$AR56)*$N57/100</f>
        <v>14450.050160000001</v>
      </c>
      <c r="AM57" s="273">
        <f>SUM(AM56:$AR56)*$N57/100</f>
        <v>10067.672159999998</v>
      </c>
      <c r="AN57" s="273">
        <f>SUM(AN56:$AR56)*$N57/100</f>
        <v>5685.2941599999995</v>
      </c>
      <c r="AO57" s="273">
        <f>SUM(AO56:$AR56)*$N57/100</f>
        <v>1302.91616</v>
      </c>
      <c r="AP57" s="273">
        <v>0</v>
      </c>
      <c r="AQ57" s="273">
        <v>0</v>
      </c>
      <c r="AR57" s="273">
        <v>0</v>
      </c>
      <c r="AS57" s="273"/>
      <c r="AT57" s="273"/>
      <c r="AU57" s="274">
        <f t="shared" si="0"/>
        <v>1259310.1256799998</v>
      </c>
      <c r="AV57" s="261">
        <f t="shared" si="1"/>
        <v>0</v>
      </c>
      <c r="AW57" s="275">
        <f t="shared" si="2"/>
        <v>618152.98271999997</v>
      </c>
      <c r="AX57" s="276">
        <f t="shared" si="3"/>
        <v>1259310.1256800001</v>
      </c>
      <c r="AZ57" s="250" t="b">
        <f t="shared" si="4"/>
        <v>1</v>
      </c>
    </row>
    <row r="58" spans="1:53" s="250" customFormat="1" outlineLevel="1" x14ac:dyDescent="0.3">
      <c r="B58" s="251" t="s">
        <v>692</v>
      </c>
      <c r="C58" s="252">
        <v>27</v>
      </c>
      <c r="D58" s="253" t="s">
        <v>858</v>
      </c>
      <c r="E58" s="254" t="s">
        <v>859</v>
      </c>
      <c r="F58" s="255" t="s">
        <v>860</v>
      </c>
      <c r="G58" s="255" t="s">
        <v>861</v>
      </c>
      <c r="H58" s="255" t="s">
        <v>862</v>
      </c>
      <c r="I58" s="255" t="s">
        <v>698</v>
      </c>
      <c r="J58" s="256">
        <v>1410783</v>
      </c>
      <c r="K58" s="257">
        <v>926982</v>
      </c>
      <c r="L58" s="257"/>
      <c r="M58" s="257"/>
      <c r="N58" s="258"/>
      <c r="O58" s="258"/>
      <c r="P58" s="258"/>
      <c r="Q58" s="258" t="s">
        <v>699</v>
      </c>
      <c r="R58" s="259">
        <v>88284</v>
      </c>
      <c r="S58" s="259">
        <v>88284</v>
      </c>
      <c r="T58" s="259">
        <v>88284</v>
      </c>
      <c r="U58" s="259">
        <v>88284</v>
      </c>
      <c r="V58" s="259">
        <v>88284</v>
      </c>
      <c r="W58" s="259">
        <v>88284</v>
      </c>
      <c r="X58" s="259">
        <v>88284</v>
      </c>
      <c r="Y58" s="259">
        <v>88284</v>
      </c>
      <c r="Z58" s="259">
        <v>88284</v>
      </c>
      <c r="AA58" s="259">
        <v>88284</v>
      </c>
      <c r="AB58" s="259">
        <v>44142</v>
      </c>
      <c r="AC58" s="259">
        <v>0</v>
      </c>
      <c r="AD58" s="259">
        <v>0</v>
      </c>
      <c r="AE58" s="259">
        <v>0</v>
      </c>
      <c r="AF58" s="259">
        <v>0</v>
      </c>
      <c r="AG58" s="259">
        <v>0</v>
      </c>
      <c r="AH58" s="259">
        <v>0</v>
      </c>
      <c r="AI58" s="259">
        <v>0</v>
      </c>
      <c r="AJ58" s="259">
        <v>0</v>
      </c>
      <c r="AK58" s="259">
        <v>0</v>
      </c>
      <c r="AL58" s="259">
        <v>0</v>
      </c>
      <c r="AM58" s="259">
        <v>0</v>
      </c>
      <c r="AN58" s="259">
        <v>0</v>
      </c>
      <c r="AO58" s="259">
        <v>0</v>
      </c>
      <c r="AP58" s="259">
        <v>0</v>
      </c>
      <c r="AQ58" s="259">
        <v>0</v>
      </c>
      <c r="AR58" s="259">
        <v>0</v>
      </c>
      <c r="AS58" s="259"/>
      <c r="AT58" s="259"/>
      <c r="AU58" s="260">
        <f t="shared" si="0"/>
        <v>926982</v>
      </c>
      <c r="AV58" s="261">
        <f t="shared" si="1"/>
        <v>0</v>
      </c>
      <c r="AW58" s="262">
        <f t="shared" si="2"/>
        <v>308994</v>
      </c>
      <c r="AX58" s="263">
        <f t="shared" si="3"/>
        <v>926982</v>
      </c>
      <c r="AZ58" s="250" t="b">
        <f t="shared" si="4"/>
        <v>1</v>
      </c>
      <c r="BA58" s="264">
        <f>AX58-K58</f>
        <v>0</v>
      </c>
    </row>
    <row r="59" spans="1:53" outlineLevel="1" x14ac:dyDescent="0.3">
      <c r="B59" s="265" t="s">
        <v>692</v>
      </c>
      <c r="C59" s="266"/>
      <c r="D59" s="267"/>
      <c r="E59" s="268"/>
      <c r="F59" s="269"/>
      <c r="G59" s="269"/>
      <c r="H59" s="269"/>
      <c r="I59" s="269"/>
      <c r="J59" s="270"/>
      <c r="K59" s="270"/>
      <c r="L59" s="270" t="s">
        <v>863</v>
      </c>
      <c r="M59" s="270"/>
      <c r="N59" s="271">
        <f t="shared" si="5"/>
        <v>4.3559999999999999</v>
      </c>
      <c r="O59" s="278">
        <v>4.3559999999999999</v>
      </c>
      <c r="P59" s="271">
        <f>$P$4</f>
        <v>0</v>
      </c>
      <c r="Q59" s="271" t="s">
        <v>702</v>
      </c>
      <c r="R59" s="273">
        <v>37988.869999999995</v>
      </c>
      <c r="S59" s="273">
        <f>SUM(S58:$AR58)*$N59/100</f>
        <v>36533.684880000001</v>
      </c>
      <c r="T59" s="273">
        <f>SUM(T58:$AR58)*$N59/100</f>
        <v>32688.03384</v>
      </c>
      <c r="U59" s="273">
        <f>SUM(U58:$AR58)*$N59/100</f>
        <v>28842.382799999999</v>
      </c>
      <c r="V59" s="273">
        <f>SUM(V58:$AR58)*$N59/100</f>
        <v>24996.731759999999</v>
      </c>
      <c r="W59" s="273">
        <f>SUM(W58:$AR58)*$N59/100</f>
        <v>21151.080720000002</v>
      </c>
      <c r="X59" s="273">
        <f>SUM(X58:$AR58)*$N59/100</f>
        <v>17305.429679999997</v>
      </c>
      <c r="Y59" s="273">
        <f>SUM(Y58:$AR58)*$N59/100</f>
        <v>13459.77864</v>
      </c>
      <c r="Z59" s="273">
        <f>SUM(Z58:$AR58)*$N59/100</f>
        <v>9614.1275999999998</v>
      </c>
      <c r="AA59" s="273">
        <f>SUM(AA58:$AR58)*$N59/100</f>
        <v>5768.4765599999992</v>
      </c>
      <c r="AB59" s="273">
        <f>SUM(AB58:$AR58)*$N59/100</f>
        <v>1922.8255199999999</v>
      </c>
      <c r="AC59" s="273">
        <v>0</v>
      </c>
      <c r="AD59" s="273">
        <v>0</v>
      </c>
      <c r="AE59" s="273">
        <v>0</v>
      </c>
      <c r="AF59" s="273">
        <v>0</v>
      </c>
      <c r="AG59" s="273">
        <v>0</v>
      </c>
      <c r="AH59" s="273">
        <v>0</v>
      </c>
      <c r="AI59" s="273">
        <v>0</v>
      </c>
      <c r="AJ59" s="273">
        <v>0</v>
      </c>
      <c r="AK59" s="273">
        <v>0</v>
      </c>
      <c r="AL59" s="273">
        <v>0</v>
      </c>
      <c r="AM59" s="273">
        <v>0</v>
      </c>
      <c r="AN59" s="273">
        <v>0</v>
      </c>
      <c r="AO59" s="273">
        <v>0</v>
      </c>
      <c r="AP59" s="273">
        <v>0</v>
      </c>
      <c r="AQ59" s="273">
        <v>0</v>
      </c>
      <c r="AR59" s="273">
        <v>0</v>
      </c>
      <c r="AS59" s="273"/>
      <c r="AT59" s="273"/>
      <c r="AU59" s="274">
        <f t="shared" si="0"/>
        <v>230271.42200000002</v>
      </c>
      <c r="AV59" s="261">
        <f t="shared" si="1"/>
        <v>0</v>
      </c>
      <c r="AW59" s="275">
        <f t="shared" si="2"/>
        <v>30765.208319999998</v>
      </c>
      <c r="AX59" s="276">
        <f t="shared" si="3"/>
        <v>230271.42199999999</v>
      </c>
      <c r="AZ59" s="250" t="b">
        <f t="shared" si="4"/>
        <v>1</v>
      </c>
    </row>
    <row r="60" spans="1:53" s="250" customFormat="1" outlineLevel="1" x14ac:dyDescent="0.3">
      <c r="A60" s="250" t="s">
        <v>709</v>
      </c>
      <c r="B60" s="251" t="s">
        <v>737</v>
      </c>
      <c r="C60" s="252">
        <v>28</v>
      </c>
      <c r="D60" s="253" t="s">
        <v>864</v>
      </c>
      <c r="E60" s="254" t="s">
        <v>865</v>
      </c>
      <c r="F60" s="255" t="s">
        <v>866</v>
      </c>
      <c r="G60" s="255" t="s">
        <v>867</v>
      </c>
      <c r="H60" s="255" t="s">
        <v>868</v>
      </c>
      <c r="I60" s="255" t="s">
        <v>698</v>
      </c>
      <c r="J60" s="256">
        <v>824810</v>
      </c>
      <c r="K60" s="257">
        <v>765393</v>
      </c>
      <c r="L60" s="257"/>
      <c r="M60" s="257"/>
      <c r="N60" s="258"/>
      <c r="O60" s="258"/>
      <c r="P60" s="258"/>
      <c r="Q60" s="258" t="s">
        <v>699</v>
      </c>
      <c r="R60" s="259">
        <v>29724</v>
      </c>
      <c r="S60" s="259">
        <v>29724</v>
      </c>
      <c r="T60" s="259">
        <v>29724</v>
      </c>
      <c r="U60" s="259">
        <v>29724</v>
      </c>
      <c r="V60" s="259">
        <v>29724</v>
      </c>
      <c r="W60" s="259">
        <v>29724</v>
      </c>
      <c r="X60" s="259">
        <v>29724</v>
      </c>
      <c r="Y60" s="259">
        <v>29724</v>
      </c>
      <c r="Z60" s="259">
        <v>29724</v>
      </c>
      <c r="AA60" s="259">
        <v>29724</v>
      </c>
      <c r="AB60" s="259">
        <v>29724</v>
      </c>
      <c r="AC60" s="259">
        <v>29724</v>
      </c>
      <c r="AD60" s="259">
        <v>29724</v>
      </c>
      <c r="AE60" s="259">
        <v>29724</v>
      </c>
      <c r="AF60" s="259">
        <v>29724</v>
      </c>
      <c r="AG60" s="259">
        <v>29724</v>
      </c>
      <c r="AH60" s="259">
        <v>29724</v>
      </c>
      <c r="AI60" s="259">
        <v>29724</v>
      </c>
      <c r="AJ60" s="259">
        <v>29724</v>
      </c>
      <c r="AK60" s="259">
        <v>29724</v>
      </c>
      <c r="AL60" s="259">
        <v>29724</v>
      </c>
      <c r="AM60" s="259">
        <v>29724</v>
      </c>
      <c r="AN60" s="259">
        <v>29724</v>
      </c>
      <c r="AO60" s="259">
        <v>29724</v>
      </c>
      <c r="AP60" s="259">
        <v>29724</v>
      </c>
      <c r="AQ60" s="259">
        <v>22293</v>
      </c>
      <c r="AR60" s="259">
        <v>0</v>
      </c>
      <c r="AS60" s="259"/>
      <c r="AT60" s="259"/>
      <c r="AU60" s="260">
        <f t="shared" si="0"/>
        <v>765393</v>
      </c>
      <c r="AV60" s="261">
        <f t="shared" si="1"/>
        <v>0</v>
      </c>
      <c r="AW60" s="262">
        <f t="shared" si="2"/>
        <v>557325</v>
      </c>
      <c r="AX60" s="263">
        <f t="shared" si="3"/>
        <v>765393</v>
      </c>
      <c r="AZ60" s="250" t="b">
        <f t="shared" si="4"/>
        <v>1</v>
      </c>
      <c r="BA60" s="264">
        <f>AX60-K60</f>
        <v>0</v>
      </c>
    </row>
    <row r="61" spans="1:53" outlineLevel="1" x14ac:dyDescent="0.3">
      <c r="A61" s="250" t="s">
        <v>709</v>
      </c>
      <c r="B61" s="265" t="s">
        <v>737</v>
      </c>
      <c r="C61" s="266"/>
      <c r="D61" s="267" t="s">
        <v>869</v>
      </c>
      <c r="E61" s="268"/>
      <c r="F61" s="269"/>
      <c r="G61" s="269"/>
      <c r="H61" s="269"/>
      <c r="I61" s="269"/>
      <c r="J61" s="270"/>
      <c r="K61" s="270"/>
      <c r="L61" s="270" t="s">
        <v>870</v>
      </c>
      <c r="M61" s="270"/>
      <c r="N61" s="271">
        <f t="shared" si="5"/>
        <v>3.6619999999999999</v>
      </c>
      <c r="O61" s="278">
        <v>3.6619999999999999</v>
      </c>
      <c r="P61" s="271">
        <f>$P$4</f>
        <v>0</v>
      </c>
      <c r="Q61" s="271" t="s">
        <v>702</v>
      </c>
      <c r="R61" s="273">
        <v>28246.39</v>
      </c>
      <c r="S61" s="273">
        <f>SUM(S60:$AR60)*$N61/100</f>
        <v>26940.198779999999</v>
      </c>
      <c r="T61" s="273">
        <f>SUM(T60:$AR60)*$N61/100</f>
        <v>25851.705899999997</v>
      </c>
      <c r="U61" s="273">
        <f>SUM(U60:$AR60)*$N61/100</f>
        <v>24763.213020000003</v>
      </c>
      <c r="V61" s="273">
        <f>SUM(V60:$AR60)*$N61/100</f>
        <v>23674.720140000001</v>
      </c>
      <c r="W61" s="273">
        <f>SUM(W60:$AR60)*$N61/100</f>
        <v>22586.22726</v>
      </c>
      <c r="X61" s="273">
        <f>SUM(X60:$AR60)*$N61/100</f>
        <v>21497.734380000002</v>
      </c>
      <c r="Y61" s="273">
        <f>SUM(Y60:$AR60)*$N61/100</f>
        <v>20409.2415</v>
      </c>
      <c r="Z61" s="273">
        <f>SUM(Z60:$AR60)*$N61/100</f>
        <v>19320.748619999998</v>
      </c>
      <c r="AA61" s="273">
        <f>SUM(AA60:$AR60)*$N61/100</f>
        <v>18232.255740000001</v>
      </c>
      <c r="AB61" s="273">
        <f>SUM(AB60:$AR60)*$N61/100</f>
        <v>17143.762859999999</v>
      </c>
      <c r="AC61" s="273">
        <f>SUM(AC60:$AR60)*$N61/100</f>
        <v>16055.269979999999</v>
      </c>
      <c r="AD61" s="273">
        <f>SUM(AD60:$AR60)*$N61/100</f>
        <v>14966.777099999999</v>
      </c>
      <c r="AE61" s="273">
        <f>SUM(AE60:$AR60)*$N61/100</f>
        <v>13878.28422</v>
      </c>
      <c r="AF61" s="273">
        <f>SUM(AF60:$AR60)*$N61/100</f>
        <v>12789.791340000002</v>
      </c>
      <c r="AG61" s="273">
        <f>SUM(AG60:$AR60)*$N61/100</f>
        <v>11701.298459999998</v>
      </c>
      <c r="AH61" s="273">
        <f>SUM(AH60:$AR60)*$N61/100</f>
        <v>10612.80558</v>
      </c>
      <c r="AI61" s="273">
        <f>SUM(AI60:$AR60)*$N61/100</f>
        <v>9524.3127000000004</v>
      </c>
      <c r="AJ61" s="273">
        <f>SUM(AJ60:$AR60)*$N61/100</f>
        <v>8435.8198199999988</v>
      </c>
      <c r="AK61" s="273">
        <f>SUM(AK60:$AR60)*$N61/100</f>
        <v>7347.3269399999999</v>
      </c>
      <c r="AL61" s="273">
        <f>SUM(AL60:$AR60)*$N61/100</f>
        <v>6258.8340599999992</v>
      </c>
      <c r="AM61" s="273">
        <f>SUM(AM60:$AR60)*$N61/100</f>
        <v>5170.3411800000003</v>
      </c>
      <c r="AN61" s="273">
        <f>SUM(AN60:$AR60)*$N61/100</f>
        <v>4081.8483000000001</v>
      </c>
      <c r="AO61" s="273">
        <f>SUM(AO60:$AR60)*$N61/100</f>
        <v>2993.3554200000003</v>
      </c>
      <c r="AP61" s="273">
        <f>SUM(AP60:$AR60)*$N61/100</f>
        <v>1904.8625399999999</v>
      </c>
      <c r="AQ61" s="273">
        <f>SUM(AQ60:$AR60)*$N61/100</f>
        <v>816.36965999999995</v>
      </c>
      <c r="AR61" s="273">
        <v>0</v>
      </c>
      <c r="AS61" s="273"/>
      <c r="AT61" s="273"/>
      <c r="AU61" s="274">
        <f t="shared" si="0"/>
        <v>375203.49549999996</v>
      </c>
      <c r="AV61" s="261">
        <f t="shared" si="1"/>
        <v>0</v>
      </c>
      <c r="AW61" s="275">
        <f t="shared" si="2"/>
        <v>201643.30602000002</v>
      </c>
      <c r="AX61" s="276">
        <f t="shared" si="3"/>
        <v>375203.49550000002</v>
      </c>
      <c r="AZ61" s="250" t="b">
        <f t="shared" si="4"/>
        <v>1</v>
      </c>
    </row>
    <row r="62" spans="1:53" s="250" customFormat="1" outlineLevel="1" x14ac:dyDescent="0.3">
      <c r="B62" s="251" t="s">
        <v>737</v>
      </c>
      <c r="C62" s="252">
        <v>29</v>
      </c>
      <c r="D62" s="253" t="s">
        <v>871</v>
      </c>
      <c r="E62" s="254" t="s">
        <v>872</v>
      </c>
      <c r="F62" s="255" t="s">
        <v>873</v>
      </c>
      <c r="G62" s="255" t="s">
        <v>867</v>
      </c>
      <c r="H62" s="255" t="s">
        <v>874</v>
      </c>
      <c r="I62" s="255" t="s">
        <v>698</v>
      </c>
      <c r="J62" s="256">
        <v>347420.04</v>
      </c>
      <c r="K62" s="257">
        <v>291126</v>
      </c>
      <c r="L62" s="257"/>
      <c r="M62" s="257"/>
      <c r="N62" s="258"/>
      <c r="O62" s="258"/>
      <c r="P62" s="258"/>
      <c r="Q62" s="258" t="s">
        <v>699</v>
      </c>
      <c r="R62" s="259">
        <v>18788</v>
      </c>
      <c r="S62" s="259">
        <v>18788</v>
      </c>
      <c r="T62" s="259">
        <v>18788</v>
      </c>
      <c r="U62" s="259">
        <v>18788</v>
      </c>
      <c r="V62" s="259">
        <v>18788</v>
      </c>
      <c r="W62" s="259">
        <v>18788</v>
      </c>
      <c r="X62" s="259">
        <v>18788</v>
      </c>
      <c r="Y62" s="259">
        <v>18788</v>
      </c>
      <c r="Z62" s="259">
        <v>18788</v>
      </c>
      <c r="AA62" s="259">
        <v>18788</v>
      </c>
      <c r="AB62" s="259">
        <v>18788</v>
      </c>
      <c r="AC62" s="259">
        <v>18788</v>
      </c>
      <c r="AD62" s="259">
        <v>18788</v>
      </c>
      <c r="AE62" s="259">
        <v>18788</v>
      </c>
      <c r="AF62" s="259">
        <v>18788</v>
      </c>
      <c r="AG62" s="259">
        <v>9306.0400000000009</v>
      </c>
      <c r="AH62" s="259">
        <v>0</v>
      </c>
      <c r="AI62" s="259">
        <v>0</v>
      </c>
      <c r="AJ62" s="259">
        <v>0</v>
      </c>
      <c r="AK62" s="259">
        <v>0</v>
      </c>
      <c r="AL62" s="259">
        <v>0</v>
      </c>
      <c r="AM62" s="259">
        <v>0</v>
      </c>
      <c r="AN62" s="259">
        <v>0</v>
      </c>
      <c r="AO62" s="259">
        <v>0</v>
      </c>
      <c r="AP62" s="259">
        <v>0</v>
      </c>
      <c r="AQ62" s="259">
        <v>0</v>
      </c>
      <c r="AR62" s="259">
        <v>0</v>
      </c>
      <c r="AS62" s="259"/>
      <c r="AT62" s="259"/>
      <c r="AU62" s="260">
        <f t="shared" si="0"/>
        <v>291126.03999999998</v>
      </c>
      <c r="AV62" s="261">
        <f t="shared" si="1"/>
        <v>0</v>
      </c>
      <c r="AW62" s="262">
        <f t="shared" si="2"/>
        <v>159610.04</v>
      </c>
      <c r="AX62" s="263">
        <f t="shared" si="3"/>
        <v>291126.04000000004</v>
      </c>
      <c r="AZ62" s="250" t="b">
        <f t="shared" si="4"/>
        <v>1</v>
      </c>
      <c r="BA62" s="264">
        <f>AX62-K62</f>
        <v>4.0000000037252903E-2</v>
      </c>
    </row>
    <row r="63" spans="1:53" outlineLevel="1" x14ac:dyDescent="0.3">
      <c r="B63" s="265" t="s">
        <v>737</v>
      </c>
      <c r="C63" s="266"/>
      <c r="D63" s="267" t="s">
        <v>875</v>
      </c>
      <c r="E63" s="268"/>
      <c r="F63" s="269"/>
      <c r="G63" s="269"/>
      <c r="H63" s="269"/>
      <c r="I63" s="269"/>
      <c r="J63" s="270"/>
      <c r="K63" s="270"/>
      <c r="L63" s="270" t="s">
        <v>870</v>
      </c>
      <c r="M63" s="270"/>
      <c r="N63" s="271">
        <f t="shared" si="5"/>
        <v>3.4340000000000002</v>
      </c>
      <c r="O63" s="278">
        <v>3.4340000000000002</v>
      </c>
      <c r="P63" s="271">
        <f>$P$4</f>
        <v>0</v>
      </c>
      <c r="Q63" s="271" t="s">
        <v>702</v>
      </c>
      <c r="R63" s="273">
        <v>10034.41</v>
      </c>
      <c r="S63" s="273">
        <f>SUM(S62:$AR62)*$N63/100</f>
        <v>9352.0882935999998</v>
      </c>
      <c r="T63" s="273">
        <f>SUM(T62:$AR62)*$N63/100</f>
        <v>8706.9083736000011</v>
      </c>
      <c r="U63" s="273">
        <f>SUM(U62:$AR62)*$N63/100</f>
        <v>8061.7284536000006</v>
      </c>
      <c r="V63" s="273">
        <f>SUM(V62:$AR62)*$N63/100</f>
        <v>7416.5485336000011</v>
      </c>
      <c r="W63" s="273">
        <f>SUM(W62:$AR62)*$N63/100</f>
        <v>6771.3686136000006</v>
      </c>
      <c r="X63" s="273">
        <f>SUM(X62:$AR62)*$N63/100</f>
        <v>6126.1886936000001</v>
      </c>
      <c r="Y63" s="273">
        <f>SUM(Y62:$AR62)*$N63/100</f>
        <v>5481.0087736000005</v>
      </c>
      <c r="Z63" s="273">
        <f>SUM(Z62:$AR62)*$N63/100</f>
        <v>4835.8288536000009</v>
      </c>
      <c r="AA63" s="273">
        <f>SUM(AA62:$AR62)*$N63/100</f>
        <v>4190.6489336000004</v>
      </c>
      <c r="AB63" s="273">
        <f>SUM(AB62:$AR62)*$N63/100</f>
        <v>3545.4690136000004</v>
      </c>
      <c r="AC63" s="273">
        <f>SUM(AC62:$AR62)*$N63/100</f>
        <v>2900.2890936000003</v>
      </c>
      <c r="AD63" s="273">
        <f>SUM(AD62:$AR62)*$N63/100</f>
        <v>2255.1091736000003</v>
      </c>
      <c r="AE63" s="273">
        <f>SUM(AE62:$AR62)*$N63/100</f>
        <v>1609.9292536000003</v>
      </c>
      <c r="AF63" s="273">
        <f>SUM(AF62:$AR62)*$N63/100</f>
        <v>964.74933360000011</v>
      </c>
      <c r="AG63" s="273">
        <f>SUM(AG62:$AR62)*$N63/100</f>
        <v>319.56941360000002</v>
      </c>
      <c r="AH63" s="273">
        <v>0</v>
      </c>
      <c r="AI63" s="273">
        <v>0</v>
      </c>
      <c r="AJ63" s="273">
        <v>0</v>
      </c>
      <c r="AK63" s="273">
        <v>0</v>
      </c>
      <c r="AL63" s="273">
        <v>0</v>
      </c>
      <c r="AM63" s="273">
        <v>0</v>
      </c>
      <c r="AN63" s="273">
        <v>0</v>
      </c>
      <c r="AO63" s="273">
        <v>0</v>
      </c>
      <c r="AP63" s="273">
        <v>0</v>
      </c>
      <c r="AQ63" s="273">
        <v>0</v>
      </c>
      <c r="AR63" s="273">
        <v>0</v>
      </c>
      <c r="AS63" s="273"/>
      <c r="AT63" s="273"/>
      <c r="AU63" s="274">
        <f t="shared" si="0"/>
        <v>82571.842804</v>
      </c>
      <c r="AV63" s="261">
        <f t="shared" si="1"/>
        <v>0</v>
      </c>
      <c r="AW63" s="275">
        <f t="shared" si="2"/>
        <v>26102.601842400003</v>
      </c>
      <c r="AX63" s="276">
        <f t="shared" si="3"/>
        <v>82571.842804000014</v>
      </c>
      <c r="AZ63" s="250" t="b">
        <f t="shared" si="4"/>
        <v>1</v>
      </c>
    </row>
    <row r="64" spans="1:53" s="250" customFormat="1" outlineLevel="1" x14ac:dyDescent="0.3">
      <c r="B64" s="251" t="s">
        <v>692</v>
      </c>
      <c r="C64" s="252">
        <v>30</v>
      </c>
      <c r="D64" s="253" t="s">
        <v>876</v>
      </c>
      <c r="E64" s="254" t="s">
        <v>877</v>
      </c>
      <c r="F64" s="255" t="s">
        <v>878</v>
      </c>
      <c r="G64" s="255" t="s">
        <v>879</v>
      </c>
      <c r="H64" s="255" t="s">
        <v>880</v>
      </c>
      <c r="I64" s="255" t="s">
        <v>698</v>
      </c>
      <c r="J64" s="256">
        <v>53218</v>
      </c>
      <c r="K64" s="257">
        <v>8403</v>
      </c>
      <c r="L64" s="257"/>
      <c r="M64" s="257"/>
      <c r="N64" s="258"/>
      <c r="O64" s="258"/>
      <c r="P64" s="258"/>
      <c r="Q64" s="258" t="s">
        <v>699</v>
      </c>
      <c r="R64" s="259">
        <v>8403</v>
      </c>
      <c r="S64" s="259">
        <v>0</v>
      </c>
      <c r="T64" s="259">
        <v>0</v>
      </c>
      <c r="U64" s="259">
        <v>0</v>
      </c>
      <c r="V64" s="259">
        <v>0</v>
      </c>
      <c r="W64" s="259">
        <v>0</v>
      </c>
      <c r="X64" s="259">
        <v>0</v>
      </c>
      <c r="Y64" s="259">
        <v>0</v>
      </c>
      <c r="Z64" s="259">
        <v>0</v>
      </c>
      <c r="AA64" s="259">
        <v>0</v>
      </c>
      <c r="AB64" s="259">
        <v>0</v>
      </c>
      <c r="AC64" s="259">
        <v>0</v>
      </c>
      <c r="AD64" s="259">
        <v>0</v>
      </c>
      <c r="AE64" s="259">
        <v>0</v>
      </c>
      <c r="AF64" s="259">
        <v>0</v>
      </c>
      <c r="AG64" s="259">
        <v>0</v>
      </c>
      <c r="AH64" s="259">
        <v>0</v>
      </c>
      <c r="AI64" s="259">
        <v>0</v>
      </c>
      <c r="AJ64" s="259">
        <v>0</v>
      </c>
      <c r="AK64" s="259">
        <v>0</v>
      </c>
      <c r="AL64" s="259">
        <v>0</v>
      </c>
      <c r="AM64" s="259">
        <v>0</v>
      </c>
      <c r="AN64" s="259">
        <v>0</v>
      </c>
      <c r="AO64" s="259">
        <v>0</v>
      </c>
      <c r="AP64" s="259">
        <v>0</v>
      </c>
      <c r="AQ64" s="259">
        <v>0</v>
      </c>
      <c r="AR64" s="259">
        <v>0</v>
      </c>
      <c r="AS64" s="259"/>
      <c r="AT64" s="259"/>
      <c r="AU64" s="260">
        <f t="shared" si="0"/>
        <v>8403</v>
      </c>
      <c r="AV64" s="261">
        <f t="shared" si="1"/>
        <v>0</v>
      </c>
      <c r="AW64" s="262">
        <f t="shared" si="2"/>
        <v>0</v>
      </c>
      <c r="AX64" s="263">
        <f t="shared" si="3"/>
        <v>8403</v>
      </c>
      <c r="AZ64" s="250" t="b">
        <f t="shared" si="4"/>
        <v>1</v>
      </c>
      <c r="BA64" s="264">
        <f>AX64-K64</f>
        <v>0</v>
      </c>
    </row>
    <row r="65" spans="2:53" outlineLevel="1" x14ac:dyDescent="0.3">
      <c r="B65" s="265" t="s">
        <v>692</v>
      </c>
      <c r="C65" s="266"/>
      <c r="D65" s="267"/>
      <c r="E65" s="268"/>
      <c r="F65" s="269"/>
      <c r="G65" s="269"/>
      <c r="H65" s="269"/>
      <c r="I65" s="269"/>
      <c r="J65" s="270"/>
      <c r="K65" s="270"/>
      <c r="L65" s="270">
        <v>0</v>
      </c>
      <c r="M65" s="270" t="s">
        <v>881</v>
      </c>
      <c r="N65" s="271">
        <f t="shared" si="5"/>
        <v>0.25</v>
      </c>
      <c r="O65" s="271">
        <v>0.25</v>
      </c>
      <c r="P65" s="271">
        <f>$P$4</f>
        <v>0</v>
      </c>
      <c r="Q65" s="271" t="s">
        <v>702</v>
      </c>
      <c r="R65" s="273">
        <v>17</v>
      </c>
      <c r="S65" s="273">
        <v>0</v>
      </c>
      <c r="T65" s="273">
        <v>0</v>
      </c>
      <c r="U65" s="273">
        <v>0</v>
      </c>
      <c r="V65" s="273">
        <v>0</v>
      </c>
      <c r="W65" s="273">
        <v>0</v>
      </c>
      <c r="X65" s="273">
        <v>0</v>
      </c>
      <c r="Y65" s="273">
        <v>0</v>
      </c>
      <c r="Z65" s="273">
        <v>0</v>
      </c>
      <c r="AA65" s="273">
        <v>0</v>
      </c>
      <c r="AB65" s="273">
        <v>0</v>
      </c>
      <c r="AC65" s="273">
        <v>0</v>
      </c>
      <c r="AD65" s="273">
        <v>0</v>
      </c>
      <c r="AE65" s="273">
        <v>0</v>
      </c>
      <c r="AF65" s="273">
        <v>0</v>
      </c>
      <c r="AG65" s="273">
        <v>0</v>
      </c>
      <c r="AH65" s="273">
        <v>0</v>
      </c>
      <c r="AI65" s="273">
        <v>0</v>
      </c>
      <c r="AJ65" s="273">
        <v>0</v>
      </c>
      <c r="AK65" s="273">
        <v>0</v>
      </c>
      <c r="AL65" s="273">
        <v>0</v>
      </c>
      <c r="AM65" s="273">
        <v>0</v>
      </c>
      <c r="AN65" s="273">
        <v>0</v>
      </c>
      <c r="AO65" s="273">
        <v>0</v>
      </c>
      <c r="AP65" s="273">
        <v>0</v>
      </c>
      <c r="AQ65" s="273">
        <v>0</v>
      </c>
      <c r="AR65" s="273">
        <v>0</v>
      </c>
      <c r="AS65" s="273"/>
      <c r="AT65" s="273"/>
      <c r="AU65" s="274">
        <f t="shared" si="0"/>
        <v>17</v>
      </c>
      <c r="AV65" s="261">
        <f t="shared" si="1"/>
        <v>0</v>
      </c>
      <c r="AW65" s="275">
        <f t="shared" si="2"/>
        <v>0</v>
      </c>
      <c r="AX65" s="276">
        <f t="shared" si="3"/>
        <v>17</v>
      </c>
      <c r="AZ65" s="250" t="b">
        <f t="shared" si="4"/>
        <v>1</v>
      </c>
    </row>
    <row r="66" spans="2:53" s="250" customFormat="1" outlineLevel="1" x14ac:dyDescent="0.3">
      <c r="B66" s="251" t="s">
        <v>692</v>
      </c>
      <c r="C66" s="252">
        <v>31</v>
      </c>
      <c r="D66" s="253" t="s">
        <v>882</v>
      </c>
      <c r="E66" s="254" t="s">
        <v>883</v>
      </c>
      <c r="F66" s="255" t="s">
        <v>884</v>
      </c>
      <c r="G66" s="255" t="s">
        <v>879</v>
      </c>
      <c r="H66" s="255" t="s">
        <v>880</v>
      </c>
      <c r="I66" s="255" t="s">
        <v>698</v>
      </c>
      <c r="J66" s="256">
        <v>46991.33</v>
      </c>
      <c r="K66" s="257">
        <v>7420</v>
      </c>
      <c r="L66" s="257"/>
      <c r="M66" s="257"/>
      <c r="N66" s="258"/>
      <c r="O66" s="258"/>
      <c r="P66" s="258"/>
      <c r="Q66" s="258" t="s">
        <v>699</v>
      </c>
      <c r="R66" s="259">
        <v>7420.33</v>
      </c>
      <c r="S66" s="259">
        <v>0</v>
      </c>
      <c r="T66" s="259">
        <v>0</v>
      </c>
      <c r="U66" s="259">
        <v>0</v>
      </c>
      <c r="V66" s="259">
        <v>0</v>
      </c>
      <c r="W66" s="259">
        <v>0</v>
      </c>
      <c r="X66" s="259">
        <v>0</v>
      </c>
      <c r="Y66" s="259">
        <v>0</v>
      </c>
      <c r="Z66" s="259">
        <v>0</v>
      </c>
      <c r="AA66" s="259">
        <v>0</v>
      </c>
      <c r="AB66" s="259">
        <v>0</v>
      </c>
      <c r="AC66" s="259">
        <v>0</v>
      </c>
      <c r="AD66" s="259">
        <v>0</v>
      </c>
      <c r="AE66" s="259">
        <v>0</v>
      </c>
      <c r="AF66" s="259">
        <v>0</v>
      </c>
      <c r="AG66" s="259">
        <v>0</v>
      </c>
      <c r="AH66" s="259">
        <v>0</v>
      </c>
      <c r="AI66" s="259">
        <v>0</v>
      </c>
      <c r="AJ66" s="259">
        <v>0</v>
      </c>
      <c r="AK66" s="259">
        <v>0</v>
      </c>
      <c r="AL66" s="259">
        <v>0</v>
      </c>
      <c r="AM66" s="259">
        <v>0</v>
      </c>
      <c r="AN66" s="259">
        <v>0</v>
      </c>
      <c r="AO66" s="259">
        <v>0</v>
      </c>
      <c r="AP66" s="259">
        <v>0</v>
      </c>
      <c r="AQ66" s="259">
        <v>0</v>
      </c>
      <c r="AR66" s="259">
        <v>0</v>
      </c>
      <c r="AS66" s="259"/>
      <c r="AT66" s="259"/>
      <c r="AU66" s="260">
        <f t="shared" si="0"/>
        <v>7420.33</v>
      </c>
      <c r="AV66" s="261">
        <f t="shared" si="1"/>
        <v>0</v>
      </c>
      <c r="AW66" s="262">
        <f t="shared" si="2"/>
        <v>0</v>
      </c>
      <c r="AX66" s="263">
        <f t="shared" si="3"/>
        <v>7420.33</v>
      </c>
      <c r="AZ66" s="250" t="b">
        <f t="shared" si="4"/>
        <v>1</v>
      </c>
      <c r="BA66" s="264">
        <f>AX66-K66</f>
        <v>0.32999999999992724</v>
      </c>
    </row>
    <row r="67" spans="2:53" outlineLevel="1" x14ac:dyDescent="0.3">
      <c r="B67" s="265" t="s">
        <v>692</v>
      </c>
      <c r="C67" s="266"/>
      <c r="D67" s="267"/>
      <c r="E67" s="268"/>
      <c r="F67" s="269"/>
      <c r="G67" s="269"/>
      <c r="H67" s="269"/>
      <c r="I67" s="269"/>
      <c r="J67" s="270"/>
      <c r="K67" s="270"/>
      <c r="L67" s="270">
        <v>0</v>
      </c>
      <c r="M67" s="270" t="s">
        <v>881</v>
      </c>
      <c r="N67" s="271">
        <f t="shared" si="5"/>
        <v>0.25</v>
      </c>
      <c r="O67" s="271">
        <v>0.25</v>
      </c>
      <c r="P67" s="271">
        <f>$P$4</f>
        <v>0</v>
      </c>
      <c r="Q67" s="271" t="s">
        <v>702</v>
      </c>
      <c r="R67" s="273">
        <v>15</v>
      </c>
      <c r="S67" s="273">
        <v>0</v>
      </c>
      <c r="T67" s="273">
        <v>0</v>
      </c>
      <c r="U67" s="273">
        <v>0</v>
      </c>
      <c r="V67" s="273">
        <v>0</v>
      </c>
      <c r="W67" s="273">
        <v>0</v>
      </c>
      <c r="X67" s="273">
        <v>0</v>
      </c>
      <c r="Y67" s="273">
        <v>0</v>
      </c>
      <c r="Z67" s="273">
        <v>0</v>
      </c>
      <c r="AA67" s="273">
        <v>0</v>
      </c>
      <c r="AB67" s="273">
        <v>0</v>
      </c>
      <c r="AC67" s="273">
        <v>0</v>
      </c>
      <c r="AD67" s="273">
        <v>0</v>
      </c>
      <c r="AE67" s="273">
        <v>0</v>
      </c>
      <c r="AF67" s="273">
        <v>0</v>
      </c>
      <c r="AG67" s="273">
        <v>0</v>
      </c>
      <c r="AH67" s="273">
        <v>0</v>
      </c>
      <c r="AI67" s="273">
        <v>0</v>
      </c>
      <c r="AJ67" s="273">
        <v>0</v>
      </c>
      <c r="AK67" s="273">
        <v>0</v>
      </c>
      <c r="AL67" s="273">
        <v>0</v>
      </c>
      <c r="AM67" s="273">
        <v>0</v>
      </c>
      <c r="AN67" s="273">
        <v>0</v>
      </c>
      <c r="AO67" s="273">
        <v>0</v>
      </c>
      <c r="AP67" s="273">
        <v>0</v>
      </c>
      <c r="AQ67" s="273">
        <v>0</v>
      </c>
      <c r="AR67" s="273">
        <v>0</v>
      </c>
      <c r="AS67" s="273"/>
      <c r="AT67" s="273"/>
      <c r="AU67" s="274">
        <f t="shared" si="0"/>
        <v>15</v>
      </c>
      <c r="AV67" s="261">
        <f t="shared" si="1"/>
        <v>0</v>
      </c>
      <c r="AW67" s="275">
        <f t="shared" si="2"/>
        <v>0</v>
      </c>
      <c r="AX67" s="276">
        <f t="shared" si="3"/>
        <v>15</v>
      </c>
      <c r="AZ67" s="250" t="b">
        <f t="shared" si="4"/>
        <v>1</v>
      </c>
    </row>
    <row r="68" spans="2:53" s="250" customFormat="1" outlineLevel="1" x14ac:dyDescent="0.3">
      <c r="B68" s="251" t="s">
        <v>737</v>
      </c>
      <c r="C68" s="252">
        <v>32</v>
      </c>
      <c r="D68" s="253" t="s">
        <v>885</v>
      </c>
      <c r="E68" s="254" t="s">
        <v>886</v>
      </c>
      <c r="F68" s="255" t="s">
        <v>887</v>
      </c>
      <c r="G68" s="255" t="s">
        <v>888</v>
      </c>
      <c r="H68" s="255" t="s">
        <v>889</v>
      </c>
      <c r="I68" s="255" t="s">
        <v>698</v>
      </c>
      <c r="J68" s="256">
        <v>9703992</v>
      </c>
      <c r="K68" s="257">
        <v>8970516</v>
      </c>
      <c r="L68" s="257"/>
      <c r="M68" s="257"/>
      <c r="N68" s="258"/>
      <c r="O68" s="258"/>
      <c r="P68" s="258"/>
      <c r="Q68" s="258" t="s">
        <v>699</v>
      </c>
      <c r="R68" s="259">
        <v>343508</v>
      </c>
      <c r="S68" s="259">
        <v>343508</v>
      </c>
      <c r="T68" s="259">
        <v>343508</v>
      </c>
      <c r="U68" s="259">
        <v>343508</v>
      </c>
      <c r="V68" s="259">
        <v>343508</v>
      </c>
      <c r="W68" s="259">
        <v>343508</v>
      </c>
      <c r="X68" s="259">
        <v>343508</v>
      </c>
      <c r="Y68" s="259">
        <v>343508</v>
      </c>
      <c r="Z68" s="259">
        <v>343508</v>
      </c>
      <c r="AA68" s="259">
        <v>343508</v>
      </c>
      <c r="AB68" s="259">
        <v>343508</v>
      </c>
      <c r="AC68" s="259">
        <v>343508</v>
      </c>
      <c r="AD68" s="259">
        <v>343508</v>
      </c>
      <c r="AE68" s="259">
        <v>343508</v>
      </c>
      <c r="AF68" s="259">
        <v>343508</v>
      </c>
      <c r="AG68" s="259">
        <v>343508</v>
      </c>
      <c r="AH68" s="259">
        <v>343508</v>
      </c>
      <c r="AI68" s="259">
        <v>343508</v>
      </c>
      <c r="AJ68" s="259">
        <v>343508</v>
      </c>
      <c r="AK68" s="259">
        <v>343508</v>
      </c>
      <c r="AL68" s="259">
        <v>343508</v>
      </c>
      <c r="AM68" s="259">
        <v>343508</v>
      </c>
      <c r="AN68" s="259">
        <v>343508</v>
      </c>
      <c r="AO68" s="259">
        <v>343508</v>
      </c>
      <c r="AP68" s="259">
        <v>343508</v>
      </c>
      <c r="AQ68" s="259">
        <v>343508</v>
      </c>
      <c r="AR68" s="259">
        <v>39307.919999999998</v>
      </c>
      <c r="AS68" s="259"/>
      <c r="AT68" s="259"/>
      <c r="AU68" s="260">
        <f t="shared" si="0"/>
        <v>8970515.9199999999</v>
      </c>
      <c r="AV68" s="261">
        <f t="shared" si="1"/>
        <v>0</v>
      </c>
      <c r="AW68" s="262">
        <f t="shared" si="2"/>
        <v>6565959.9199999999</v>
      </c>
      <c r="AX68" s="263">
        <f t="shared" si="3"/>
        <v>8970515.9199999999</v>
      </c>
      <c r="AZ68" s="250" t="b">
        <f t="shared" si="4"/>
        <v>1</v>
      </c>
      <c r="BA68" s="264">
        <f>AX68-K68</f>
        <v>-8.0000000074505806E-2</v>
      </c>
    </row>
    <row r="69" spans="2:53" outlineLevel="1" x14ac:dyDescent="0.3">
      <c r="B69" s="265" t="s">
        <v>737</v>
      </c>
      <c r="C69" s="266"/>
      <c r="D69" s="267"/>
      <c r="E69" s="268"/>
      <c r="F69" s="269"/>
      <c r="G69" s="269"/>
      <c r="H69" s="269"/>
      <c r="I69" s="269"/>
      <c r="J69" s="270"/>
      <c r="K69" s="270"/>
      <c r="L69" s="270" t="s">
        <v>890</v>
      </c>
      <c r="M69" s="270"/>
      <c r="N69" s="271">
        <f t="shared" si="5"/>
        <v>3.55</v>
      </c>
      <c r="O69" s="272">
        <v>3.55</v>
      </c>
      <c r="P69" s="271">
        <f>$P$4</f>
        <v>0</v>
      </c>
      <c r="Q69" s="271" t="s">
        <v>702</v>
      </c>
      <c r="R69" s="273">
        <v>329375.01</v>
      </c>
      <c r="S69" s="273">
        <f>SUM(S68:$AR68)*$N69/100</f>
        <v>306258.78115999995</v>
      </c>
      <c r="T69" s="273">
        <f>SUM(T68:$AR68)*$N69/100</f>
        <v>294064.24715999997</v>
      </c>
      <c r="U69" s="273">
        <f>SUM(U68:$AR68)*$N69/100</f>
        <v>281869.71315999998</v>
      </c>
      <c r="V69" s="273">
        <f>SUM(V68:$AR68)*$N69/100</f>
        <v>269675.17916</v>
      </c>
      <c r="W69" s="273">
        <f>SUM(W68:$AR68)*$N69/100</f>
        <v>257480.64515999999</v>
      </c>
      <c r="X69" s="273">
        <f>SUM(X68:$AR68)*$N69/100</f>
        <v>245286.11115999997</v>
      </c>
      <c r="Y69" s="273">
        <f>SUM(Y68:$AR68)*$N69/100</f>
        <v>233091.57715999999</v>
      </c>
      <c r="Z69" s="273">
        <f>SUM(Z68:$AR68)*$N69/100</f>
        <v>220897.04316</v>
      </c>
      <c r="AA69" s="273">
        <f>SUM(AA68:$AR68)*$N69/100</f>
        <v>208702.50915999999</v>
      </c>
      <c r="AB69" s="273">
        <f>SUM(AB68:$AR68)*$N69/100</f>
        <v>196507.97516</v>
      </c>
      <c r="AC69" s="273">
        <f>SUM(AC68:$AR68)*$N69/100</f>
        <v>184313.44116000002</v>
      </c>
      <c r="AD69" s="273">
        <f>SUM(AD68:$AR68)*$N69/100</f>
        <v>172118.90715999997</v>
      </c>
      <c r="AE69" s="273">
        <f>SUM(AE68:$AR68)*$N69/100</f>
        <v>159924.37315999999</v>
      </c>
      <c r="AF69" s="273">
        <f>SUM(AF68:$AR68)*$N69/100</f>
        <v>147729.83916</v>
      </c>
      <c r="AG69" s="273">
        <f>SUM(AG68:$AR68)*$N69/100</f>
        <v>135535.30515999999</v>
      </c>
      <c r="AH69" s="273">
        <f>SUM(AH68:$AR68)*$N69/100</f>
        <v>123340.77115999999</v>
      </c>
      <c r="AI69" s="273">
        <f>SUM(AI68:$AR68)*$N69/100</f>
        <v>111146.23716</v>
      </c>
      <c r="AJ69" s="273">
        <f>SUM(AJ68:$AR68)*$N69/100</f>
        <v>98951.70315999999</v>
      </c>
      <c r="AK69" s="273">
        <f>SUM(AK68:$AR68)*$N69/100</f>
        <v>86757.16915999999</v>
      </c>
      <c r="AL69" s="273">
        <f>SUM(AL68:$AR68)*$N69/100</f>
        <v>74562.635159999991</v>
      </c>
      <c r="AM69" s="273">
        <f>SUM(AM68:$AR68)*$N69/100</f>
        <v>62368.101159999991</v>
      </c>
      <c r="AN69" s="273">
        <f>SUM(AN68:$AR68)*$N69/100</f>
        <v>50173.567159999991</v>
      </c>
      <c r="AO69" s="273">
        <f>SUM(AO68:$AR68)*$N69/100</f>
        <v>37979.033159999999</v>
      </c>
      <c r="AP69" s="273">
        <f>SUM(AP68:$AR68)*$N69/100</f>
        <v>25784.499160000003</v>
      </c>
      <c r="AQ69" s="273">
        <f>SUM(AQ68:$AR68)*$N69/100</f>
        <v>13589.965159999998</v>
      </c>
      <c r="AR69" s="273">
        <f>SUM(AR68:$AR68)*$N69/100</f>
        <v>1395.4311599999999</v>
      </c>
      <c r="AS69" s="273"/>
      <c r="AT69" s="273"/>
      <c r="AU69" s="274">
        <f t="shared" si="0"/>
        <v>4328879.7701599998</v>
      </c>
      <c r="AV69" s="261">
        <f t="shared" si="1"/>
        <v>0</v>
      </c>
      <c r="AW69" s="275">
        <f t="shared" si="2"/>
        <v>2344870.0832000007</v>
      </c>
      <c r="AX69" s="276">
        <f t="shared" si="3"/>
        <v>4328879.7701600008</v>
      </c>
      <c r="AZ69" s="250" t="b">
        <f t="shared" si="4"/>
        <v>1</v>
      </c>
    </row>
    <row r="70" spans="2:53" s="283" customFormat="1" outlineLevel="1" x14ac:dyDescent="0.3">
      <c r="B70" s="279" t="s">
        <v>737</v>
      </c>
      <c r="C70" s="280">
        <v>33</v>
      </c>
      <c r="D70" s="281" t="s">
        <v>891</v>
      </c>
      <c r="E70" s="254" t="s">
        <v>892</v>
      </c>
      <c r="F70" s="254" t="s">
        <v>893</v>
      </c>
      <c r="G70" s="254" t="s">
        <v>888</v>
      </c>
      <c r="H70" s="254" t="s">
        <v>894</v>
      </c>
      <c r="I70" s="254" t="s">
        <v>698</v>
      </c>
      <c r="J70" s="256">
        <v>43430</v>
      </c>
      <c r="K70" s="257">
        <v>5300</v>
      </c>
      <c r="L70" s="257"/>
      <c r="M70" s="257"/>
      <c r="N70" s="258"/>
      <c r="O70" s="258"/>
      <c r="P70" s="258"/>
      <c r="Q70" s="258" t="s">
        <v>699</v>
      </c>
      <c r="R70" s="259">
        <v>848</v>
      </c>
      <c r="S70" s="259">
        <v>848</v>
      </c>
      <c r="T70" s="259">
        <v>848</v>
      </c>
      <c r="U70" s="259">
        <v>848</v>
      </c>
      <c r="V70" s="259">
        <v>848</v>
      </c>
      <c r="W70" s="259">
        <v>848</v>
      </c>
      <c r="X70" s="259">
        <v>212</v>
      </c>
      <c r="Y70" s="259">
        <v>0</v>
      </c>
      <c r="Z70" s="259">
        <v>0</v>
      </c>
      <c r="AA70" s="259">
        <v>0</v>
      </c>
      <c r="AB70" s="259">
        <v>0</v>
      </c>
      <c r="AC70" s="259">
        <v>0</v>
      </c>
      <c r="AD70" s="259">
        <v>0</v>
      </c>
      <c r="AE70" s="259">
        <v>0</v>
      </c>
      <c r="AF70" s="259">
        <v>0</v>
      </c>
      <c r="AG70" s="259">
        <v>0</v>
      </c>
      <c r="AH70" s="259">
        <v>0</v>
      </c>
      <c r="AI70" s="259">
        <v>0</v>
      </c>
      <c r="AJ70" s="259">
        <v>0</v>
      </c>
      <c r="AK70" s="259">
        <v>0</v>
      </c>
      <c r="AL70" s="259">
        <v>0</v>
      </c>
      <c r="AM70" s="259">
        <v>0</v>
      </c>
      <c r="AN70" s="259">
        <v>0</v>
      </c>
      <c r="AO70" s="259">
        <v>0</v>
      </c>
      <c r="AP70" s="259">
        <v>0</v>
      </c>
      <c r="AQ70" s="259">
        <v>0</v>
      </c>
      <c r="AR70" s="259">
        <v>0</v>
      </c>
      <c r="AS70" s="259"/>
      <c r="AT70" s="259"/>
      <c r="AU70" s="263">
        <f t="shared" si="0"/>
        <v>5300</v>
      </c>
      <c r="AV70" s="282">
        <f t="shared" si="1"/>
        <v>0</v>
      </c>
      <c r="AW70" s="262">
        <f t="shared" si="2"/>
        <v>0</v>
      </c>
      <c r="AX70" s="263">
        <f t="shared" si="3"/>
        <v>5300</v>
      </c>
      <c r="AZ70" s="283" t="b">
        <f t="shared" si="4"/>
        <v>1</v>
      </c>
      <c r="BA70" s="264">
        <f>AX70-K70</f>
        <v>0</v>
      </c>
    </row>
    <row r="71" spans="2:53" s="232" customFormat="1" outlineLevel="1" x14ac:dyDescent="0.3">
      <c r="B71" s="284" t="s">
        <v>737</v>
      </c>
      <c r="C71" s="285"/>
      <c r="D71" s="286"/>
      <c r="E71" s="268"/>
      <c r="F71" s="268"/>
      <c r="G71" s="268"/>
      <c r="H71" s="268"/>
      <c r="I71" s="268"/>
      <c r="J71" s="270"/>
      <c r="K71" s="270"/>
      <c r="L71" s="270">
        <v>0</v>
      </c>
      <c r="M71" s="270" t="s">
        <v>881</v>
      </c>
      <c r="N71" s="271">
        <f>SUM(O71:P71)</f>
        <v>0.25</v>
      </c>
      <c r="O71" s="271">
        <v>0.25</v>
      </c>
      <c r="P71" s="271">
        <f>$P$4</f>
        <v>0</v>
      </c>
      <c r="Q71" s="271" t="s">
        <v>702</v>
      </c>
      <c r="R71" s="273">
        <f>SUM(R70:$AR70)*$N71/100</f>
        <v>13.25</v>
      </c>
      <c r="S71" s="273">
        <f>SUM(S70:$AR70)*$N71/100</f>
        <v>11.13</v>
      </c>
      <c r="T71" s="273">
        <f>SUM(T70:$AR70)*$N71/100</f>
        <v>9.01</v>
      </c>
      <c r="U71" s="273">
        <f>SUM(U70:$AR70)*$N71/100</f>
        <v>6.89</v>
      </c>
      <c r="V71" s="273">
        <f>SUM(V70:$AR70)*$N71/100</f>
        <v>4.7699999999999996</v>
      </c>
      <c r="W71" s="273">
        <f>SUM(W70:$AR70)*$N71/100</f>
        <v>2.65</v>
      </c>
      <c r="X71" s="273">
        <f>SUM(X70:$AR70)*$N71/100</f>
        <v>0.53</v>
      </c>
      <c r="Y71" s="273">
        <v>0</v>
      </c>
      <c r="Z71" s="273">
        <v>0</v>
      </c>
      <c r="AA71" s="273">
        <v>0</v>
      </c>
      <c r="AB71" s="273">
        <v>0</v>
      </c>
      <c r="AC71" s="273">
        <v>0</v>
      </c>
      <c r="AD71" s="273">
        <v>0</v>
      </c>
      <c r="AE71" s="273">
        <v>0</v>
      </c>
      <c r="AF71" s="273">
        <v>0</v>
      </c>
      <c r="AG71" s="273">
        <v>0</v>
      </c>
      <c r="AH71" s="273">
        <v>0</v>
      </c>
      <c r="AI71" s="273">
        <v>0</v>
      </c>
      <c r="AJ71" s="273">
        <v>0</v>
      </c>
      <c r="AK71" s="273">
        <v>0</v>
      </c>
      <c r="AL71" s="273">
        <v>0</v>
      </c>
      <c r="AM71" s="273">
        <v>0</v>
      </c>
      <c r="AN71" s="273">
        <v>0</v>
      </c>
      <c r="AO71" s="273">
        <v>0</v>
      </c>
      <c r="AP71" s="273">
        <v>0</v>
      </c>
      <c r="AQ71" s="273">
        <v>0</v>
      </c>
      <c r="AR71" s="273">
        <v>0</v>
      </c>
      <c r="AS71" s="273"/>
      <c r="AT71" s="273"/>
      <c r="AU71" s="276">
        <f t="shared" ref="AU71:AU125" si="6">SUM(R71:AT71)</f>
        <v>48.23</v>
      </c>
      <c r="AV71" s="282">
        <f t="shared" ref="AV71:AV140" si="7">AU71-SUM(R71:AT71)</f>
        <v>0</v>
      </c>
      <c r="AW71" s="275">
        <f t="shared" ref="AW71:AW140" si="8">SUM(Y71:AT71)</f>
        <v>0</v>
      </c>
      <c r="AX71" s="276">
        <f t="shared" ref="AX71:AX127" si="9">SUM(R71:X71,AW71)</f>
        <v>48.23</v>
      </c>
      <c r="AZ71" s="283" t="b">
        <f t="shared" ref="AZ71:AZ143" si="10">AU71=AX71</f>
        <v>1</v>
      </c>
      <c r="BA71" s="230"/>
    </row>
    <row r="72" spans="2:53" s="250" customFormat="1" outlineLevel="1" x14ac:dyDescent="0.3">
      <c r="B72" s="251" t="s">
        <v>737</v>
      </c>
      <c r="C72" s="252">
        <v>34</v>
      </c>
      <c r="D72" s="253" t="s">
        <v>895</v>
      </c>
      <c r="E72" s="254" t="s">
        <v>896</v>
      </c>
      <c r="F72" s="255" t="s">
        <v>897</v>
      </c>
      <c r="G72" s="255" t="s">
        <v>898</v>
      </c>
      <c r="H72" s="255" t="s">
        <v>899</v>
      </c>
      <c r="I72" s="255" t="s">
        <v>698</v>
      </c>
      <c r="J72" s="256">
        <v>400000</v>
      </c>
      <c r="K72" s="257">
        <v>358995</v>
      </c>
      <c r="L72" s="257"/>
      <c r="M72" s="257"/>
      <c r="N72" s="258"/>
      <c r="O72" s="258"/>
      <c r="P72" s="258"/>
      <c r="Q72" s="258" t="s">
        <v>699</v>
      </c>
      <c r="R72" s="259">
        <v>13676</v>
      </c>
      <c r="S72" s="259">
        <v>13676</v>
      </c>
      <c r="T72" s="259">
        <v>13676</v>
      </c>
      <c r="U72" s="259">
        <v>13676</v>
      </c>
      <c r="V72" s="259">
        <v>13676</v>
      </c>
      <c r="W72" s="259">
        <v>13676</v>
      </c>
      <c r="X72" s="259">
        <v>13676</v>
      </c>
      <c r="Y72" s="259">
        <v>13676</v>
      </c>
      <c r="Z72" s="259">
        <v>13676</v>
      </c>
      <c r="AA72" s="259">
        <v>13676</v>
      </c>
      <c r="AB72" s="259">
        <v>13676</v>
      </c>
      <c r="AC72" s="259">
        <v>13676</v>
      </c>
      <c r="AD72" s="259">
        <v>13676</v>
      </c>
      <c r="AE72" s="259">
        <v>13676</v>
      </c>
      <c r="AF72" s="259">
        <v>13676</v>
      </c>
      <c r="AG72" s="259">
        <v>13676</v>
      </c>
      <c r="AH72" s="259">
        <v>13676</v>
      </c>
      <c r="AI72" s="259">
        <v>13676</v>
      </c>
      <c r="AJ72" s="259">
        <v>13676</v>
      </c>
      <c r="AK72" s="259">
        <v>13676</v>
      </c>
      <c r="AL72" s="259">
        <v>13676</v>
      </c>
      <c r="AM72" s="259">
        <v>13676</v>
      </c>
      <c r="AN72" s="259">
        <v>13676</v>
      </c>
      <c r="AO72" s="259">
        <v>13676</v>
      </c>
      <c r="AP72" s="259">
        <v>13676</v>
      </c>
      <c r="AQ72" s="259">
        <v>13676</v>
      </c>
      <c r="AR72" s="259">
        <v>3419</v>
      </c>
      <c r="AS72" s="259"/>
      <c r="AT72" s="259"/>
      <c r="AU72" s="260">
        <f t="shared" si="6"/>
        <v>358995</v>
      </c>
      <c r="AV72" s="261">
        <f t="shared" si="7"/>
        <v>0</v>
      </c>
      <c r="AW72" s="262">
        <f t="shared" si="8"/>
        <v>263263</v>
      </c>
      <c r="AX72" s="263">
        <f t="shared" si="9"/>
        <v>358995</v>
      </c>
      <c r="AZ72" s="250" t="b">
        <f t="shared" si="10"/>
        <v>1</v>
      </c>
      <c r="BA72" s="264">
        <f>AX72-K72</f>
        <v>0</v>
      </c>
    </row>
    <row r="73" spans="2:53" outlineLevel="1" x14ac:dyDescent="0.3">
      <c r="B73" s="265" t="s">
        <v>737</v>
      </c>
      <c r="C73" s="266"/>
      <c r="D73" s="267" t="s">
        <v>900</v>
      </c>
      <c r="E73" s="268"/>
      <c r="F73" s="269"/>
      <c r="G73" s="269"/>
      <c r="H73" s="269"/>
      <c r="I73" s="269"/>
      <c r="J73" s="270"/>
      <c r="K73" s="270"/>
      <c r="L73" s="270" t="s">
        <v>901</v>
      </c>
      <c r="M73" s="270"/>
      <c r="N73" s="271">
        <f>SUM(O73:P73)</f>
        <v>3.55</v>
      </c>
      <c r="O73" s="272">
        <v>3.55</v>
      </c>
      <c r="P73" s="271">
        <f>$P$4</f>
        <v>0</v>
      </c>
      <c r="Q73" s="271" t="s">
        <v>702</v>
      </c>
      <c r="R73" s="273">
        <v>12942.24</v>
      </c>
      <c r="S73" s="273">
        <f>SUM(S72:$AR72)*$N73/100</f>
        <v>12258.824499999999</v>
      </c>
      <c r="T73" s="273">
        <f>SUM(T72:$AR72)*$N73/100</f>
        <v>11773.326499999999</v>
      </c>
      <c r="U73" s="273">
        <f>SUM(U72:$AR72)*$N73/100</f>
        <v>11287.828499999998</v>
      </c>
      <c r="V73" s="273">
        <f>SUM(V72:$AR72)*$N73/100</f>
        <v>10802.3305</v>
      </c>
      <c r="W73" s="273">
        <f>SUM(W72:$AR72)*$N73/100</f>
        <v>10316.8325</v>
      </c>
      <c r="X73" s="273">
        <f>SUM(X72:$AR72)*$N73/100</f>
        <v>9831.334499999999</v>
      </c>
      <c r="Y73" s="273">
        <f>SUM(Y72:$AR72)*$N73/100</f>
        <v>9345.8364999999994</v>
      </c>
      <c r="Z73" s="273">
        <f>SUM(Z72:$AR72)*$N73/100</f>
        <v>8860.3384999999998</v>
      </c>
      <c r="AA73" s="273">
        <f>SUM(AA72:$AR72)*$N73/100</f>
        <v>8374.8404999999984</v>
      </c>
      <c r="AB73" s="273">
        <f>SUM(AB72:$AR72)*$N73/100</f>
        <v>7889.3424999999997</v>
      </c>
      <c r="AC73" s="273">
        <f>SUM(AC72:$AR72)*$N73/100</f>
        <v>7403.8444999999992</v>
      </c>
      <c r="AD73" s="273">
        <f>SUM(AD72:$AR72)*$N73/100</f>
        <v>6918.3465000000006</v>
      </c>
      <c r="AE73" s="273">
        <f>SUM(AE72:$AR72)*$N73/100</f>
        <v>6432.8485000000001</v>
      </c>
      <c r="AF73" s="273">
        <f>SUM(AF72:$AR72)*$N73/100</f>
        <v>5947.3504999999996</v>
      </c>
      <c r="AG73" s="273">
        <f>SUM(AG72:$AR72)*$N73/100</f>
        <v>5461.8525</v>
      </c>
      <c r="AH73" s="273">
        <f>SUM(AH72:$AR72)*$N73/100</f>
        <v>4976.3544999999995</v>
      </c>
      <c r="AI73" s="273">
        <f>SUM(AI72:$AR72)*$N73/100</f>
        <v>4490.8564999999999</v>
      </c>
      <c r="AJ73" s="273">
        <f>SUM(AJ72:$AR72)*$N73/100</f>
        <v>4005.3584999999998</v>
      </c>
      <c r="AK73" s="273">
        <f>SUM(AK72:$AR72)*$N73/100</f>
        <v>3519.8604999999998</v>
      </c>
      <c r="AL73" s="273">
        <f>SUM(AL72:$AR72)*$N73/100</f>
        <v>3034.3625000000002</v>
      </c>
      <c r="AM73" s="273">
        <f>SUM(AM72:$AR72)*$N73/100</f>
        <v>2548.8644999999997</v>
      </c>
      <c r="AN73" s="273">
        <f>SUM(AN72:$AR72)*$N73/100</f>
        <v>2063.3665000000001</v>
      </c>
      <c r="AO73" s="273">
        <f>SUM(AO72:$AR72)*$N73/100</f>
        <v>1577.8685</v>
      </c>
      <c r="AP73" s="273">
        <f>SUM(AP72:$AR72)*$N73/100</f>
        <v>1092.3705</v>
      </c>
      <c r="AQ73" s="273">
        <f>SUM(AQ72:$AR72)*$N73/100</f>
        <v>606.87249999999995</v>
      </c>
      <c r="AR73" s="273">
        <f>SUM(AR72:$AR72)*$N73/100</f>
        <v>121.37449999999998</v>
      </c>
      <c r="AS73" s="273"/>
      <c r="AT73" s="273"/>
      <c r="AU73" s="274">
        <f t="shared" si="6"/>
        <v>173884.82700000002</v>
      </c>
      <c r="AV73" s="261">
        <f t="shared" si="7"/>
        <v>0</v>
      </c>
      <c r="AW73" s="275">
        <f t="shared" si="8"/>
        <v>94672.11</v>
      </c>
      <c r="AX73" s="276">
        <f t="shared" si="9"/>
        <v>173884.82699999999</v>
      </c>
      <c r="AZ73" s="250" t="b">
        <f t="shared" si="10"/>
        <v>1</v>
      </c>
    </row>
    <row r="74" spans="2:53" s="250" customFormat="1" outlineLevel="1" collapsed="1" x14ac:dyDescent="0.3">
      <c r="B74" s="251" t="s">
        <v>737</v>
      </c>
      <c r="C74" s="252">
        <v>35</v>
      </c>
      <c r="D74" s="253" t="s">
        <v>902</v>
      </c>
      <c r="E74" s="254" t="s">
        <v>903</v>
      </c>
      <c r="F74" s="255" t="s">
        <v>904</v>
      </c>
      <c r="G74" s="255" t="s">
        <v>905</v>
      </c>
      <c r="H74" s="255" t="s">
        <v>906</v>
      </c>
      <c r="I74" s="255" t="s">
        <v>698</v>
      </c>
      <c r="J74" s="256">
        <v>279650</v>
      </c>
      <c r="K74" s="257">
        <v>251055</v>
      </c>
      <c r="L74" s="257"/>
      <c r="M74" s="257"/>
      <c r="N74" s="258"/>
      <c r="O74" s="258"/>
      <c r="P74" s="258"/>
      <c r="Q74" s="258" t="s">
        <v>699</v>
      </c>
      <c r="R74" s="259">
        <v>9564</v>
      </c>
      <c r="S74" s="259">
        <v>9564</v>
      </c>
      <c r="T74" s="259">
        <v>9564</v>
      </c>
      <c r="U74" s="259">
        <v>9564</v>
      </c>
      <c r="V74" s="259">
        <v>9564</v>
      </c>
      <c r="W74" s="259">
        <v>9564</v>
      </c>
      <c r="X74" s="259">
        <v>9564</v>
      </c>
      <c r="Y74" s="259">
        <v>9564</v>
      </c>
      <c r="Z74" s="259">
        <v>9564</v>
      </c>
      <c r="AA74" s="259">
        <v>9564</v>
      </c>
      <c r="AB74" s="259">
        <v>9564</v>
      </c>
      <c r="AC74" s="259">
        <v>9564</v>
      </c>
      <c r="AD74" s="259">
        <v>9564</v>
      </c>
      <c r="AE74" s="259">
        <v>9564</v>
      </c>
      <c r="AF74" s="259">
        <v>9564</v>
      </c>
      <c r="AG74" s="259">
        <v>9564</v>
      </c>
      <c r="AH74" s="259">
        <v>9564</v>
      </c>
      <c r="AI74" s="259">
        <v>9564</v>
      </c>
      <c r="AJ74" s="259">
        <v>9564</v>
      </c>
      <c r="AK74" s="259">
        <v>9564</v>
      </c>
      <c r="AL74" s="259">
        <v>9564</v>
      </c>
      <c r="AM74" s="259">
        <v>9564</v>
      </c>
      <c r="AN74" s="259">
        <v>9564</v>
      </c>
      <c r="AO74" s="259">
        <v>9564</v>
      </c>
      <c r="AP74" s="259">
        <v>9564</v>
      </c>
      <c r="AQ74" s="259">
        <v>9564</v>
      </c>
      <c r="AR74" s="259">
        <v>2391</v>
      </c>
      <c r="AS74" s="259"/>
      <c r="AT74" s="259"/>
      <c r="AU74" s="260">
        <f t="shared" si="6"/>
        <v>251055</v>
      </c>
      <c r="AV74" s="261">
        <f t="shared" si="7"/>
        <v>0</v>
      </c>
      <c r="AW74" s="262">
        <f t="shared" si="8"/>
        <v>184107</v>
      </c>
      <c r="AX74" s="263">
        <f t="shared" si="9"/>
        <v>251055</v>
      </c>
      <c r="AZ74" s="250" t="b">
        <f t="shared" si="10"/>
        <v>1</v>
      </c>
      <c r="BA74" s="264">
        <f>AX74-K74</f>
        <v>0</v>
      </c>
    </row>
    <row r="75" spans="2:53" outlineLevel="1" x14ac:dyDescent="0.3">
      <c r="B75" s="265" t="s">
        <v>737</v>
      </c>
      <c r="C75" s="266"/>
      <c r="D75" s="267"/>
      <c r="E75" s="268"/>
      <c r="F75" s="269"/>
      <c r="G75" s="269"/>
      <c r="H75" s="269"/>
      <c r="I75" s="269"/>
      <c r="J75" s="270"/>
      <c r="K75" s="270"/>
      <c r="L75" s="270" t="s">
        <v>907</v>
      </c>
      <c r="M75" s="270"/>
      <c r="N75" s="271">
        <f>SUM(O75:P75)</f>
        <v>3.55</v>
      </c>
      <c r="O75" s="272">
        <v>3.55</v>
      </c>
      <c r="P75" s="271">
        <f>$P$4</f>
        <v>0</v>
      </c>
      <c r="Q75" s="271" t="s">
        <v>702</v>
      </c>
      <c r="R75" s="273">
        <v>9387.33</v>
      </c>
      <c r="S75" s="273">
        <f>SUM(S74:$AR74)*$N75/100</f>
        <v>8572.9304999999986</v>
      </c>
      <c r="T75" s="273">
        <f>SUM(T74:$AR74)*$N75/100</f>
        <v>8233.4084999999995</v>
      </c>
      <c r="U75" s="273">
        <f>SUM(U74:$AR74)*$N75/100</f>
        <v>7893.8864999999987</v>
      </c>
      <c r="V75" s="273">
        <f>SUM(V74:$AR74)*$N75/100</f>
        <v>7554.3644999999997</v>
      </c>
      <c r="W75" s="273">
        <f>SUM(W74:$AR74)*$N75/100</f>
        <v>7214.8424999999997</v>
      </c>
      <c r="X75" s="273">
        <f>SUM(X74:$AR74)*$N75/100</f>
        <v>6875.3204999999989</v>
      </c>
      <c r="Y75" s="273">
        <f>SUM(Y74:$AR74)*$N75/100</f>
        <v>6535.7984999999999</v>
      </c>
      <c r="Z75" s="273">
        <f>SUM(Z74:$AR74)*$N75/100</f>
        <v>6196.2764999999999</v>
      </c>
      <c r="AA75" s="273">
        <f>SUM(AA74:$AR74)*$N75/100</f>
        <v>5856.7544999999991</v>
      </c>
      <c r="AB75" s="273">
        <f>SUM(AB74:$AR74)*$N75/100</f>
        <v>5517.2325000000001</v>
      </c>
      <c r="AC75" s="273">
        <f>SUM(AC74:$AR74)*$N75/100</f>
        <v>5177.7105000000001</v>
      </c>
      <c r="AD75" s="273">
        <f>SUM(AD74:$AR74)*$N75/100</f>
        <v>4838.1885000000002</v>
      </c>
      <c r="AE75" s="273">
        <f>SUM(AE74:$AR74)*$N75/100</f>
        <v>4498.6664999999994</v>
      </c>
      <c r="AF75" s="273">
        <f>SUM(AF74:$AR74)*$N75/100</f>
        <v>4159.1444999999994</v>
      </c>
      <c r="AG75" s="273">
        <f>SUM(AG74:$AR74)*$N75/100</f>
        <v>3819.6224999999999</v>
      </c>
      <c r="AH75" s="273">
        <f>SUM(AH74:$AR74)*$N75/100</f>
        <v>3480.1005</v>
      </c>
      <c r="AI75" s="273">
        <f>SUM(AI74:$AR74)*$N75/100</f>
        <v>3140.5784999999996</v>
      </c>
      <c r="AJ75" s="273">
        <f>SUM(AJ74:$AR74)*$N75/100</f>
        <v>2801.0564999999997</v>
      </c>
      <c r="AK75" s="273">
        <f>SUM(AK74:$AR74)*$N75/100</f>
        <v>2461.5344999999998</v>
      </c>
      <c r="AL75" s="273">
        <f>SUM(AL74:$AR74)*$N75/100</f>
        <v>2122.0124999999998</v>
      </c>
      <c r="AM75" s="273">
        <f>SUM(AM74:$AR74)*$N75/100</f>
        <v>1782.4904999999999</v>
      </c>
      <c r="AN75" s="273">
        <f>SUM(AN74:$AR74)*$N75/100</f>
        <v>1442.9684999999999</v>
      </c>
      <c r="AO75" s="273">
        <f>SUM(AO74:$AR74)*$N75/100</f>
        <v>1103.4465</v>
      </c>
      <c r="AP75" s="273">
        <f>SUM(AP74:$AR74)*$N75/100</f>
        <v>763.92449999999997</v>
      </c>
      <c r="AQ75" s="273">
        <f>SUM(AQ74:$AR74)*$N75/100</f>
        <v>424.40249999999997</v>
      </c>
      <c r="AR75" s="273">
        <f>SUM(AR74:$AR74)*$N75/100</f>
        <v>84.880499999999998</v>
      </c>
      <c r="AS75" s="273"/>
      <c r="AT75" s="273"/>
      <c r="AU75" s="274">
        <f t="shared" si="6"/>
        <v>121938.87299999998</v>
      </c>
      <c r="AV75" s="261">
        <f t="shared" si="7"/>
        <v>0</v>
      </c>
      <c r="AW75" s="275">
        <f t="shared" si="8"/>
        <v>66206.789999999994</v>
      </c>
      <c r="AX75" s="276">
        <f t="shared" si="9"/>
        <v>121938.87299999999</v>
      </c>
      <c r="AZ75" s="250" t="b">
        <f t="shared" si="10"/>
        <v>1</v>
      </c>
    </row>
    <row r="76" spans="2:53" s="250" customFormat="1" outlineLevel="1" x14ac:dyDescent="0.3">
      <c r="B76" s="251" t="s">
        <v>737</v>
      </c>
      <c r="C76" s="252">
        <v>36</v>
      </c>
      <c r="D76" s="253" t="s">
        <v>908</v>
      </c>
      <c r="E76" s="254" t="s">
        <v>909</v>
      </c>
      <c r="F76" s="255" t="s">
        <v>910</v>
      </c>
      <c r="G76" s="255" t="s">
        <v>911</v>
      </c>
      <c r="H76" s="255" t="s">
        <v>912</v>
      </c>
      <c r="I76" s="255" t="s">
        <v>698</v>
      </c>
      <c r="J76" s="256">
        <v>2075409</v>
      </c>
      <c r="K76" s="257">
        <v>1282950</v>
      </c>
      <c r="L76" s="257"/>
      <c r="M76" s="257"/>
      <c r="N76" s="258"/>
      <c r="O76" s="258"/>
      <c r="P76" s="258"/>
      <c r="Q76" s="258" t="s">
        <v>699</v>
      </c>
      <c r="R76" s="259">
        <v>123200</v>
      </c>
      <c r="S76" s="259">
        <v>121648</v>
      </c>
      <c r="T76" s="259">
        <v>117000</v>
      </c>
      <c r="U76" s="259">
        <v>117000</v>
      </c>
      <c r="V76" s="259">
        <v>117000</v>
      </c>
      <c r="W76" s="259">
        <v>117000</v>
      </c>
      <c r="X76" s="259">
        <v>110320</v>
      </c>
      <c r="Y76" s="259">
        <v>91212</v>
      </c>
      <c r="Z76" s="259">
        <v>82616</v>
      </c>
      <c r="AA76" s="259">
        <v>82616</v>
      </c>
      <c r="AB76" s="259">
        <v>82616</v>
      </c>
      <c r="AC76" s="259">
        <v>75860</v>
      </c>
      <c r="AD76" s="259">
        <v>36908</v>
      </c>
      <c r="AE76" s="259">
        <v>7954</v>
      </c>
      <c r="AF76" s="259">
        <v>0</v>
      </c>
      <c r="AG76" s="259">
        <v>0</v>
      </c>
      <c r="AH76" s="259">
        <v>0</v>
      </c>
      <c r="AI76" s="259">
        <v>0</v>
      </c>
      <c r="AJ76" s="259">
        <v>0</v>
      </c>
      <c r="AK76" s="259">
        <v>0</v>
      </c>
      <c r="AL76" s="259">
        <v>0</v>
      </c>
      <c r="AM76" s="259">
        <v>0</v>
      </c>
      <c r="AN76" s="259">
        <v>0</v>
      </c>
      <c r="AO76" s="259">
        <v>0</v>
      </c>
      <c r="AP76" s="259">
        <v>0</v>
      </c>
      <c r="AQ76" s="259">
        <v>0</v>
      </c>
      <c r="AR76" s="259">
        <v>0</v>
      </c>
      <c r="AS76" s="259"/>
      <c r="AT76" s="259"/>
      <c r="AU76" s="260">
        <f t="shared" si="6"/>
        <v>1282950</v>
      </c>
      <c r="AV76" s="261">
        <f t="shared" si="7"/>
        <v>0</v>
      </c>
      <c r="AW76" s="262">
        <f t="shared" si="8"/>
        <v>459782</v>
      </c>
      <c r="AX76" s="263">
        <f t="shared" si="9"/>
        <v>1282950</v>
      </c>
      <c r="AZ76" s="250" t="b">
        <f t="shared" si="10"/>
        <v>1</v>
      </c>
      <c r="BA76" s="264">
        <f>AX76-K76</f>
        <v>0</v>
      </c>
    </row>
    <row r="77" spans="2:53" outlineLevel="1" x14ac:dyDescent="0.3">
      <c r="B77" s="265" t="s">
        <v>737</v>
      </c>
      <c r="C77" s="266"/>
      <c r="D77" s="267" t="s">
        <v>913</v>
      </c>
      <c r="E77" s="268"/>
      <c r="F77" s="269"/>
      <c r="G77" s="269"/>
      <c r="H77" s="269"/>
      <c r="I77" s="269"/>
      <c r="J77" s="270"/>
      <c r="K77" s="270"/>
      <c r="L77" s="270" t="s">
        <v>914</v>
      </c>
      <c r="M77" s="270"/>
      <c r="N77" s="271">
        <f>SUM(O77:P77)</f>
        <v>3.55</v>
      </c>
      <c r="O77" s="272">
        <v>3.55</v>
      </c>
      <c r="P77" s="271">
        <f>$P$4</f>
        <v>0</v>
      </c>
      <c r="Q77" s="271" t="s">
        <v>702</v>
      </c>
      <c r="R77" s="273">
        <v>42235.41</v>
      </c>
      <c r="S77" s="273">
        <f>SUM(S76:$AR76)*$N77/100</f>
        <v>41171.125</v>
      </c>
      <c r="T77" s="273">
        <f>SUM(T76:$AR76)*$N77/100</f>
        <v>36852.620999999999</v>
      </c>
      <c r="U77" s="273">
        <f>SUM(U76:$AR76)*$N77/100</f>
        <v>32699.120999999996</v>
      </c>
      <c r="V77" s="273">
        <f>SUM(V76:$AR76)*$N77/100</f>
        <v>28545.620999999996</v>
      </c>
      <c r="W77" s="273">
        <f>SUM(W76:$AR76)*$N77/100</f>
        <v>24392.120999999999</v>
      </c>
      <c r="X77" s="273">
        <f>SUM(X76:$AR76)*$N77/100</f>
        <v>20238.620999999999</v>
      </c>
      <c r="Y77" s="273">
        <f>SUM(Y76:$AR76)*$N77/100</f>
        <v>16322.260999999999</v>
      </c>
      <c r="Z77" s="273">
        <f>SUM(Z76:$AR76)*$N77/100</f>
        <v>13084.235000000001</v>
      </c>
      <c r="AA77" s="273">
        <f>SUM(AA76:$AR76)*$N77/100</f>
        <v>10151.367</v>
      </c>
      <c r="AB77" s="273">
        <f>SUM(AB76:$AR76)*$N77/100</f>
        <v>7218.4989999999989</v>
      </c>
      <c r="AC77" s="273">
        <f>SUM(AC76:$AR76)*$N77/100</f>
        <v>4285.6309999999994</v>
      </c>
      <c r="AD77" s="273">
        <f>SUM(AD76:$AR76)*$N77/100</f>
        <v>1592.6010000000001</v>
      </c>
      <c r="AE77" s="273">
        <f>SUM(AE76:$AR76)*$N77/100</f>
        <v>282.36699999999996</v>
      </c>
      <c r="AF77" s="273">
        <v>0</v>
      </c>
      <c r="AG77" s="273">
        <v>0</v>
      </c>
      <c r="AH77" s="273">
        <v>0</v>
      </c>
      <c r="AI77" s="273">
        <v>0</v>
      </c>
      <c r="AJ77" s="273">
        <v>0</v>
      </c>
      <c r="AK77" s="273">
        <v>0</v>
      </c>
      <c r="AL77" s="273">
        <v>0</v>
      </c>
      <c r="AM77" s="273">
        <v>0</v>
      </c>
      <c r="AN77" s="273">
        <v>0</v>
      </c>
      <c r="AO77" s="273">
        <v>0</v>
      </c>
      <c r="AP77" s="273">
        <v>0</v>
      </c>
      <c r="AQ77" s="273">
        <v>0</v>
      </c>
      <c r="AR77" s="273">
        <v>0</v>
      </c>
      <c r="AS77" s="273"/>
      <c r="AT77" s="273"/>
      <c r="AU77" s="274">
        <f t="shared" si="6"/>
        <v>279071.60100000002</v>
      </c>
      <c r="AV77" s="261">
        <f t="shared" si="7"/>
        <v>0</v>
      </c>
      <c r="AW77" s="275">
        <f t="shared" si="8"/>
        <v>52936.960999999996</v>
      </c>
      <c r="AX77" s="276">
        <f t="shared" si="9"/>
        <v>279071.60099999997</v>
      </c>
      <c r="AZ77" s="250" t="b">
        <f t="shared" si="10"/>
        <v>1</v>
      </c>
    </row>
    <row r="78" spans="2:53" s="250" customFormat="1" outlineLevel="1" x14ac:dyDescent="0.3">
      <c r="B78" s="251" t="s">
        <v>737</v>
      </c>
      <c r="C78" s="252">
        <v>37</v>
      </c>
      <c r="D78" s="253" t="s">
        <v>915</v>
      </c>
      <c r="E78" s="254" t="s">
        <v>916</v>
      </c>
      <c r="F78" s="255" t="s">
        <v>917</v>
      </c>
      <c r="G78" s="255" t="s">
        <v>918</v>
      </c>
      <c r="H78" s="255" t="s">
        <v>919</v>
      </c>
      <c r="I78" s="255" t="s">
        <v>698</v>
      </c>
      <c r="J78" s="256">
        <v>617703</v>
      </c>
      <c r="K78" s="257">
        <v>554910</v>
      </c>
      <c r="L78" s="257"/>
      <c r="M78" s="257"/>
      <c r="N78" s="258"/>
      <c r="O78" s="258"/>
      <c r="P78" s="258"/>
      <c r="Q78" s="258" t="s">
        <v>699</v>
      </c>
      <c r="R78" s="259">
        <v>20940</v>
      </c>
      <c r="S78" s="259">
        <v>20940</v>
      </c>
      <c r="T78" s="259">
        <v>20940</v>
      </c>
      <c r="U78" s="259">
        <v>20940</v>
      </c>
      <c r="V78" s="259">
        <v>20940</v>
      </c>
      <c r="W78" s="259">
        <v>20940</v>
      </c>
      <c r="X78" s="259">
        <v>20940</v>
      </c>
      <c r="Y78" s="259">
        <v>20940</v>
      </c>
      <c r="Z78" s="259">
        <v>20940</v>
      </c>
      <c r="AA78" s="259">
        <v>20940</v>
      </c>
      <c r="AB78" s="259">
        <v>20940</v>
      </c>
      <c r="AC78" s="259">
        <v>20940</v>
      </c>
      <c r="AD78" s="259">
        <v>20940</v>
      </c>
      <c r="AE78" s="259">
        <v>20940</v>
      </c>
      <c r="AF78" s="259">
        <v>20940</v>
      </c>
      <c r="AG78" s="259">
        <v>20940</v>
      </c>
      <c r="AH78" s="259">
        <v>20940</v>
      </c>
      <c r="AI78" s="259">
        <v>20940</v>
      </c>
      <c r="AJ78" s="259">
        <v>20940</v>
      </c>
      <c r="AK78" s="259">
        <v>20940</v>
      </c>
      <c r="AL78" s="259">
        <v>20940</v>
      </c>
      <c r="AM78" s="259">
        <v>20940</v>
      </c>
      <c r="AN78" s="259">
        <v>20940</v>
      </c>
      <c r="AO78" s="259">
        <v>20940</v>
      </c>
      <c r="AP78" s="259">
        <v>20940</v>
      </c>
      <c r="AQ78" s="259">
        <v>20940</v>
      </c>
      <c r="AR78" s="259">
        <v>10470</v>
      </c>
      <c r="AS78" s="259"/>
      <c r="AT78" s="259"/>
      <c r="AU78" s="260">
        <f t="shared" si="6"/>
        <v>554910</v>
      </c>
      <c r="AV78" s="261">
        <f t="shared" si="7"/>
        <v>0</v>
      </c>
      <c r="AW78" s="262">
        <f t="shared" si="8"/>
        <v>408330</v>
      </c>
      <c r="AX78" s="263">
        <f t="shared" si="9"/>
        <v>554910</v>
      </c>
      <c r="AZ78" s="250" t="b">
        <f t="shared" si="10"/>
        <v>1</v>
      </c>
      <c r="BA78" s="264">
        <f>AX78-K78</f>
        <v>0</v>
      </c>
    </row>
    <row r="79" spans="2:53" outlineLevel="1" x14ac:dyDescent="0.3">
      <c r="B79" s="265" t="s">
        <v>737</v>
      </c>
      <c r="C79" s="266"/>
      <c r="D79" s="267"/>
      <c r="E79" s="268"/>
      <c r="F79" s="269"/>
      <c r="G79" s="269"/>
      <c r="H79" s="269"/>
      <c r="I79" s="269"/>
      <c r="J79" s="270"/>
      <c r="K79" s="270"/>
      <c r="L79" s="270" t="s">
        <v>920</v>
      </c>
      <c r="M79" s="270"/>
      <c r="N79" s="271">
        <f>SUM(O79:P79)</f>
        <v>3.55</v>
      </c>
      <c r="O79" s="272">
        <v>3.55</v>
      </c>
      <c r="P79" s="271">
        <f>$P$4</f>
        <v>0</v>
      </c>
      <c r="Q79" s="271" t="s">
        <v>702</v>
      </c>
      <c r="R79" s="273">
        <v>21379.61</v>
      </c>
      <c r="S79" s="273">
        <f>SUM(S78:$AR78)*$N79/100</f>
        <v>18955.935000000001</v>
      </c>
      <c r="T79" s="273">
        <f>SUM(T78:$AR78)*$N79/100</f>
        <v>18212.564999999999</v>
      </c>
      <c r="U79" s="273">
        <f>SUM(U78:$AR78)*$N79/100</f>
        <v>17469.195</v>
      </c>
      <c r="V79" s="273">
        <f>SUM(V78:$AR78)*$N79/100</f>
        <v>16725.825000000001</v>
      </c>
      <c r="W79" s="273">
        <f>SUM(W78:$AR78)*$N79/100</f>
        <v>15982.455</v>
      </c>
      <c r="X79" s="273">
        <f>SUM(X78:$AR78)*$N79/100</f>
        <v>15239.084999999999</v>
      </c>
      <c r="Y79" s="273">
        <f>SUM(Y78:$AR78)*$N79/100</f>
        <v>14495.715</v>
      </c>
      <c r="Z79" s="273">
        <f>SUM(Z78:$AR78)*$N79/100</f>
        <v>13752.344999999999</v>
      </c>
      <c r="AA79" s="273">
        <f>SUM(AA78:$AR78)*$N79/100</f>
        <v>13008.975</v>
      </c>
      <c r="AB79" s="273">
        <f>SUM(AB78:$AR78)*$N79/100</f>
        <v>12265.605</v>
      </c>
      <c r="AC79" s="273">
        <f>SUM(AC78:$AR78)*$N79/100</f>
        <v>11522.235000000001</v>
      </c>
      <c r="AD79" s="273">
        <f>SUM(AD78:$AR78)*$N79/100</f>
        <v>10778.865</v>
      </c>
      <c r="AE79" s="273">
        <f>SUM(AE78:$AR78)*$N79/100</f>
        <v>10035.495000000001</v>
      </c>
      <c r="AF79" s="273">
        <f>SUM(AF78:$AR78)*$N79/100</f>
        <v>9292.125</v>
      </c>
      <c r="AG79" s="273">
        <f>SUM(AG78:$AR78)*$N79/100</f>
        <v>8548.7549999999992</v>
      </c>
      <c r="AH79" s="273">
        <f>SUM(AH78:$AR78)*$N79/100</f>
        <v>7805.3850000000002</v>
      </c>
      <c r="AI79" s="273">
        <f>SUM(AI78:$AR78)*$N79/100</f>
        <v>7062.0150000000003</v>
      </c>
      <c r="AJ79" s="273">
        <f>SUM(AJ78:$AR78)*$N79/100</f>
        <v>6318.6450000000004</v>
      </c>
      <c r="AK79" s="273">
        <f>SUM(AK78:$AR78)*$N79/100</f>
        <v>5575.2749999999996</v>
      </c>
      <c r="AL79" s="273">
        <f>SUM(AL78:$AR78)*$N79/100</f>
        <v>4831.9049999999997</v>
      </c>
      <c r="AM79" s="273">
        <f>SUM(AM78:$AR78)*$N79/100</f>
        <v>4088.5349999999999</v>
      </c>
      <c r="AN79" s="273">
        <f>SUM(AN78:$AR78)*$N79/100</f>
        <v>3345.165</v>
      </c>
      <c r="AO79" s="273">
        <f>SUM(AO78:$AR78)*$N79/100</f>
        <v>2601.7950000000001</v>
      </c>
      <c r="AP79" s="273">
        <f>SUM(AP78:$AR78)*$N79/100</f>
        <v>1858.425</v>
      </c>
      <c r="AQ79" s="273">
        <f>SUM(AQ78:$AR78)*$N79/100</f>
        <v>1115.0550000000001</v>
      </c>
      <c r="AR79" s="273">
        <f>SUM(AR78:$AR78)*$N79/100</f>
        <v>371.685</v>
      </c>
      <c r="AS79" s="273"/>
      <c r="AT79" s="273"/>
      <c r="AU79" s="274">
        <f t="shared" si="6"/>
        <v>272638.66999999993</v>
      </c>
      <c r="AV79" s="261">
        <f t="shared" si="7"/>
        <v>0</v>
      </c>
      <c r="AW79" s="275">
        <f t="shared" si="8"/>
        <v>148674</v>
      </c>
      <c r="AX79" s="276">
        <f t="shared" si="9"/>
        <v>272638.67</v>
      </c>
      <c r="AZ79" s="250" t="b">
        <f t="shared" si="10"/>
        <v>1</v>
      </c>
    </row>
    <row r="80" spans="2:53" s="250" customFormat="1" outlineLevel="1" x14ac:dyDescent="0.3">
      <c r="B80" s="251" t="s">
        <v>737</v>
      </c>
      <c r="C80" s="252">
        <v>38</v>
      </c>
      <c r="D80" s="253" t="s">
        <v>921</v>
      </c>
      <c r="E80" s="254" t="s">
        <v>922</v>
      </c>
      <c r="F80" s="255" t="s">
        <v>923</v>
      </c>
      <c r="G80" s="255" t="s">
        <v>924</v>
      </c>
      <c r="H80" s="255" t="s">
        <v>925</v>
      </c>
      <c r="I80" s="255" t="s">
        <v>698</v>
      </c>
      <c r="J80" s="256">
        <v>131926.07</v>
      </c>
      <c r="K80" s="257">
        <v>111637</v>
      </c>
      <c r="L80" s="257"/>
      <c r="M80" s="257"/>
      <c r="N80" s="258"/>
      <c r="O80" s="258"/>
      <c r="P80" s="258"/>
      <c r="Q80" s="258" t="s">
        <v>699</v>
      </c>
      <c r="R80" s="259">
        <v>6772</v>
      </c>
      <c r="S80" s="259">
        <v>6772</v>
      </c>
      <c r="T80" s="259">
        <v>6772</v>
      </c>
      <c r="U80" s="259">
        <v>6772</v>
      </c>
      <c r="V80" s="259">
        <v>6772</v>
      </c>
      <c r="W80" s="259">
        <v>6772</v>
      </c>
      <c r="X80" s="259">
        <v>6772</v>
      </c>
      <c r="Y80" s="259">
        <v>6772</v>
      </c>
      <c r="Z80" s="259">
        <v>6772</v>
      </c>
      <c r="AA80" s="259">
        <v>6772</v>
      </c>
      <c r="AB80" s="259">
        <v>6772</v>
      </c>
      <c r="AC80" s="259">
        <v>6772</v>
      </c>
      <c r="AD80" s="259">
        <v>6772</v>
      </c>
      <c r="AE80" s="259">
        <v>6772</v>
      </c>
      <c r="AF80" s="259">
        <v>6772</v>
      </c>
      <c r="AG80" s="259">
        <v>6772</v>
      </c>
      <c r="AH80" s="259">
        <v>3285.0699999999997</v>
      </c>
      <c r="AI80" s="259">
        <v>0</v>
      </c>
      <c r="AJ80" s="259">
        <v>0</v>
      </c>
      <c r="AK80" s="259">
        <v>0</v>
      </c>
      <c r="AL80" s="259">
        <v>0</v>
      </c>
      <c r="AM80" s="259">
        <v>0</v>
      </c>
      <c r="AN80" s="259">
        <v>0</v>
      </c>
      <c r="AO80" s="259">
        <v>0</v>
      </c>
      <c r="AP80" s="259">
        <v>0</v>
      </c>
      <c r="AQ80" s="259">
        <v>0</v>
      </c>
      <c r="AR80" s="259">
        <v>0</v>
      </c>
      <c r="AS80" s="259"/>
      <c r="AT80" s="259"/>
      <c r="AU80" s="260">
        <f t="shared" si="6"/>
        <v>111637.07</v>
      </c>
      <c r="AV80" s="261">
        <f t="shared" si="7"/>
        <v>0</v>
      </c>
      <c r="AW80" s="262">
        <f t="shared" si="8"/>
        <v>64233.07</v>
      </c>
      <c r="AX80" s="263">
        <f t="shared" si="9"/>
        <v>111637.07</v>
      </c>
      <c r="AZ80" s="250" t="b">
        <f t="shared" si="10"/>
        <v>1</v>
      </c>
      <c r="BA80" s="264">
        <f>AX80-K80</f>
        <v>7.0000000006984919E-2</v>
      </c>
    </row>
    <row r="81" spans="2:54" outlineLevel="1" x14ac:dyDescent="0.3">
      <c r="B81" s="265" t="s">
        <v>737</v>
      </c>
      <c r="C81" s="266"/>
      <c r="D81" s="267"/>
      <c r="E81" s="268"/>
      <c r="F81" s="269"/>
      <c r="G81" s="269"/>
      <c r="H81" s="269"/>
      <c r="I81" s="269"/>
      <c r="J81" s="270"/>
      <c r="K81" s="270"/>
      <c r="L81" s="270" t="s">
        <v>926</v>
      </c>
      <c r="M81" s="270"/>
      <c r="N81" s="271">
        <f>SUM(O81:P81)</f>
        <v>3.55</v>
      </c>
      <c r="O81" s="272">
        <v>3.55</v>
      </c>
      <c r="P81" s="271">
        <f>$P$4</f>
        <v>0</v>
      </c>
      <c r="Q81" s="271" t="s">
        <v>702</v>
      </c>
      <c r="R81" s="273">
        <v>4205.6000000000004</v>
      </c>
      <c r="S81" s="273">
        <f>SUM(S80:$AR80)*$N81/100</f>
        <v>3722.709985</v>
      </c>
      <c r="T81" s="273">
        <f>SUM(T80:$AR80)*$N81/100</f>
        <v>3482.303985</v>
      </c>
      <c r="U81" s="273">
        <f>SUM(U80:$AR80)*$N81/100</f>
        <v>3241.8979850000005</v>
      </c>
      <c r="V81" s="273">
        <f>SUM(V80:$AR80)*$N81/100</f>
        <v>3001.4919850000001</v>
      </c>
      <c r="W81" s="273">
        <f>SUM(W80:$AR80)*$N81/100</f>
        <v>2761.0859850000002</v>
      </c>
      <c r="X81" s="273">
        <f>SUM(X80:$AR80)*$N81/100</f>
        <v>2520.6799850000002</v>
      </c>
      <c r="Y81" s="273">
        <f>SUM(Y80:$AR80)*$N81/100</f>
        <v>2280.2739849999998</v>
      </c>
      <c r="Z81" s="273">
        <f>SUM(Z80:$AR80)*$N81/100</f>
        <v>2039.8679849999999</v>
      </c>
      <c r="AA81" s="273">
        <f>SUM(AA80:$AR80)*$N81/100</f>
        <v>1799.4619849999999</v>
      </c>
      <c r="AB81" s="273">
        <f>SUM(AB80:$AR80)*$N81/100</f>
        <v>1559.055985</v>
      </c>
      <c r="AC81" s="273">
        <f>SUM(AC80:$AR80)*$N81/100</f>
        <v>1318.6499849999998</v>
      </c>
      <c r="AD81" s="273">
        <f>SUM(AD80:$AR80)*$N81/100</f>
        <v>1078.2439850000001</v>
      </c>
      <c r="AE81" s="273">
        <f>SUM(AE80:$AR80)*$N81/100</f>
        <v>837.83798499999989</v>
      </c>
      <c r="AF81" s="273">
        <f>SUM(AF80:$AR80)*$N81/100</f>
        <v>597.43198499999994</v>
      </c>
      <c r="AG81" s="273">
        <f>SUM(AG80:$AR80)*$N81/100</f>
        <v>357.02598499999999</v>
      </c>
      <c r="AH81" s="273">
        <f>SUM(AH80:$AR80)*$N81/100</f>
        <v>116.61998499999999</v>
      </c>
      <c r="AI81" s="273">
        <v>0</v>
      </c>
      <c r="AJ81" s="273">
        <v>0</v>
      </c>
      <c r="AK81" s="273">
        <v>0</v>
      </c>
      <c r="AL81" s="273">
        <v>0</v>
      </c>
      <c r="AM81" s="273">
        <v>0</v>
      </c>
      <c r="AN81" s="273">
        <v>0</v>
      </c>
      <c r="AO81" s="273">
        <v>0</v>
      </c>
      <c r="AP81" s="273">
        <v>0</v>
      </c>
      <c r="AQ81" s="273">
        <v>0</v>
      </c>
      <c r="AR81" s="273">
        <v>0</v>
      </c>
      <c r="AS81" s="273"/>
      <c r="AT81" s="273"/>
      <c r="AU81" s="274">
        <f t="shared" si="6"/>
        <v>34920.239759999997</v>
      </c>
      <c r="AV81" s="261">
        <f t="shared" si="7"/>
        <v>0</v>
      </c>
      <c r="AW81" s="275">
        <f t="shared" si="8"/>
        <v>11984.469849999998</v>
      </c>
      <c r="AX81" s="276">
        <f t="shared" si="9"/>
        <v>34920.239759999997</v>
      </c>
      <c r="AZ81" s="250" t="b">
        <f t="shared" si="10"/>
        <v>1</v>
      </c>
    </row>
    <row r="82" spans="2:54" s="250" customFormat="1" outlineLevel="1" x14ac:dyDescent="0.3">
      <c r="B82" s="251" t="s">
        <v>737</v>
      </c>
      <c r="C82" s="252">
        <v>39</v>
      </c>
      <c r="D82" s="253" t="s">
        <v>927</v>
      </c>
      <c r="E82" s="254" t="s">
        <v>928</v>
      </c>
      <c r="F82" s="255" t="s">
        <v>929</v>
      </c>
      <c r="G82" s="255" t="s">
        <v>924</v>
      </c>
      <c r="H82" s="255" t="s">
        <v>925</v>
      </c>
      <c r="I82" s="255" t="s">
        <v>698</v>
      </c>
      <c r="J82" s="256">
        <v>145332</v>
      </c>
      <c r="K82" s="257">
        <v>123024</v>
      </c>
      <c r="L82" s="257"/>
      <c r="M82" s="257"/>
      <c r="N82" s="258"/>
      <c r="O82" s="258"/>
      <c r="P82" s="258"/>
      <c r="Q82" s="258" t="s">
        <v>699</v>
      </c>
      <c r="R82" s="259">
        <v>7456</v>
      </c>
      <c r="S82" s="259">
        <v>7456</v>
      </c>
      <c r="T82" s="259">
        <v>7456</v>
      </c>
      <c r="U82" s="259">
        <v>7456</v>
      </c>
      <c r="V82" s="259">
        <v>7456</v>
      </c>
      <c r="W82" s="259">
        <v>7456</v>
      </c>
      <c r="X82" s="259">
        <v>7456</v>
      </c>
      <c r="Y82" s="259">
        <v>7456</v>
      </c>
      <c r="Z82" s="259">
        <v>7456</v>
      </c>
      <c r="AA82" s="259">
        <v>7456</v>
      </c>
      <c r="AB82" s="259">
        <v>7456</v>
      </c>
      <c r="AC82" s="259">
        <v>7456</v>
      </c>
      <c r="AD82" s="259">
        <v>7456</v>
      </c>
      <c r="AE82" s="259">
        <v>7456</v>
      </c>
      <c r="AF82" s="259">
        <v>7456</v>
      </c>
      <c r="AG82" s="259">
        <v>7456</v>
      </c>
      <c r="AH82" s="259">
        <v>3728</v>
      </c>
      <c r="AI82" s="259">
        <v>0</v>
      </c>
      <c r="AJ82" s="259">
        <v>0</v>
      </c>
      <c r="AK82" s="259">
        <v>0</v>
      </c>
      <c r="AL82" s="259">
        <v>0</v>
      </c>
      <c r="AM82" s="259">
        <v>0</v>
      </c>
      <c r="AN82" s="259">
        <v>0</v>
      </c>
      <c r="AO82" s="259">
        <v>0</v>
      </c>
      <c r="AP82" s="259">
        <v>0</v>
      </c>
      <c r="AQ82" s="259">
        <v>0</v>
      </c>
      <c r="AR82" s="259">
        <v>0</v>
      </c>
      <c r="AS82" s="259"/>
      <c r="AT82" s="259"/>
      <c r="AU82" s="260">
        <f t="shared" si="6"/>
        <v>123024</v>
      </c>
      <c r="AV82" s="261">
        <f t="shared" si="7"/>
        <v>0</v>
      </c>
      <c r="AW82" s="262">
        <f t="shared" si="8"/>
        <v>70832</v>
      </c>
      <c r="AX82" s="263">
        <f t="shared" si="9"/>
        <v>123024</v>
      </c>
      <c r="AZ82" s="250" t="b">
        <f t="shared" si="10"/>
        <v>1</v>
      </c>
      <c r="BA82" s="264">
        <f>AX82-K82</f>
        <v>0</v>
      </c>
    </row>
    <row r="83" spans="2:54" outlineLevel="1" x14ac:dyDescent="0.3">
      <c r="B83" s="265" t="s">
        <v>737</v>
      </c>
      <c r="C83" s="266"/>
      <c r="D83" s="267" t="s">
        <v>930</v>
      </c>
      <c r="E83" s="268"/>
      <c r="F83" s="269"/>
      <c r="G83" s="269"/>
      <c r="H83" s="269"/>
      <c r="I83" s="269"/>
      <c r="J83" s="270"/>
      <c r="K83" s="270"/>
      <c r="L83" s="270" t="s">
        <v>926</v>
      </c>
      <c r="M83" s="270"/>
      <c r="N83" s="271">
        <f>SUM(O83:P83)</f>
        <v>3.55</v>
      </c>
      <c r="O83" s="272">
        <v>3.55</v>
      </c>
      <c r="P83" s="271">
        <f>$P$4</f>
        <v>0</v>
      </c>
      <c r="Q83" s="271" t="s">
        <v>702</v>
      </c>
      <c r="R83" s="273">
        <v>4634.59</v>
      </c>
      <c r="S83" s="273">
        <f>SUM(S82:$AR82)*$N83/100</f>
        <v>4102.6639999999998</v>
      </c>
      <c r="T83" s="273">
        <f>SUM(T82:$AR82)*$N83/100</f>
        <v>3837.9759999999997</v>
      </c>
      <c r="U83" s="273">
        <f>SUM(U82:$AR82)*$N83/100</f>
        <v>3573.288</v>
      </c>
      <c r="V83" s="273">
        <f>SUM(V82:$AR82)*$N83/100</f>
        <v>3308.6</v>
      </c>
      <c r="W83" s="273">
        <f>SUM(W82:$AR82)*$N83/100</f>
        <v>3043.9120000000003</v>
      </c>
      <c r="X83" s="273">
        <f>SUM(X82:$AR82)*$N83/100</f>
        <v>2779.2239999999997</v>
      </c>
      <c r="Y83" s="273">
        <f>SUM(Y82:$AR82)*$N83/100</f>
        <v>2514.5359999999996</v>
      </c>
      <c r="Z83" s="273">
        <f>SUM(Z82:$AR82)*$N83/100</f>
        <v>2249.848</v>
      </c>
      <c r="AA83" s="273">
        <f>SUM(AA82:$AR82)*$N83/100</f>
        <v>1985.16</v>
      </c>
      <c r="AB83" s="273">
        <f>SUM(AB82:$AR82)*$N83/100</f>
        <v>1720.4719999999998</v>
      </c>
      <c r="AC83" s="273">
        <f>SUM(AC82:$AR82)*$N83/100</f>
        <v>1455.7839999999999</v>
      </c>
      <c r="AD83" s="273">
        <f>SUM(AD82:$AR82)*$N83/100</f>
        <v>1191.096</v>
      </c>
      <c r="AE83" s="273">
        <f>SUM(AE82:$AR82)*$N83/100</f>
        <v>926.4079999999999</v>
      </c>
      <c r="AF83" s="273">
        <f>SUM(AF82:$AR82)*$N83/100</f>
        <v>661.72</v>
      </c>
      <c r="AG83" s="273">
        <f>SUM(AG82:$AR82)*$N83/100</f>
        <v>397.03199999999998</v>
      </c>
      <c r="AH83" s="273">
        <f>SUM(AH82:$AR82)*$N83/100</f>
        <v>132.34399999999999</v>
      </c>
      <c r="AI83" s="273">
        <v>0</v>
      </c>
      <c r="AJ83" s="273">
        <v>0</v>
      </c>
      <c r="AK83" s="273">
        <v>0</v>
      </c>
      <c r="AL83" s="273">
        <v>0</v>
      </c>
      <c r="AM83" s="273">
        <v>0</v>
      </c>
      <c r="AN83" s="273">
        <v>0</v>
      </c>
      <c r="AO83" s="273">
        <v>0</v>
      </c>
      <c r="AP83" s="273">
        <v>0</v>
      </c>
      <c r="AQ83" s="273">
        <v>0</v>
      </c>
      <c r="AR83" s="273">
        <v>0</v>
      </c>
      <c r="AS83" s="273"/>
      <c r="AT83" s="273"/>
      <c r="AU83" s="274">
        <f t="shared" si="6"/>
        <v>38514.653999999995</v>
      </c>
      <c r="AV83" s="261">
        <f t="shared" si="7"/>
        <v>0</v>
      </c>
      <c r="AW83" s="275">
        <f t="shared" si="8"/>
        <v>13234.399999999996</v>
      </c>
      <c r="AX83" s="276">
        <f t="shared" si="9"/>
        <v>38514.653999999995</v>
      </c>
      <c r="AZ83" s="250" t="b">
        <f t="shared" si="10"/>
        <v>1</v>
      </c>
    </row>
    <row r="84" spans="2:54" s="250" customFormat="1" outlineLevel="1" x14ac:dyDescent="0.3">
      <c r="B84" s="251" t="s">
        <v>692</v>
      </c>
      <c r="C84" s="252">
        <v>40</v>
      </c>
      <c r="D84" s="253" t="s">
        <v>931</v>
      </c>
      <c r="E84" s="254" t="s">
        <v>932</v>
      </c>
      <c r="F84" s="255" t="s">
        <v>933</v>
      </c>
      <c r="G84" s="255" t="s">
        <v>934</v>
      </c>
      <c r="H84" s="255" t="s">
        <v>935</v>
      </c>
      <c r="I84" s="255" t="s">
        <v>698</v>
      </c>
      <c r="J84" s="256">
        <v>141294</v>
      </c>
      <c r="K84" s="257">
        <v>52059</v>
      </c>
      <c r="L84" s="257"/>
      <c r="M84" s="257"/>
      <c r="N84" s="258"/>
      <c r="O84" s="258"/>
      <c r="P84" s="258"/>
      <c r="Q84" s="258" t="s">
        <v>699</v>
      </c>
      <c r="R84" s="259">
        <v>29748</v>
      </c>
      <c r="S84" s="259">
        <v>22311</v>
      </c>
      <c r="T84" s="259">
        <v>0</v>
      </c>
      <c r="U84" s="259">
        <v>0</v>
      </c>
      <c r="V84" s="259">
        <v>0</v>
      </c>
      <c r="W84" s="259">
        <v>0</v>
      </c>
      <c r="X84" s="259">
        <v>0</v>
      </c>
      <c r="Y84" s="259">
        <v>0</v>
      </c>
      <c r="Z84" s="259">
        <v>0</v>
      </c>
      <c r="AA84" s="259">
        <v>0</v>
      </c>
      <c r="AB84" s="259">
        <v>0</v>
      </c>
      <c r="AC84" s="259">
        <v>0</v>
      </c>
      <c r="AD84" s="259">
        <v>0</v>
      </c>
      <c r="AE84" s="259">
        <v>0</v>
      </c>
      <c r="AF84" s="259">
        <v>0</v>
      </c>
      <c r="AG84" s="259">
        <v>0</v>
      </c>
      <c r="AH84" s="259">
        <v>0</v>
      </c>
      <c r="AI84" s="259">
        <v>0</v>
      </c>
      <c r="AJ84" s="259">
        <v>0</v>
      </c>
      <c r="AK84" s="259">
        <v>0</v>
      </c>
      <c r="AL84" s="259">
        <v>0</v>
      </c>
      <c r="AM84" s="259">
        <v>0</v>
      </c>
      <c r="AN84" s="259">
        <v>0</v>
      </c>
      <c r="AO84" s="259">
        <v>0</v>
      </c>
      <c r="AP84" s="259">
        <v>0</v>
      </c>
      <c r="AQ84" s="259">
        <v>0</v>
      </c>
      <c r="AR84" s="259">
        <v>0</v>
      </c>
      <c r="AS84" s="259"/>
      <c r="AT84" s="259"/>
      <c r="AU84" s="260">
        <f t="shared" si="6"/>
        <v>52059</v>
      </c>
      <c r="AV84" s="261">
        <f t="shared" si="7"/>
        <v>0</v>
      </c>
      <c r="AW84" s="262">
        <f t="shared" si="8"/>
        <v>0</v>
      </c>
      <c r="AX84" s="263">
        <f t="shared" si="9"/>
        <v>52059</v>
      </c>
      <c r="AZ84" s="250" t="b">
        <f t="shared" si="10"/>
        <v>1</v>
      </c>
      <c r="BA84" s="264">
        <f>AX84-K84</f>
        <v>0</v>
      </c>
    </row>
    <row r="85" spans="2:54" outlineLevel="1" x14ac:dyDescent="0.3">
      <c r="B85" s="265" t="s">
        <v>692</v>
      </c>
      <c r="C85" s="266"/>
      <c r="D85" s="267"/>
      <c r="E85" s="268"/>
      <c r="F85" s="269"/>
      <c r="G85" s="269"/>
      <c r="H85" s="269"/>
      <c r="I85" s="269"/>
      <c r="J85" s="270"/>
      <c r="K85" s="270"/>
      <c r="L85" s="270">
        <v>0</v>
      </c>
      <c r="M85" s="270" t="s">
        <v>881</v>
      </c>
      <c r="N85" s="271">
        <f>SUM(O85:P85)</f>
        <v>0.25</v>
      </c>
      <c r="O85" s="271">
        <v>0.25</v>
      </c>
      <c r="P85" s="271">
        <f>$P$4</f>
        <v>0</v>
      </c>
      <c r="Q85" s="271" t="s">
        <v>702</v>
      </c>
      <c r="R85" s="273">
        <v>121</v>
      </c>
      <c r="S85" s="273">
        <f>SUM(S84:$AR84)*$N85/100</f>
        <v>55.777500000000003</v>
      </c>
      <c r="T85" s="273">
        <v>0</v>
      </c>
      <c r="U85" s="273">
        <v>0</v>
      </c>
      <c r="V85" s="273">
        <v>0</v>
      </c>
      <c r="W85" s="273">
        <v>0</v>
      </c>
      <c r="X85" s="273">
        <v>0</v>
      </c>
      <c r="Y85" s="273">
        <v>0</v>
      </c>
      <c r="Z85" s="273">
        <v>0</v>
      </c>
      <c r="AA85" s="273">
        <v>0</v>
      </c>
      <c r="AB85" s="273">
        <v>0</v>
      </c>
      <c r="AC85" s="273">
        <v>0</v>
      </c>
      <c r="AD85" s="273">
        <v>0</v>
      </c>
      <c r="AE85" s="273">
        <v>0</v>
      </c>
      <c r="AF85" s="273">
        <v>0</v>
      </c>
      <c r="AG85" s="273">
        <v>0</v>
      </c>
      <c r="AH85" s="273">
        <v>0</v>
      </c>
      <c r="AI85" s="273">
        <v>0</v>
      </c>
      <c r="AJ85" s="273">
        <v>0</v>
      </c>
      <c r="AK85" s="273">
        <v>0</v>
      </c>
      <c r="AL85" s="273">
        <v>0</v>
      </c>
      <c r="AM85" s="273">
        <v>0</v>
      </c>
      <c r="AN85" s="273">
        <v>0</v>
      </c>
      <c r="AO85" s="273">
        <v>0</v>
      </c>
      <c r="AP85" s="273">
        <v>0</v>
      </c>
      <c r="AQ85" s="273">
        <v>0</v>
      </c>
      <c r="AR85" s="273">
        <v>0</v>
      </c>
      <c r="AS85" s="273"/>
      <c r="AT85" s="273"/>
      <c r="AU85" s="274">
        <f t="shared" si="6"/>
        <v>176.7775</v>
      </c>
      <c r="AV85" s="261">
        <f t="shared" si="7"/>
        <v>0</v>
      </c>
      <c r="AW85" s="275">
        <f t="shared" si="8"/>
        <v>0</v>
      </c>
      <c r="AX85" s="276">
        <f t="shared" si="9"/>
        <v>176.7775</v>
      </c>
      <c r="AZ85" s="250" t="b">
        <f t="shared" si="10"/>
        <v>1</v>
      </c>
    </row>
    <row r="86" spans="2:54" s="250" customFormat="1" outlineLevel="1" x14ac:dyDescent="0.3">
      <c r="B86" s="251" t="s">
        <v>692</v>
      </c>
      <c r="C86" s="252">
        <v>41</v>
      </c>
      <c r="D86" s="253" t="s">
        <v>936</v>
      </c>
      <c r="E86" s="254" t="s">
        <v>937</v>
      </c>
      <c r="F86" s="255" t="s">
        <v>938</v>
      </c>
      <c r="G86" s="255" t="s">
        <v>939</v>
      </c>
      <c r="H86" s="255" t="s">
        <v>940</v>
      </c>
      <c r="I86" s="255" t="s">
        <v>698</v>
      </c>
      <c r="J86" s="256">
        <v>186392</v>
      </c>
      <c r="K86" s="257">
        <v>38592</v>
      </c>
      <c r="L86" s="257"/>
      <c r="M86" s="257"/>
      <c r="N86" s="258"/>
      <c r="O86" s="258"/>
      <c r="P86" s="258"/>
      <c r="Q86" s="258" t="s">
        <v>699</v>
      </c>
      <c r="R86" s="259">
        <v>15080</v>
      </c>
      <c r="S86" s="259">
        <v>8240</v>
      </c>
      <c r="T86" s="259">
        <v>8240</v>
      </c>
      <c r="U86" s="259">
        <f>8240-1208</f>
        <v>7032</v>
      </c>
      <c r="V86" s="259"/>
      <c r="W86" s="259"/>
      <c r="X86" s="259"/>
      <c r="Y86" s="259"/>
      <c r="Z86" s="259"/>
      <c r="AA86" s="259"/>
      <c r="AB86" s="259"/>
      <c r="AC86" s="259"/>
      <c r="AD86" s="259"/>
      <c r="AE86" s="259"/>
      <c r="AF86" s="259"/>
      <c r="AG86" s="259"/>
      <c r="AH86" s="259">
        <v>0</v>
      </c>
      <c r="AI86" s="259">
        <v>0</v>
      </c>
      <c r="AJ86" s="259">
        <v>0</v>
      </c>
      <c r="AK86" s="259">
        <v>0</v>
      </c>
      <c r="AL86" s="259">
        <v>0</v>
      </c>
      <c r="AM86" s="259">
        <v>0</v>
      </c>
      <c r="AN86" s="259">
        <v>0</v>
      </c>
      <c r="AO86" s="259">
        <v>0</v>
      </c>
      <c r="AP86" s="259">
        <v>0</v>
      </c>
      <c r="AQ86" s="259">
        <v>0</v>
      </c>
      <c r="AR86" s="259">
        <v>0</v>
      </c>
      <c r="AS86" s="259"/>
      <c r="AT86" s="259"/>
      <c r="AU86" s="260">
        <f t="shared" si="6"/>
        <v>38592</v>
      </c>
      <c r="AV86" s="261">
        <f t="shared" si="7"/>
        <v>0</v>
      </c>
      <c r="AW86" s="262">
        <f t="shared" si="8"/>
        <v>0</v>
      </c>
      <c r="AX86" s="263">
        <f t="shared" si="9"/>
        <v>38592</v>
      </c>
      <c r="AZ86" s="250" t="b">
        <f t="shared" si="10"/>
        <v>1</v>
      </c>
      <c r="BA86" s="264">
        <f>AX86-K86</f>
        <v>0</v>
      </c>
      <c r="BB86" s="250">
        <v>108754</v>
      </c>
    </row>
    <row r="87" spans="2:54" outlineLevel="1" x14ac:dyDescent="0.3">
      <c r="B87" s="265" t="s">
        <v>692</v>
      </c>
      <c r="C87" s="266"/>
      <c r="D87" s="267" t="s">
        <v>941</v>
      </c>
      <c r="E87" s="268"/>
      <c r="F87" s="269"/>
      <c r="G87" s="269"/>
      <c r="H87" s="269"/>
      <c r="I87" s="269"/>
      <c r="J87" s="270"/>
      <c r="K87" s="270"/>
      <c r="L87" s="270" t="s">
        <v>942</v>
      </c>
      <c r="M87" s="270"/>
      <c r="N87" s="271">
        <f>SUM(O87:P87)</f>
        <v>3.0649999999999999</v>
      </c>
      <c r="O87" s="271">
        <v>3.0649999999999999</v>
      </c>
      <c r="P87" s="271">
        <f>$P$4</f>
        <v>0</v>
      </c>
      <c r="Q87" s="271" t="s">
        <v>702</v>
      </c>
      <c r="R87" s="273">
        <v>2083.8799999999997</v>
      </c>
      <c r="S87" s="273">
        <f>SUM(S86:$AR86)*$N87/100</f>
        <v>720.64279999999997</v>
      </c>
      <c r="T87" s="273">
        <f>SUM(T86:$AR86)*$N87/100</f>
        <v>468.08679999999998</v>
      </c>
      <c r="U87" s="273">
        <f>SUM(U86:$AR86)*$N87/100</f>
        <v>215.53079999999997</v>
      </c>
      <c r="V87" s="273">
        <f>SUM(V86:$AR86)*$N87/100</f>
        <v>0</v>
      </c>
      <c r="W87" s="273">
        <f>SUM(W86:$AR86)*$N87/100</f>
        <v>0</v>
      </c>
      <c r="X87" s="273">
        <f>SUM(X86:$AR86)*$N87/100</f>
        <v>0</v>
      </c>
      <c r="Y87" s="273">
        <f>SUM(Y86:$AR86)*$N87/100</f>
        <v>0</v>
      </c>
      <c r="Z87" s="273">
        <f>SUM(Z86:$AR86)*$N87/100</f>
        <v>0</v>
      </c>
      <c r="AA87" s="273">
        <f>SUM(AA86:$AR86)*$N87/100</f>
        <v>0</v>
      </c>
      <c r="AB87" s="273">
        <f>SUM(AB86:$AR86)*$N87/100</f>
        <v>0</v>
      </c>
      <c r="AC87" s="273">
        <f>SUM(AC86:$AR86)*$N87/100</f>
        <v>0</v>
      </c>
      <c r="AD87" s="273">
        <f>SUM(AD86:$AR86)*$N87/100</f>
        <v>0</v>
      </c>
      <c r="AE87" s="273">
        <f>SUM(AE86:$AR86)*$N87/100</f>
        <v>0</v>
      </c>
      <c r="AF87" s="273">
        <f>SUM(AF86:$AR86)*$N87/100</f>
        <v>0</v>
      </c>
      <c r="AG87" s="273">
        <f>SUM(AG86:$AR86)*$N87/100</f>
        <v>0</v>
      </c>
      <c r="AH87" s="273">
        <v>0</v>
      </c>
      <c r="AI87" s="273">
        <v>0</v>
      </c>
      <c r="AJ87" s="273">
        <v>0</v>
      </c>
      <c r="AK87" s="273">
        <v>0</v>
      </c>
      <c r="AL87" s="273">
        <v>0</v>
      </c>
      <c r="AM87" s="273">
        <v>0</v>
      </c>
      <c r="AN87" s="273">
        <v>0</v>
      </c>
      <c r="AO87" s="273">
        <v>0</v>
      </c>
      <c r="AP87" s="273">
        <v>0</v>
      </c>
      <c r="AQ87" s="273">
        <v>0</v>
      </c>
      <c r="AR87" s="273">
        <v>0</v>
      </c>
      <c r="AS87" s="273"/>
      <c r="AT87" s="273"/>
      <c r="AU87" s="274">
        <f t="shared" si="6"/>
        <v>3488.1403999999998</v>
      </c>
      <c r="AV87" s="261">
        <f t="shared" si="7"/>
        <v>0</v>
      </c>
      <c r="AW87" s="275">
        <f t="shared" si="8"/>
        <v>0</v>
      </c>
      <c r="AX87" s="276">
        <f t="shared" si="9"/>
        <v>3488.1403999999998</v>
      </c>
      <c r="AZ87" s="250" t="b">
        <f t="shared" si="10"/>
        <v>1</v>
      </c>
    </row>
    <row r="88" spans="2:54" s="250" customFormat="1" outlineLevel="1" x14ac:dyDescent="0.3">
      <c r="B88" s="251" t="s">
        <v>692</v>
      </c>
      <c r="C88" s="252">
        <v>42</v>
      </c>
      <c r="D88" s="253" t="s">
        <v>943</v>
      </c>
      <c r="E88" s="254" t="s">
        <v>944</v>
      </c>
      <c r="F88" s="255" t="s">
        <v>945</v>
      </c>
      <c r="G88" s="255" t="s">
        <v>939</v>
      </c>
      <c r="H88" s="255" t="s">
        <v>946</v>
      </c>
      <c r="I88" s="255" t="s">
        <v>698</v>
      </c>
      <c r="J88" s="256">
        <v>697002</v>
      </c>
      <c r="K88" s="257">
        <v>513604</v>
      </c>
      <c r="L88" s="257"/>
      <c r="M88" s="257"/>
      <c r="N88" s="258"/>
      <c r="O88" s="258"/>
      <c r="P88" s="258"/>
      <c r="Q88" s="258" t="s">
        <v>699</v>
      </c>
      <c r="R88" s="259">
        <v>73372</v>
      </c>
      <c r="S88" s="259">
        <v>73372</v>
      </c>
      <c r="T88" s="259">
        <v>73372</v>
      </c>
      <c r="U88" s="259">
        <v>73372</v>
      </c>
      <c r="V88" s="259">
        <v>73372</v>
      </c>
      <c r="W88" s="259">
        <v>73372</v>
      </c>
      <c r="X88" s="259">
        <v>73372</v>
      </c>
      <c r="Y88" s="259">
        <v>0</v>
      </c>
      <c r="Z88" s="259">
        <v>0</v>
      </c>
      <c r="AA88" s="259">
        <v>0</v>
      </c>
      <c r="AB88" s="259">
        <v>0</v>
      </c>
      <c r="AC88" s="259">
        <v>0</v>
      </c>
      <c r="AD88" s="259">
        <v>0</v>
      </c>
      <c r="AE88" s="259">
        <v>0</v>
      </c>
      <c r="AF88" s="259">
        <v>0</v>
      </c>
      <c r="AG88" s="259">
        <v>0</v>
      </c>
      <c r="AH88" s="259">
        <v>0</v>
      </c>
      <c r="AI88" s="259">
        <v>0</v>
      </c>
      <c r="AJ88" s="259">
        <v>0</v>
      </c>
      <c r="AK88" s="259">
        <v>0</v>
      </c>
      <c r="AL88" s="259">
        <v>0</v>
      </c>
      <c r="AM88" s="259">
        <v>0</v>
      </c>
      <c r="AN88" s="259">
        <v>0</v>
      </c>
      <c r="AO88" s="259">
        <v>0</v>
      </c>
      <c r="AP88" s="259">
        <v>0</v>
      </c>
      <c r="AQ88" s="259">
        <v>0</v>
      </c>
      <c r="AR88" s="259">
        <v>0</v>
      </c>
      <c r="AS88" s="259"/>
      <c r="AT88" s="259"/>
      <c r="AU88" s="260">
        <f t="shared" si="6"/>
        <v>513604</v>
      </c>
      <c r="AV88" s="261">
        <f t="shared" si="7"/>
        <v>0</v>
      </c>
      <c r="AW88" s="262">
        <f t="shared" si="8"/>
        <v>0</v>
      </c>
      <c r="AX88" s="263">
        <f t="shared" si="9"/>
        <v>513604</v>
      </c>
      <c r="AZ88" s="250" t="b">
        <f t="shared" si="10"/>
        <v>1</v>
      </c>
      <c r="BA88" s="264">
        <f>AX88-K88</f>
        <v>0</v>
      </c>
    </row>
    <row r="89" spans="2:54" outlineLevel="1" x14ac:dyDescent="0.3">
      <c r="B89" s="265" t="s">
        <v>692</v>
      </c>
      <c r="C89" s="266"/>
      <c r="D89" s="267"/>
      <c r="E89" s="268"/>
      <c r="F89" s="269"/>
      <c r="G89" s="269"/>
      <c r="H89" s="269"/>
      <c r="I89" s="269"/>
      <c r="J89" s="270"/>
      <c r="K89" s="270"/>
      <c r="L89" s="270" t="s">
        <v>942</v>
      </c>
      <c r="M89" s="270"/>
      <c r="N89" s="271">
        <f>SUM(O89:P89)</f>
        <v>2.9209999999999998</v>
      </c>
      <c r="O89" s="271">
        <v>2.9209999999999998</v>
      </c>
      <c r="P89" s="271">
        <f>$P$4</f>
        <v>0</v>
      </c>
      <c r="Q89" s="271" t="s">
        <v>702</v>
      </c>
      <c r="R89" s="273">
        <v>16193.019999999999</v>
      </c>
      <c r="S89" s="273">
        <f>SUM(S88:$AR88)*$N89/100</f>
        <v>12859.176719999999</v>
      </c>
      <c r="T89" s="273">
        <f>SUM(T88:$AR88)*$N89/100</f>
        <v>10715.980599999999</v>
      </c>
      <c r="U89" s="273">
        <f>SUM(U88:$AR88)*$N89/100</f>
        <v>8572.7844800000003</v>
      </c>
      <c r="V89" s="273">
        <f>SUM(V88:$AR88)*$N89/100</f>
        <v>6429.5883599999997</v>
      </c>
      <c r="W89" s="273">
        <f>SUM(W88:$AR88)*$N89/100</f>
        <v>4286.3922400000001</v>
      </c>
      <c r="X89" s="273">
        <f>SUM(X88:$AR88)*$N89/100</f>
        <v>2143.1961200000001</v>
      </c>
      <c r="Y89" s="273">
        <v>0</v>
      </c>
      <c r="Z89" s="273">
        <v>0</v>
      </c>
      <c r="AA89" s="273">
        <v>0</v>
      </c>
      <c r="AB89" s="273">
        <v>0</v>
      </c>
      <c r="AC89" s="273">
        <v>0</v>
      </c>
      <c r="AD89" s="273">
        <v>0</v>
      </c>
      <c r="AE89" s="273">
        <v>0</v>
      </c>
      <c r="AF89" s="273">
        <v>0</v>
      </c>
      <c r="AG89" s="273">
        <v>0</v>
      </c>
      <c r="AH89" s="273">
        <v>0</v>
      </c>
      <c r="AI89" s="273">
        <v>0</v>
      </c>
      <c r="AJ89" s="273">
        <v>0</v>
      </c>
      <c r="AK89" s="273">
        <v>0</v>
      </c>
      <c r="AL89" s="273">
        <v>0</v>
      </c>
      <c r="AM89" s="273">
        <v>0</v>
      </c>
      <c r="AN89" s="273">
        <v>0</v>
      </c>
      <c r="AO89" s="273">
        <v>0</v>
      </c>
      <c r="AP89" s="273">
        <v>0</v>
      </c>
      <c r="AQ89" s="273">
        <v>0</v>
      </c>
      <c r="AR89" s="273">
        <v>0</v>
      </c>
      <c r="AS89" s="273"/>
      <c r="AT89" s="273"/>
      <c r="AU89" s="274">
        <f t="shared" si="6"/>
        <v>61200.138520000008</v>
      </c>
      <c r="AV89" s="261">
        <f t="shared" si="7"/>
        <v>0</v>
      </c>
      <c r="AW89" s="275">
        <f t="shared" si="8"/>
        <v>0</v>
      </c>
      <c r="AX89" s="276">
        <f t="shared" si="9"/>
        <v>61200.138520000008</v>
      </c>
      <c r="AZ89" s="250" t="b">
        <f t="shared" si="10"/>
        <v>1</v>
      </c>
    </row>
    <row r="90" spans="2:54" s="250" customFormat="1" outlineLevel="1" x14ac:dyDescent="0.3">
      <c r="B90" s="251" t="s">
        <v>692</v>
      </c>
      <c r="C90" s="252">
        <v>43</v>
      </c>
      <c r="D90" s="253" t="s">
        <v>947</v>
      </c>
      <c r="E90" s="254" t="s">
        <v>948</v>
      </c>
      <c r="F90" s="255" t="s">
        <v>949</v>
      </c>
      <c r="G90" s="255" t="s">
        <v>939</v>
      </c>
      <c r="H90" s="255" t="s">
        <v>946</v>
      </c>
      <c r="I90" s="255" t="s">
        <v>698</v>
      </c>
      <c r="J90" s="256">
        <v>559121.98</v>
      </c>
      <c r="K90" s="257">
        <v>384692</v>
      </c>
      <c r="L90" s="257"/>
      <c r="M90" s="257"/>
      <c r="N90" s="258"/>
      <c r="O90" s="258"/>
      <c r="P90" s="258"/>
      <c r="Q90" s="258" t="s">
        <v>699</v>
      </c>
      <c r="R90" s="259">
        <v>58116</v>
      </c>
      <c r="S90" s="259">
        <v>58116</v>
      </c>
      <c r="T90" s="259">
        <v>58116</v>
      </c>
      <c r="U90" s="259">
        <v>58116</v>
      </c>
      <c r="V90" s="259">
        <v>58116</v>
      </c>
      <c r="W90" s="259">
        <v>58116</v>
      </c>
      <c r="X90" s="259">
        <v>35995.86</v>
      </c>
      <c r="Y90" s="259">
        <v>0</v>
      </c>
      <c r="Z90" s="259">
        <v>0</v>
      </c>
      <c r="AA90" s="259">
        <v>0</v>
      </c>
      <c r="AB90" s="259">
        <v>0</v>
      </c>
      <c r="AC90" s="259">
        <v>0</v>
      </c>
      <c r="AD90" s="259">
        <v>0</v>
      </c>
      <c r="AE90" s="259">
        <v>0</v>
      </c>
      <c r="AF90" s="259">
        <v>0</v>
      </c>
      <c r="AG90" s="259">
        <v>0</v>
      </c>
      <c r="AH90" s="259">
        <v>0</v>
      </c>
      <c r="AI90" s="259">
        <v>0</v>
      </c>
      <c r="AJ90" s="259">
        <v>0</v>
      </c>
      <c r="AK90" s="259">
        <v>0</v>
      </c>
      <c r="AL90" s="259">
        <v>0</v>
      </c>
      <c r="AM90" s="259">
        <v>0</v>
      </c>
      <c r="AN90" s="259">
        <v>0</v>
      </c>
      <c r="AO90" s="259">
        <v>0</v>
      </c>
      <c r="AP90" s="259">
        <v>0</v>
      </c>
      <c r="AQ90" s="259">
        <v>0</v>
      </c>
      <c r="AR90" s="259">
        <v>0</v>
      </c>
      <c r="AS90" s="259"/>
      <c r="AT90" s="259"/>
      <c r="AU90" s="260">
        <f t="shared" si="6"/>
        <v>384691.86</v>
      </c>
      <c r="AV90" s="261">
        <f t="shared" si="7"/>
        <v>0</v>
      </c>
      <c r="AW90" s="262">
        <f t="shared" si="8"/>
        <v>0</v>
      </c>
      <c r="AX90" s="263">
        <f t="shared" si="9"/>
        <v>384691.86</v>
      </c>
      <c r="AZ90" s="250" t="b">
        <f t="shared" si="10"/>
        <v>1</v>
      </c>
      <c r="BA90" s="264">
        <f>AX90-K90</f>
        <v>-0.14000000001396984</v>
      </c>
    </row>
    <row r="91" spans="2:54" outlineLevel="1" x14ac:dyDescent="0.3">
      <c r="B91" s="265" t="s">
        <v>692</v>
      </c>
      <c r="C91" s="266"/>
      <c r="D91" s="267"/>
      <c r="E91" s="268"/>
      <c r="F91" s="269"/>
      <c r="G91" s="269"/>
      <c r="H91" s="269"/>
      <c r="I91" s="269"/>
      <c r="J91" s="270"/>
      <c r="K91" s="270"/>
      <c r="L91" s="270" t="s">
        <v>942</v>
      </c>
      <c r="M91" s="270"/>
      <c r="N91" s="271">
        <f>SUM(O91:P91)</f>
        <v>2.9209999999999998</v>
      </c>
      <c r="O91" s="271">
        <v>2.9209999999999998</v>
      </c>
      <c r="P91" s="271">
        <f>$P$4</f>
        <v>0</v>
      </c>
      <c r="Q91" s="271" t="s">
        <v>702</v>
      </c>
      <c r="R91" s="273">
        <v>12116.07</v>
      </c>
      <c r="S91" s="273">
        <f>SUM(S90:$AR90)*$N91/100</f>
        <v>9539.2808705999996</v>
      </c>
      <c r="T91" s="273">
        <f>SUM(T90:$AR90)*$N91/100</f>
        <v>7841.7125105999994</v>
      </c>
      <c r="U91" s="273">
        <f>SUM(U90:$AR90)*$N91/100</f>
        <v>6144.1441505999992</v>
      </c>
      <c r="V91" s="273">
        <f>SUM(V90:$AR90)*$N91/100</f>
        <v>4446.5757905999999</v>
      </c>
      <c r="W91" s="273">
        <f>SUM(W90:$AR90)*$N91/100</f>
        <v>2749.0074306000001</v>
      </c>
      <c r="X91" s="273">
        <f>SUM(X90:$AR90)*$N91/100</f>
        <v>1051.4390705999999</v>
      </c>
      <c r="Y91" s="273">
        <v>0</v>
      </c>
      <c r="Z91" s="273">
        <v>0</v>
      </c>
      <c r="AA91" s="273">
        <v>0</v>
      </c>
      <c r="AB91" s="273">
        <v>0</v>
      </c>
      <c r="AC91" s="273">
        <v>0</v>
      </c>
      <c r="AD91" s="273">
        <v>0</v>
      </c>
      <c r="AE91" s="273">
        <v>0</v>
      </c>
      <c r="AF91" s="273">
        <v>0</v>
      </c>
      <c r="AG91" s="273">
        <v>0</v>
      </c>
      <c r="AH91" s="273">
        <v>0</v>
      </c>
      <c r="AI91" s="273">
        <v>0</v>
      </c>
      <c r="AJ91" s="273">
        <v>0</v>
      </c>
      <c r="AK91" s="273">
        <v>0</v>
      </c>
      <c r="AL91" s="273">
        <v>0</v>
      </c>
      <c r="AM91" s="273">
        <v>0</v>
      </c>
      <c r="AN91" s="273">
        <v>0</v>
      </c>
      <c r="AO91" s="273">
        <v>0</v>
      </c>
      <c r="AP91" s="273">
        <v>0</v>
      </c>
      <c r="AQ91" s="273">
        <v>0</v>
      </c>
      <c r="AR91" s="273">
        <v>0</v>
      </c>
      <c r="AS91" s="273"/>
      <c r="AT91" s="273"/>
      <c r="AU91" s="274">
        <f t="shared" si="6"/>
        <v>43888.229823599999</v>
      </c>
      <c r="AV91" s="261">
        <f t="shared" si="7"/>
        <v>0</v>
      </c>
      <c r="AW91" s="275">
        <f t="shared" si="8"/>
        <v>0</v>
      </c>
      <c r="AX91" s="276">
        <f t="shared" si="9"/>
        <v>43888.229823599999</v>
      </c>
      <c r="AZ91" s="250" t="b">
        <f t="shared" si="10"/>
        <v>1</v>
      </c>
    </row>
    <row r="92" spans="2:54" s="250" customFormat="1" outlineLevel="1" x14ac:dyDescent="0.3">
      <c r="B92" s="251" t="s">
        <v>737</v>
      </c>
      <c r="C92" s="252">
        <v>44</v>
      </c>
      <c r="D92" s="253" t="s">
        <v>950</v>
      </c>
      <c r="E92" s="254" t="s">
        <v>951</v>
      </c>
      <c r="F92" s="255" t="s">
        <v>952</v>
      </c>
      <c r="G92" s="255" t="s">
        <v>953</v>
      </c>
      <c r="H92" s="255" t="s">
        <v>954</v>
      </c>
      <c r="I92" s="255" t="s">
        <v>698</v>
      </c>
      <c r="J92" s="256">
        <v>247902</v>
      </c>
      <c r="K92" s="257">
        <v>123952</v>
      </c>
      <c r="L92" s="257"/>
      <c r="M92" s="257"/>
      <c r="N92" s="258"/>
      <c r="O92" s="258"/>
      <c r="P92" s="258"/>
      <c r="Q92" s="258" t="s">
        <v>699</v>
      </c>
      <c r="R92" s="259">
        <v>61976</v>
      </c>
      <c r="S92" s="259">
        <v>61976</v>
      </c>
      <c r="T92" s="259">
        <v>0</v>
      </c>
      <c r="U92" s="259">
        <v>0</v>
      </c>
      <c r="V92" s="259">
        <v>0</v>
      </c>
      <c r="W92" s="259">
        <v>0</v>
      </c>
      <c r="X92" s="259">
        <v>0</v>
      </c>
      <c r="Y92" s="259">
        <v>0</v>
      </c>
      <c r="Z92" s="259">
        <v>0</v>
      </c>
      <c r="AA92" s="259">
        <v>0</v>
      </c>
      <c r="AB92" s="259">
        <v>0</v>
      </c>
      <c r="AC92" s="259">
        <v>0</v>
      </c>
      <c r="AD92" s="259">
        <v>0</v>
      </c>
      <c r="AE92" s="259">
        <v>0</v>
      </c>
      <c r="AF92" s="259">
        <v>0</v>
      </c>
      <c r="AG92" s="259">
        <v>0</v>
      </c>
      <c r="AH92" s="259">
        <v>0</v>
      </c>
      <c r="AI92" s="259">
        <v>0</v>
      </c>
      <c r="AJ92" s="259">
        <v>0</v>
      </c>
      <c r="AK92" s="259">
        <v>0</v>
      </c>
      <c r="AL92" s="259">
        <v>0</v>
      </c>
      <c r="AM92" s="259">
        <v>0</v>
      </c>
      <c r="AN92" s="259">
        <v>0</v>
      </c>
      <c r="AO92" s="259">
        <v>0</v>
      </c>
      <c r="AP92" s="259">
        <v>0</v>
      </c>
      <c r="AQ92" s="259">
        <v>0</v>
      </c>
      <c r="AR92" s="259">
        <v>0</v>
      </c>
      <c r="AS92" s="259"/>
      <c r="AT92" s="259"/>
      <c r="AU92" s="260">
        <f t="shared" si="6"/>
        <v>123952</v>
      </c>
      <c r="AV92" s="261">
        <f t="shared" si="7"/>
        <v>0</v>
      </c>
      <c r="AW92" s="262">
        <f t="shared" si="8"/>
        <v>0</v>
      </c>
      <c r="AX92" s="263">
        <f t="shared" si="9"/>
        <v>123952</v>
      </c>
      <c r="AZ92" s="250" t="b">
        <f t="shared" si="10"/>
        <v>1</v>
      </c>
      <c r="BA92" s="264">
        <f>AX92-K92</f>
        <v>0</v>
      </c>
    </row>
    <row r="93" spans="2:54" outlineLevel="1" x14ac:dyDescent="0.3">
      <c r="B93" s="265" t="s">
        <v>737</v>
      </c>
      <c r="C93" s="266"/>
      <c r="D93" s="267" t="s">
        <v>955</v>
      </c>
      <c r="E93" s="268"/>
      <c r="F93" s="269"/>
      <c r="G93" s="269"/>
      <c r="H93" s="269"/>
      <c r="I93" s="269"/>
      <c r="J93" s="270"/>
      <c r="K93" s="270"/>
      <c r="L93" s="270" t="s">
        <v>956</v>
      </c>
      <c r="M93" s="270"/>
      <c r="N93" s="271">
        <f>SUM(O93:P93)</f>
        <v>2.919</v>
      </c>
      <c r="O93" s="271">
        <v>2.919</v>
      </c>
      <c r="P93" s="271">
        <f>$P$4</f>
        <v>0</v>
      </c>
      <c r="Q93" s="271" t="s">
        <v>702</v>
      </c>
      <c r="R93" s="273">
        <v>3734.49</v>
      </c>
      <c r="S93" s="273">
        <f>SUM(S92:$AR92)*$N93/100</f>
        <v>1809.07944</v>
      </c>
      <c r="T93" s="273">
        <f>SUM(T92:$AR92)*$N93/100</f>
        <v>0</v>
      </c>
      <c r="U93" s="273">
        <v>0</v>
      </c>
      <c r="V93" s="273">
        <v>0</v>
      </c>
      <c r="W93" s="273">
        <v>0</v>
      </c>
      <c r="X93" s="273">
        <v>0</v>
      </c>
      <c r="Y93" s="273">
        <v>0</v>
      </c>
      <c r="Z93" s="273">
        <v>0</v>
      </c>
      <c r="AA93" s="273">
        <v>0</v>
      </c>
      <c r="AB93" s="273">
        <v>0</v>
      </c>
      <c r="AC93" s="273">
        <v>0</v>
      </c>
      <c r="AD93" s="273">
        <v>0</v>
      </c>
      <c r="AE93" s="273">
        <v>0</v>
      </c>
      <c r="AF93" s="273">
        <v>0</v>
      </c>
      <c r="AG93" s="273">
        <v>0</v>
      </c>
      <c r="AH93" s="273">
        <v>0</v>
      </c>
      <c r="AI93" s="273">
        <v>0</v>
      </c>
      <c r="AJ93" s="273">
        <v>0</v>
      </c>
      <c r="AK93" s="273">
        <v>0</v>
      </c>
      <c r="AL93" s="273">
        <v>0</v>
      </c>
      <c r="AM93" s="273">
        <v>0</v>
      </c>
      <c r="AN93" s="273">
        <v>0</v>
      </c>
      <c r="AO93" s="273">
        <v>0</v>
      </c>
      <c r="AP93" s="273">
        <v>0</v>
      </c>
      <c r="AQ93" s="273">
        <v>0</v>
      </c>
      <c r="AR93" s="273">
        <v>0</v>
      </c>
      <c r="AS93" s="273"/>
      <c r="AT93" s="273"/>
      <c r="AU93" s="274">
        <f t="shared" si="6"/>
        <v>5543.5694399999993</v>
      </c>
      <c r="AV93" s="261">
        <f t="shared" si="7"/>
        <v>0</v>
      </c>
      <c r="AW93" s="275">
        <f t="shared" si="8"/>
        <v>0</v>
      </c>
      <c r="AX93" s="276">
        <f t="shared" si="9"/>
        <v>5543.5694399999993</v>
      </c>
      <c r="AZ93" s="250" t="b">
        <f t="shared" si="10"/>
        <v>1</v>
      </c>
    </row>
    <row r="94" spans="2:54" s="250" customFormat="1" outlineLevel="1" x14ac:dyDescent="0.3">
      <c r="B94" s="251" t="s">
        <v>737</v>
      </c>
      <c r="C94" s="252">
        <v>45</v>
      </c>
      <c r="D94" s="253" t="s">
        <v>957</v>
      </c>
      <c r="E94" s="254" t="s">
        <v>958</v>
      </c>
      <c r="F94" s="255" t="s">
        <v>959</v>
      </c>
      <c r="G94" s="255" t="s">
        <v>960</v>
      </c>
      <c r="H94" s="255" t="s">
        <v>961</v>
      </c>
      <c r="I94" s="255" t="s">
        <v>698</v>
      </c>
      <c r="J94" s="256">
        <v>178121</v>
      </c>
      <c r="K94" s="257">
        <v>80784</v>
      </c>
      <c r="L94" s="257"/>
      <c r="M94" s="257"/>
      <c r="N94" s="258"/>
      <c r="O94" s="258"/>
      <c r="P94" s="258"/>
      <c r="Q94" s="258" t="s">
        <v>699</v>
      </c>
      <c r="R94" s="259">
        <v>12500</v>
      </c>
      <c r="S94" s="259">
        <v>12500</v>
      </c>
      <c r="T94" s="259">
        <v>12500</v>
      </c>
      <c r="U94" s="259">
        <v>12500</v>
      </c>
      <c r="V94" s="259">
        <v>12500</v>
      </c>
      <c r="W94" s="259">
        <v>12500</v>
      </c>
      <c r="X94" s="259">
        <v>5783.52</v>
      </c>
      <c r="Y94" s="259">
        <v>0</v>
      </c>
      <c r="Z94" s="259">
        <v>0</v>
      </c>
      <c r="AA94" s="259">
        <v>0</v>
      </c>
      <c r="AB94" s="259">
        <v>0</v>
      </c>
      <c r="AC94" s="259">
        <v>0</v>
      </c>
      <c r="AD94" s="259">
        <v>0</v>
      </c>
      <c r="AE94" s="259">
        <v>0</v>
      </c>
      <c r="AF94" s="259">
        <v>0</v>
      </c>
      <c r="AG94" s="259">
        <v>0</v>
      </c>
      <c r="AH94" s="259">
        <v>0</v>
      </c>
      <c r="AI94" s="259">
        <v>0</v>
      </c>
      <c r="AJ94" s="259">
        <v>0</v>
      </c>
      <c r="AK94" s="259">
        <v>0</v>
      </c>
      <c r="AL94" s="259">
        <v>0</v>
      </c>
      <c r="AM94" s="259">
        <v>0</v>
      </c>
      <c r="AN94" s="259">
        <v>0</v>
      </c>
      <c r="AO94" s="259">
        <v>0</v>
      </c>
      <c r="AP94" s="259">
        <v>0</v>
      </c>
      <c r="AQ94" s="259">
        <v>0</v>
      </c>
      <c r="AR94" s="259">
        <v>0</v>
      </c>
      <c r="AS94" s="259"/>
      <c r="AT94" s="259"/>
      <c r="AU94" s="260">
        <f t="shared" si="6"/>
        <v>80783.520000000004</v>
      </c>
      <c r="AV94" s="261">
        <f t="shared" si="7"/>
        <v>0</v>
      </c>
      <c r="AW94" s="262">
        <f t="shared" si="8"/>
        <v>0</v>
      </c>
      <c r="AX94" s="263">
        <f t="shared" si="9"/>
        <v>80783.520000000004</v>
      </c>
      <c r="AZ94" s="250" t="b">
        <f t="shared" si="10"/>
        <v>1</v>
      </c>
      <c r="BA94" s="264">
        <f>AX94-K94</f>
        <v>-0.47999999999592546</v>
      </c>
    </row>
    <row r="95" spans="2:54" outlineLevel="1" x14ac:dyDescent="0.3">
      <c r="B95" s="265" t="s">
        <v>737</v>
      </c>
      <c r="C95" s="266"/>
      <c r="D95" s="267" t="s">
        <v>962</v>
      </c>
      <c r="E95" s="268"/>
      <c r="F95" s="269"/>
      <c r="G95" s="269"/>
      <c r="H95" s="269"/>
      <c r="I95" s="269"/>
      <c r="J95" s="270"/>
      <c r="K95" s="270"/>
      <c r="L95" s="270" t="s">
        <v>963</v>
      </c>
      <c r="M95" s="270"/>
      <c r="N95" s="271">
        <f>SUM(O95:P95)</f>
        <v>3.55</v>
      </c>
      <c r="O95" s="272">
        <v>3.55</v>
      </c>
      <c r="P95" s="271">
        <f>$P$4</f>
        <v>0</v>
      </c>
      <c r="Q95" s="271" t="s">
        <v>702</v>
      </c>
      <c r="R95" s="273">
        <v>2654.5200000000004</v>
      </c>
      <c r="S95" s="273">
        <f>SUM(S94:$AR94)*$N95/100</f>
        <v>2424.0649600000002</v>
      </c>
      <c r="T95" s="273">
        <f>SUM(T94:$AR94)*$N95/100</f>
        <v>1980.3149600000002</v>
      </c>
      <c r="U95" s="273">
        <f>SUM(U94:$AR94)*$N95/100</f>
        <v>1536.5649600000002</v>
      </c>
      <c r="V95" s="273">
        <f>SUM(V94:$AR94)*$N95/100</f>
        <v>1092.8149599999999</v>
      </c>
      <c r="W95" s="273">
        <f>SUM(W94:$AR94)*$N95/100</f>
        <v>649.06496000000004</v>
      </c>
      <c r="X95" s="273">
        <f>SUM(X94:$AR94)*$N95/100</f>
        <v>205.31495999999999</v>
      </c>
      <c r="Y95" s="273">
        <v>0</v>
      </c>
      <c r="Z95" s="273">
        <v>0</v>
      </c>
      <c r="AA95" s="273">
        <v>0</v>
      </c>
      <c r="AB95" s="273">
        <v>0</v>
      </c>
      <c r="AC95" s="273">
        <v>0</v>
      </c>
      <c r="AD95" s="273">
        <v>0</v>
      </c>
      <c r="AE95" s="273">
        <v>0</v>
      </c>
      <c r="AF95" s="273">
        <v>0</v>
      </c>
      <c r="AG95" s="273">
        <v>0</v>
      </c>
      <c r="AH95" s="273">
        <v>0</v>
      </c>
      <c r="AI95" s="273">
        <v>0</v>
      </c>
      <c r="AJ95" s="273">
        <v>0</v>
      </c>
      <c r="AK95" s="273">
        <v>0</v>
      </c>
      <c r="AL95" s="273">
        <v>0</v>
      </c>
      <c r="AM95" s="273">
        <v>0</v>
      </c>
      <c r="AN95" s="273">
        <v>0</v>
      </c>
      <c r="AO95" s="273">
        <v>0</v>
      </c>
      <c r="AP95" s="273">
        <v>0</v>
      </c>
      <c r="AQ95" s="273">
        <v>0</v>
      </c>
      <c r="AR95" s="273">
        <v>0</v>
      </c>
      <c r="AS95" s="273"/>
      <c r="AT95" s="273"/>
      <c r="AU95" s="274">
        <f t="shared" si="6"/>
        <v>10542.659759999999</v>
      </c>
      <c r="AV95" s="261">
        <f t="shared" si="7"/>
        <v>0</v>
      </c>
      <c r="AW95" s="275">
        <f t="shared" si="8"/>
        <v>0</v>
      </c>
      <c r="AX95" s="276">
        <f t="shared" si="9"/>
        <v>10542.659759999999</v>
      </c>
      <c r="AZ95" s="250" t="b">
        <f t="shared" si="10"/>
        <v>1</v>
      </c>
    </row>
    <row r="96" spans="2:54" s="250" customFormat="1" outlineLevel="1" x14ac:dyDescent="0.3">
      <c r="B96" s="251" t="s">
        <v>692</v>
      </c>
      <c r="C96" s="252">
        <v>46</v>
      </c>
      <c r="D96" s="253" t="s">
        <v>964</v>
      </c>
      <c r="E96" s="254" t="s">
        <v>965</v>
      </c>
      <c r="F96" s="255" t="s">
        <v>966</v>
      </c>
      <c r="G96" s="255" t="s">
        <v>967</v>
      </c>
      <c r="H96" s="255" t="s">
        <v>968</v>
      </c>
      <c r="I96" s="255" t="s">
        <v>698</v>
      </c>
      <c r="J96" s="256">
        <v>1230506</v>
      </c>
      <c r="K96" s="257">
        <v>993334</v>
      </c>
      <c r="L96" s="257"/>
      <c r="M96" s="257"/>
      <c r="N96" s="258"/>
      <c r="O96" s="258"/>
      <c r="P96" s="258"/>
      <c r="Q96" s="258" t="s">
        <v>699</v>
      </c>
      <c r="R96" s="259">
        <f>86352+191255</f>
        <v>277607</v>
      </c>
      <c r="S96" s="259">
        <f>21588*4</f>
        <v>86352</v>
      </c>
      <c r="T96" s="259">
        <v>86352</v>
      </c>
      <c r="U96" s="259">
        <v>86352</v>
      </c>
      <c r="V96" s="259">
        <v>86352</v>
      </c>
      <c r="W96" s="259">
        <v>86352</v>
      </c>
      <c r="X96" s="259">
        <v>86352</v>
      </c>
      <c r="Y96" s="259">
        <v>86352</v>
      </c>
      <c r="Z96" s="259">
        <v>86352</v>
      </c>
      <c r="AA96" s="259">
        <f>21588+3324</f>
        <v>24912</v>
      </c>
      <c r="AB96" s="259"/>
      <c r="AC96" s="259"/>
      <c r="AD96" s="259"/>
      <c r="AE96" s="259">
        <v>0</v>
      </c>
      <c r="AF96" s="259">
        <v>0</v>
      </c>
      <c r="AG96" s="259">
        <v>0</v>
      </c>
      <c r="AH96" s="259">
        <v>0</v>
      </c>
      <c r="AI96" s="259">
        <v>0</v>
      </c>
      <c r="AJ96" s="259">
        <v>0</v>
      </c>
      <c r="AK96" s="259">
        <v>0</v>
      </c>
      <c r="AL96" s="259">
        <v>0</v>
      </c>
      <c r="AM96" s="259">
        <v>0</v>
      </c>
      <c r="AN96" s="259">
        <v>0</v>
      </c>
      <c r="AO96" s="259">
        <v>0</v>
      </c>
      <c r="AP96" s="259">
        <v>0</v>
      </c>
      <c r="AQ96" s="259">
        <v>0</v>
      </c>
      <c r="AR96" s="259">
        <v>0</v>
      </c>
      <c r="AS96" s="259"/>
      <c r="AT96" s="259"/>
      <c r="AU96" s="260">
        <f t="shared" si="6"/>
        <v>993335</v>
      </c>
      <c r="AV96" s="261">
        <f t="shared" si="7"/>
        <v>0</v>
      </c>
      <c r="AW96" s="262">
        <f t="shared" si="8"/>
        <v>197616</v>
      </c>
      <c r="AX96" s="263">
        <f t="shared" si="9"/>
        <v>993335</v>
      </c>
      <c r="AZ96" s="250" t="b">
        <f t="shared" si="10"/>
        <v>1</v>
      </c>
      <c r="BA96" s="264">
        <f>AX96-K96</f>
        <v>1</v>
      </c>
    </row>
    <row r="97" spans="2:53" outlineLevel="1" x14ac:dyDescent="0.3">
      <c r="B97" s="265" t="s">
        <v>692</v>
      </c>
      <c r="C97" s="266"/>
      <c r="D97" s="267" t="s">
        <v>969</v>
      </c>
      <c r="E97" s="268"/>
      <c r="F97" s="269"/>
      <c r="G97" s="269"/>
      <c r="H97" s="269"/>
      <c r="I97" s="269"/>
      <c r="J97" s="270"/>
      <c r="K97" s="270"/>
      <c r="L97" s="270" t="s">
        <v>970</v>
      </c>
      <c r="M97" s="270"/>
      <c r="N97" s="271">
        <f>SUM(O97:P97)</f>
        <v>4.25</v>
      </c>
      <c r="O97" s="272">
        <v>4.25</v>
      </c>
      <c r="P97" s="271">
        <f>$P$4</f>
        <v>0</v>
      </c>
      <c r="Q97" s="271" t="s">
        <v>702</v>
      </c>
      <c r="R97" s="273">
        <v>41747.07</v>
      </c>
      <c r="S97" s="273">
        <f>SUM(S96:$AR96)*$N97/100</f>
        <v>30418.44</v>
      </c>
      <c r="T97" s="273">
        <f>SUM(T96:$AR96)*$N97/100</f>
        <v>26748.48</v>
      </c>
      <c r="U97" s="273">
        <f>SUM(U96:$AR96)*$N97/100</f>
        <v>23078.52</v>
      </c>
      <c r="V97" s="273">
        <f>SUM(V96:$AR96)*$N97/100</f>
        <v>19408.560000000001</v>
      </c>
      <c r="W97" s="273">
        <f>SUM(W96:$AR96)*$N97/100</f>
        <v>15738.6</v>
      </c>
      <c r="X97" s="273">
        <f>SUM(X96:$AR96)*$N97/100</f>
        <v>12068.64</v>
      </c>
      <c r="Y97" s="273">
        <f>SUM(Y96:$AR96)*$N97/100</f>
        <v>8398.68</v>
      </c>
      <c r="Z97" s="273">
        <f>SUM(Z96:$AR96)*$N97/100</f>
        <v>4728.72</v>
      </c>
      <c r="AA97" s="273">
        <f>SUM(AA96:$AR96)*$N97/100</f>
        <v>1058.76</v>
      </c>
      <c r="AB97" s="273">
        <f>SUM(AB96:$AR96)*$N97/100</f>
        <v>0</v>
      </c>
      <c r="AC97" s="273">
        <f>SUM(AC96:$AR96)*$N97/100</f>
        <v>0</v>
      </c>
      <c r="AD97" s="273">
        <f>SUM(AD96:$AR96)*$N97/100</f>
        <v>0</v>
      </c>
      <c r="AE97" s="273">
        <v>0</v>
      </c>
      <c r="AF97" s="273">
        <v>0</v>
      </c>
      <c r="AG97" s="273">
        <v>0</v>
      </c>
      <c r="AH97" s="273">
        <v>0</v>
      </c>
      <c r="AI97" s="273">
        <v>0</v>
      </c>
      <c r="AJ97" s="273">
        <v>0</v>
      </c>
      <c r="AK97" s="273">
        <v>0</v>
      </c>
      <c r="AL97" s="273">
        <v>0</v>
      </c>
      <c r="AM97" s="273">
        <v>0</v>
      </c>
      <c r="AN97" s="273">
        <v>0</v>
      </c>
      <c r="AO97" s="273">
        <v>0</v>
      </c>
      <c r="AP97" s="273">
        <v>0</v>
      </c>
      <c r="AQ97" s="273">
        <v>0</v>
      </c>
      <c r="AR97" s="273">
        <v>0</v>
      </c>
      <c r="AS97" s="273"/>
      <c r="AT97" s="273"/>
      <c r="AU97" s="274">
        <f t="shared" si="6"/>
        <v>183394.47</v>
      </c>
      <c r="AV97" s="261">
        <f t="shared" si="7"/>
        <v>0</v>
      </c>
      <c r="AW97" s="275">
        <f t="shared" si="8"/>
        <v>14186.160000000002</v>
      </c>
      <c r="AX97" s="276">
        <f t="shared" si="9"/>
        <v>183394.47</v>
      </c>
      <c r="AZ97" s="250" t="b">
        <f t="shared" si="10"/>
        <v>1</v>
      </c>
    </row>
    <row r="98" spans="2:53" s="250" customFormat="1" outlineLevel="1" x14ac:dyDescent="0.3">
      <c r="B98" s="251" t="s">
        <v>692</v>
      </c>
      <c r="C98" s="252">
        <v>47</v>
      </c>
      <c r="D98" s="253" t="s">
        <v>971</v>
      </c>
      <c r="E98" s="254" t="s">
        <v>972</v>
      </c>
      <c r="F98" s="255" t="s">
        <v>973</v>
      </c>
      <c r="G98" s="255" t="s">
        <v>974</v>
      </c>
      <c r="H98" s="255" t="s">
        <v>975</v>
      </c>
      <c r="I98" s="255" t="s">
        <v>698</v>
      </c>
      <c r="J98" s="256">
        <v>156436.10999999999</v>
      </c>
      <c r="K98" s="257">
        <v>82289</v>
      </c>
      <c r="L98" s="257"/>
      <c r="M98" s="257"/>
      <c r="N98" s="258"/>
      <c r="O98" s="258"/>
      <c r="P98" s="258"/>
      <c r="Q98" s="258" t="s">
        <v>699</v>
      </c>
      <c r="R98" s="259">
        <v>37076</v>
      </c>
      <c r="S98" s="259">
        <v>37076</v>
      </c>
      <c r="T98" s="259">
        <v>8137.11</v>
      </c>
      <c r="U98" s="259">
        <v>0</v>
      </c>
      <c r="V98" s="259">
        <v>0</v>
      </c>
      <c r="W98" s="259">
        <v>0</v>
      </c>
      <c r="X98" s="259">
        <v>0</v>
      </c>
      <c r="Y98" s="259">
        <v>0</v>
      </c>
      <c r="Z98" s="259">
        <v>0</v>
      </c>
      <c r="AA98" s="259">
        <v>0</v>
      </c>
      <c r="AB98" s="259">
        <v>0</v>
      </c>
      <c r="AC98" s="259">
        <v>0</v>
      </c>
      <c r="AD98" s="259">
        <v>0</v>
      </c>
      <c r="AE98" s="259">
        <v>0</v>
      </c>
      <c r="AF98" s="259">
        <v>0</v>
      </c>
      <c r="AG98" s="259">
        <v>0</v>
      </c>
      <c r="AH98" s="259">
        <v>0</v>
      </c>
      <c r="AI98" s="259">
        <v>0</v>
      </c>
      <c r="AJ98" s="259">
        <v>0</v>
      </c>
      <c r="AK98" s="259">
        <v>0</v>
      </c>
      <c r="AL98" s="259">
        <v>0</v>
      </c>
      <c r="AM98" s="259">
        <v>0</v>
      </c>
      <c r="AN98" s="259">
        <v>0</v>
      </c>
      <c r="AO98" s="259">
        <v>0</v>
      </c>
      <c r="AP98" s="259">
        <v>0</v>
      </c>
      <c r="AQ98" s="259">
        <v>0</v>
      </c>
      <c r="AR98" s="259">
        <v>0</v>
      </c>
      <c r="AS98" s="259"/>
      <c r="AT98" s="259"/>
      <c r="AU98" s="260">
        <f t="shared" si="6"/>
        <v>82289.11</v>
      </c>
      <c r="AV98" s="261">
        <f t="shared" si="7"/>
        <v>0</v>
      </c>
      <c r="AW98" s="262">
        <f t="shared" si="8"/>
        <v>0</v>
      </c>
      <c r="AX98" s="263">
        <f t="shared" si="9"/>
        <v>82289.11</v>
      </c>
      <c r="AZ98" s="250" t="b">
        <f t="shared" si="10"/>
        <v>1</v>
      </c>
      <c r="BA98" s="264">
        <f>AX98-K98</f>
        <v>0.11000000000058208</v>
      </c>
    </row>
    <row r="99" spans="2:53" outlineLevel="1" x14ac:dyDescent="0.3">
      <c r="B99" s="265" t="s">
        <v>692</v>
      </c>
      <c r="C99" s="266"/>
      <c r="D99" s="267"/>
      <c r="E99" s="268"/>
      <c r="F99" s="269"/>
      <c r="G99" s="269"/>
      <c r="H99" s="269"/>
      <c r="I99" s="269"/>
      <c r="J99" s="270"/>
      <c r="K99" s="270"/>
      <c r="L99" s="270" t="s">
        <v>976</v>
      </c>
      <c r="M99" s="270"/>
      <c r="N99" s="271">
        <f>SUM(O99:P99)</f>
        <v>4.4960000000000004</v>
      </c>
      <c r="O99" s="271">
        <v>4.4960000000000004</v>
      </c>
      <c r="P99" s="271">
        <f>$P$4</f>
        <v>0</v>
      </c>
      <c r="Q99" s="271" t="s">
        <v>702</v>
      </c>
      <c r="R99" s="273">
        <v>3311.9199999999996</v>
      </c>
      <c r="S99" s="273">
        <f>SUM(S98:$AR98)*$N99/100</f>
        <v>2032.7814256000004</v>
      </c>
      <c r="T99" s="273">
        <f>SUM(T98:$AR98)*$N99/100</f>
        <v>365.84446560000004</v>
      </c>
      <c r="U99" s="273">
        <v>0</v>
      </c>
      <c r="V99" s="273">
        <v>0</v>
      </c>
      <c r="W99" s="273">
        <v>0</v>
      </c>
      <c r="X99" s="273">
        <v>0</v>
      </c>
      <c r="Y99" s="273">
        <v>0</v>
      </c>
      <c r="Z99" s="273">
        <v>0</v>
      </c>
      <c r="AA99" s="273">
        <v>0</v>
      </c>
      <c r="AB99" s="273">
        <v>0</v>
      </c>
      <c r="AC99" s="273">
        <v>0</v>
      </c>
      <c r="AD99" s="273">
        <v>0</v>
      </c>
      <c r="AE99" s="273">
        <v>0</v>
      </c>
      <c r="AF99" s="273">
        <v>0</v>
      </c>
      <c r="AG99" s="273">
        <v>0</v>
      </c>
      <c r="AH99" s="273">
        <v>0</v>
      </c>
      <c r="AI99" s="273">
        <v>0</v>
      </c>
      <c r="AJ99" s="273">
        <v>0</v>
      </c>
      <c r="AK99" s="273">
        <v>0</v>
      </c>
      <c r="AL99" s="273">
        <v>0</v>
      </c>
      <c r="AM99" s="273">
        <v>0</v>
      </c>
      <c r="AN99" s="273">
        <v>0</v>
      </c>
      <c r="AO99" s="273">
        <v>0</v>
      </c>
      <c r="AP99" s="273">
        <v>0</v>
      </c>
      <c r="AQ99" s="273">
        <v>0</v>
      </c>
      <c r="AR99" s="273">
        <v>0</v>
      </c>
      <c r="AS99" s="273"/>
      <c r="AT99" s="273"/>
      <c r="AU99" s="274">
        <f t="shared" si="6"/>
        <v>5710.5458912000004</v>
      </c>
      <c r="AV99" s="261">
        <f t="shared" si="7"/>
        <v>0</v>
      </c>
      <c r="AW99" s="275">
        <f t="shared" si="8"/>
        <v>0</v>
      </c>
      <c r="AX99" s="276">
        <f t="shared" si="9"/>
        <v>5710.5458912000004</v>
      </c>
      <c r="AZ99" s="250" t="b">
        <f t="shared" si="10"/>
        <v>1</v>
      </c>
    </row>
    <row r="100" spans="2:53" s="250" customFormat="1" outlineLevel="1" x14ac:dyDescent="0.3">
      <c r="B100" s="251" t="s">
        <v>692</v>
      </c>
      <c r="C100" s="252">
        <v>48</v>
      </c>
      <c r="D100" s="253" t="s">
        <v>977</v>
      </c>
      <c r="E100" s="254" t="s">
        <v>978</v>
      </c>
      <c r="F100" s="255" t="s">
        <v>979</v>
      </c>
      <c r="G100" s="255" t="s">
        <v>980</v>
      </c>
      <c r="H100" s="255" t="s">
        <v>981</v>
      </c>
      <c r="I100" s="255" t="s">
        <v>698</v>
      </c>
      <c r="J100" s="256">
        <v>90861.19</v>
      </c>
      <c r="K100" s="257">
        <v>50106</v>
      </c>
      <c r="L100" s="257"/>
      <c r="M100" s="257"/>
      <c r="N100" s="258"/>
      <c r="O100" s="258"/>
      <c r="P100" s="258"/>
      <c r="Q100" s="258" t="s">
        <v>699</v>
      </c>
      <c r="R100" s="259">
        <v>20380</v>
      </c>
      <c r="S100" s="259">
        <v>20380</v>
      </c>
      <c r="T100" s="259">
        <v>9346.1899999999987</v>
      </c>
      <c r="U100" s="259">
        <v>0</v>
      </c>
      <c r="V100" s="259">
        <v>0</v>
      </c>
      <c r="W100" s="259">
        <v>0</v>
      </c>
      <c r="X100" s="259">
        <v>0</v>
      </c>
      <c r="Y100" s="259">
        <v>0</v>
      </c>
      <c r="Z100" s="259">
        <v>0</v>
      </c>
      <c r="AA100" s="259">
        <v>0</v>
      </c>
      <c r="AB100" s="259">
        <v>0</v>
      </c>
      <c r="AC100" s="259">
        <v>0</v>
      </c>
      <c r="AD100" s="259">
        <v>0</v>
      </c>
      <c r="AE100" s="259">
        <v>0</v>
      </c>
      <c r="AF100" s="259">
        <v>0</v>
      </c>
      <c r="AG100" s="259">
        <v>0</v>
      </c>
      <c r="AH100" s="259">
        <v>0</v>
      </c>
      <c r="AI100" s="259">
        <v>0</v>
      </c>
      <c r="AJ100" s="259">
        <v>0</v>
      </c>
      <c r="AK100" s="259">
        <v>0</v>
      </c>
      <c r="AL100" s="259">
        <v>0</v>
      </c>
      <c r="AM100" s="259">
        <v>0</v>
      </c>
      <c r="AN100" s="259">
        <v>0</v>
      </c>
      <c r="AO100" s="259">
        <v>0</v>
      </c>
      <c r="AP100" s="259">
        <v>0</v>
      </c>
      <c r="AQ100" s="259">
        <v>0</v>
      </c>
      <c r="AR100" s="259">
        <v>0</v>
      </c>
      <c r="AS100" s="259"/>
      <c r="AT100" s="259"/>
      <c r="AU100" s="260">
        <f t="shared" si="6"/>
        <v>50106.19</v>
      </c>
      <c r="AV100" s="261">
        <f t="shared" si="7"/>
        <v>0</v>
      </c>
      <c r="AW100" s="262">
        <f t="shared" si="8"/>
        <v>0</v>
      </c>
      <c r="AX100" s="263">
        <f t="shared" si="9"/>
        <v>50106.19</v>
      </c>
      <c r="AZ100" s="250" t="b">
        <f t="shared" si="10"/>
        <v>1</v>
      </c>
      <c r="BA100" s="264">
        <f>AX100-K100</f>
        <v>0.19000000000232831</v>
      </c>
    </row>
    <row r="101" spans="2:53" outlineLevel="1" x14ac:dyDescent="0.3">
      <c r="B101" s="265" t="s">
        <v>692</v>
      </c>
      <c r="C101" s="266"/>
      <c r="D101" s="267" t="s">
        <v>982</v>
      </c>
      <c r="E101" s="268"/>
      <c r="F101" s="269"/>
      <c r="G101" s="269"/>
      <c r="H101" s="269"/>
      <c r="I101" s="269"/>
      <c r="J101" s="270"/>
      <c r="K101" s="270"/>
      <c r="L101" s="270" t="s">
        <v>983</v>
      </c>
      <c r="M101" s="270"/>
      <c r="N101" s="271">
        <f>SUM(O101:P101)</f>
        <v>4.6020000000000003</v>
      </c>
      <c r="O101" s="278">
        <v>4.6020000000000003</v>
      </c>
      <c r="P101" s="271">
        <f>$P$4</f>
        <v>0</v>
      </c>
      <c r="Q101" s="271" t="s">
        <v>702</v>
      </c>
      <c r="R101" s="273">
        <v>2107.0500000000002</v>
      </c>
      <c r="S101" s="273">
        <f>SUM(S100:$AR100)*$N101/100</f>
        <v>1367.9992637999999</v>
      </c>
      <c r="T101" s="273">
        <f>SUM(T100:$AR100)*$N101/100</f>
        <v>430.11166379999997</v>
      </c>
      <c r="U101" s="273">
        <v>0</v>
      </c>
      <c r="V101" s="273">
        <v>0</v>
      </c>
      <c r="W101" s="273">
        <v>0</v>
      </c>
      <c r="X101" s="273">
        <v>0</v>
      </c>
      <c r="Y101" s="273">
        <v>0</v>
      </c>
      <c r="Z101" s="273">
        <v>0</v>
      </c>
      <c r="AA101" s="273">
        <v>0</v>
      </c>
      <c r="AB101" s="273">
        <v>0</v>
      </c>
      <c r="AC101" s="273">
        <v>0</v>
      </c>
      <c r="AD101" s="273">
        <v>0</v>
      </c>
      <c r="AE101" s="273">
        <v>0</v>
      </c>
      <c r="AF101" s="273">
        <v>0</v>
      </c>
      <c r="AG101" s="273">
        <v>0</v>
      </c>
      <c r="AH101" s="273">
        <v>0</v>
      </c>
      <c r="AI101" s="273">
        <v>0</v>
      </c>
      <c r="AJ101" s="273">
        <v>0</v>
      </c>
      <c r="AK101" s="273">
        <v>0</v>
      </c>
      <c r="AL101" s="273">
        <v>0</v>
      </c>
      <c r="AM101" s="273">
        <v>0</v>
      </c>
      <c r="AN101" s="273">
        <v>0</v>
      </c>
      <c r="AO101" s="273">
        <v>0</v>
      </c>
      <c r="AP101" s="273">
        <v>0</v>
      </c>
      <c r="AQ101" s="273">
        <v>0</v>
      </c>
      <c r="AR101" s="273">
        <v>0</v>
      </c>
      <c r="AS101" s="273"/>
      <c r="AT101" s="273"/>
      <c r="AU101" s="274">
        <f t="shared" si="6"/>
        <v>3905.1609275999999</v>
      </c>
      <c r="AV101" s="261">
        <f t="shared" si="7"/>
        <v>0</v>
      </c>
      <c r="AW101" s="275">
        <f t="shared" si="8"/>
        <v>0</v>
      </c>
      <c r="AX101" s="276">
        <f t="shared" si="9"/>
        <v>3905.1609275999999</v>
      </c>
      <c r="AZ101" s="250" t="b">
        <f t="shared" si="10"/>
        <v>1</v>
      </c>
    </row>
    <row r="102" spans="2:53" s="250" customFormat="1" outlineLevel="1" x14ac:dyDescent="0.3">
      <c r="B102" s="251" t="s">
        <v>692</v>
      </c>
      <c r="C102" s="252">
        <v>49</v>
      </c>
      <c r="D102" s="253" t="s">
        <v>984</v>
      </c>
      <c r="E102" s="254" t="s">
        <v>985</v>
      </c>
      <c r="F102" s="255" t="s">
        <v>986</v>
      </c>
      <c r="G102" s="255" t="s">
        <v>987</v>
      </c>
      <c r="H102" s="255" t="s">
        <v>988</v>
      </c>
      <c r="I102" s="255" t="s">
        <v>698</v>
      </c>
      <c r="J102" s="256">
        <v>496340</v>
      </c>
      <c r="K102" s="257">
        <v>415865</v>
      </c>
      <c r="L102" s="257"/>
      <c r="M102" s="257"/>
      <c r="N102" s="258"/>
      <c r="O102" s="258"/>
      <c r="P102" s="258"/>
      <c r="Q102" s="258" t="s">
        <v>699</v>
      </c>
      <c r="R102" s="259">
        <v>53660</v>
      </c>
      <c r="S102" s="259">
        <v>53660</v>
      </c>
      <c r="T102" s="259">
        <v>53660</v>
      </c>
      <c r="U102" s="259">
        <v>53660</v>
      </c>
      <c r="V102" s="259">
        <v>53660</v>
      </c>
      <c r="W102" s="259">
        <v>53660</v>
      </c>
      <c r="X102" s="259">
        <v>53660</v>
      </c>
      <c r="Y102" s="259">
        <v>40245</v>
      </c>
      <c r="Z102" s="259">
        <v>0</v>
      </c>
      <c r="AA102" s="259">
        <v>0</v>
      </c>
      <c r="AB102" s="259">
        <v>0</v>
      </c>
      <c r="AC102" s="259">
        <v>0</v>
      </c>
      <c r="AD102" s="259">
        <v>0</v>
      </c>
      <c r="AE102" s="259">
        <v>0</v>
      </c>
      <c r="AF102" s="259">
        <v>0</v>
      </c>
      <c r="AG102" s="259">
        <v>0</v>
      </c>
      <c r="AH102" s="259">
        <v>0</v>
      </c>
      <c r="AI102" s="259">
        <v>0</v>
      </c>
      <c r="AJ102" s="259">
        <v>0</v>
      </c>
      <c r="AK102" s="259">
        <v>0</v>
      </c>
      <c r="AL102" s="259">
        <v>0</v>
      </c>
      <c r="AM102" s="259">
        <v>0</v>
      </c>
      <c r="AN102" s="259">
        <v>0</v>
      </c>
      <c r="AO102" s="259">
        <v>0</v>
      </c>
      <c r="AP102" s="259">
        <v>0</v>
      </c>
      <c r="AQ102" s="259">
        <v>0</v>
      </c>
      <c r="AR102" s="259">
        <v>0</v>
      </c>
      <c r="AS102" s="259"/>
      <c r="AT102" s="259"/>
      <c r="AU102" s="260">
        <f t="shared" si="6"/>
        <v>415865</v>
      </c>
      <c r="AV102" s="261">
        <f t="shared" si="7"/>
        <v>0</v>
      </c>
      <c r="AW102" s="262">
        <f t="shared" si="8"/>
        <v>40245</v>
      </c>
      <c r="AX102" s="263">
        <f t="shared" si="9"/>
        <v>415865</v>
      </c>
      <c r="AZ102" s="250" t="b">
        <f t="shared" si="10"/>
        <v>1</v>
      </c>
      <c r="BA102" s="264">
        <f>AX102-K102</f>
        <v>0</v>
      </c>
    </row>
    <row r="103" spans="2:53" outlineLevel="1" x14ac:dyDescent="0.3">
      <c r="B103" s="265" t="s">
        <v>692</v>
      </c>
      <c r="C103" s="266"/>
      <c r="D103" s="267" t="s">
        <v>989</v>
      </c>
      <c r="E103" s="268"/>
      <c r="F103" s="269"/>
      <c r="G103" s="269"/>
      <c r="H103" s="269"/>
      <c r="I103" s="269"/>
      <c r="J103" s="270"/>
      <c r="K103" s="270"/>
      <c r="L103" s="270" t="s">
        <v>990</v>
      </c>
      <c r="M103" s="270"/>
      <c r="N103" s="271">
        <f>SUM(O103:P103)</f>
        <v>4.7699999999999996</v>
      </c>
      <c r="O103" s="271">
        <v>4.7699999999999996</v>
      </c>
      <c r="P103" s="271">
        <f>$P$4</f>
        <v>0</v>
      </c>
      <c r="Q103" s="271" t="s">
        <v>702</v>
      </c>
      <c r="R103" s="273">
        <v>19163.36</v>
      </c>
      <c r="S103" s="273">
        <f>SUM(S102:$AR102)*$N103/100</f>
        <v>17277.178499999998</v>
      </c>
      <c r="T103" s="273">
        <f>SUM(T102:$AR102)*$N103/100</f>
        <v>14717.5965</v>
      </c>
      <c r="U103" s="273">
        <f>SUM(U102:$AR102)*$N103/100</f>
        <v>12158.014499999999</v>
      </c>
      <c r="V103" s="273">
        <f>SUM(V102:$AR102)*$N103/100</f>
        <v>9598.432499999999</v>
      </c>
      <c r="W103" s="273">
        <f>SUM(W102:$AR102)*$N103/100</f>
        <v>7038.8504999999996</v>
      </c>
      <c r="X103" s="273">
        <f>SUM(X102:$AR102)*$N103/100</f>
        <v>4479.2685000000001</v>
      </c>
      <c r="Y103" s="273">
        <f>SUM(Y102:$AR102)*$N103/100</f>
        <v>1919.6865</v>
      </c>
      <c r="Z103" s="273">
        <v>0</v>
      </c>
      <c r="AA103" s="273">
        <v>0</v>
      </c>
      <c r="AB103" s="273">
        <v>0</v>
      </c>
      <c r="AC103" s="273">
        <v>0</v>
      </c>
      <c r="AD103" s="273">
        <v>0</v>
      </c>
      <c r="AE103" s="273">
        <v>0</v>
      </c>
      <c r="AF103" s="273">
        <v>0</v>
      </c>
      <c r="AG103" s="273">
        <v>0</v>
      </c>
      <c r="AH103" s="273">
        <v>0</v>
      </c>
      <c r="AI103" s="273">
        <v>0</v>
      </c>
      <c r="AJ103" s="273">
        <v>0</v>
      </c>
      <c r="AK103" s="273">
        <v>0</v>
      </c>
      <c r="AL103" s="273">
        <v>0</v>
      </c>
      <c r="AM103" s="273">
        <v>0</v>
      </c>
      <c r="AN103" s="273">
        <v>0</v>
      </c>
      <c r="AO103" s="273">
        <v>0</v>
      </c>
      <c r="AP103" s="273">
        <v>0</v>
      </c>
      <c r="AQ103" s="273">
        <v>0</v>
      </c>
      <c r="AR103" s="273">
        <v>0</v>
      </c>
      <c r="AS103" s="273"/>
      <c r="AT103" s="273"/>
      <c r="AU103" s="274">
        <f t="shared" si="6"/>
        <v>86352.387499999997</v>
      </c>
      <c r="AV103" s="261">
        <f t="shared" si="7"/>
        <v>0</v>
      </c>
      <c r="AW103" s="275">
        <f t="shared" si="8"/>
        <v>1919.6865</v>
      </c>
      <c r="AX103" s="276">
        <f t="shared" si="9"/>
        <v>86352.387499999997</v>
      </c>
      <c r="AZ103" s="250" t="b">
        <f t="shared" si="10"/>
        <v>1</v>
      </c>
    </row>
    <row r="104" spans="2:53" s="283" customFormat="1" outlineLevel="1" x14ac:dyDescent="0.3">
      <c r="B104" s="279" t="s">
        <v>737</v>
      </c>
      <c r="C104" s="280">
        <v>50</v>
      </c>
      <c r="D104" s="281" t="s">
        <v>991</v>
      </c>
      <c r="E104" s="254" t="s">
        <v>992</v>
      </c>
      <c r="F104" s="254" t="s">
        <v>993</v>
      </c>
      <c r="G104" s="254" t="s">
        <v>994</v>
      </c>
      <c r="H104" s="254" t="s">
        <v>995</v>
      </c>
      <c r="I104" s="254" t="s">
        <v>698</v>
      </c>
      <c r="J104" s="256">
        <v>6469</v>
      </c>
      <c r="K104" s="257">
        <v>4408</v>
      </c>
      <c r="L104" s="257"/>
      <c r="M104" s="257"/>
      <c r="N104" s="258"/>
      <c r="O104" s="258"/>
      <c r="P104" s="258"/>
      <c r="Q104" s="258" t="s">
        <v>699</v>
      </c>
      <c r="R104" s="259">
        <v>928</v>
      </c>
      <c r="S104" s="259">
        <v>928</v>
      </c>
      <c r="T104" s="259">
        <v>928</v>
      </c>
      <c r="U104" s="259">
        <v>928</v>
      </c>
      <c r="V104" s="259">
        <v>696</v>
      </c>
      <c r="W104" s="259">
        <v>0</v>
      </c>
      <c r="X104" s="259">
        <v>0</v>
      </c>
      <c r="Y104" s="259">
        <v>0</v>
      </c>
      <c r="Z104" s="259">
        <v>0</v>
      </c>
      <c r="AA104" s="259">
        <v>0</v>
      </c>
      <c r="AB104" s="259">
        <v>0</v>
      </c>
      <c r="AC104" s="259">
        <v>0</v>
      </c>
      <c r="AD104" s="259">
        <v>0</v>
      </c>
      <c r="AE104" s="259">
        <v>0</v>
      </c>
      <c r="AF104" s="259">
        <v>0</v>
      </c>
      <c r="AG104" s="259">
        <v>0</v>
      </c>
      <c r="AH104" s="259">
        <v>0</v>
      </c>
      <c r="AI104" s="259">
        <v>0</v>
      </c>
      <c r="AJ104" s="259">
        <v>0</v>
      </c>
      <c r="AK104" s="259">
        <v>0</v>
      </c>
      <c r="AL104" s="259">
        <v>0</v>
      </c>
      <c r="AM104" s="259">
        <v>0</v>
      </c>
      <c r="AN104" s="259">
        <v>0</v>
      </c>
      <c r="AO104" s="259">
        <v>0</v>
      </c>
      <c r="AP104" s="259">
        <v>0</v>
      </c>
      <c r="AQ104" s="259">
        <v>0</v>
      </c>
      <c r="AR104" s="259">
        <v>0</v>
      </c>
      <c r="AS104" s="259"/>
      <c r="AT104" s="259"/>
      <c r="AU104" s="263">
        <f t="shared" si="6"/>
        <v>4408</v>
      </c>
      <c r="AV104" s="282">
        <f t="shared" si="7"/>
        <v>0</v>
      </c>
      <c r="AW104" s="262">
        <f t="shared" si="8"/>
        <v>0</v>
      </c>
      <c r="AX104" s="263">
        <f t="shared" si="9"/>
        <v>4408</v>
      </c>
      <c r="AZ104" s="283" t="b">
        <f t="shared" si="10"/>
        <v>1</v>
      </c>
      <c r="BA104" s="264">
        <f>AX104-K104</f>
        <v>0</v>
      </c>
    </row>
    <row r="105" spans="2:53" s="232" customFormat="1" outlineLevel="1" x14ac:dyDescent="0.3">
      <c r="B105" s="284" t="s">
        <v>737</v>
      </c>
      <c r="C105" s="285"/>
      <c r="D105" s="286" t="s">
        <v>996</v>
      </c>
      <c r="E105" s="268"/>
      <c r="F105" s="268"/>
      <c r="G105" s="268"/>
      <c r="H105" s="268"/>
      <c r="I105" s="268"/>
      <c r="J105" s="270"/>
      <c r="K105" s="270"/>
      <c r="L105" s="270" t="s">
        <v>997</v>
      </c>
      <c r="M105" s="270"/>
      <c r="N105" s="271">
        <f>SUM(O105:P105)</f>
        <v>4.5720000000000001</v>
      </c>
      <c r="O105" s="278">
        <v>4.5720000000000001</v>
      </c>
      <c r="P105" s="271">
        <f>$P$4</f>
        <v>0</v>
      </c>
      <c r="Q105" s="271" t="s">
        <v>702</v>
      </c>
      <c r="R105" s="273">
        <v>193.35</v>
      </c>
      <c r="S105" s="273">
        <f>SUM(S104:$AR104)*$N105/100</f>
        <v>159.10559999999998</v>
      </c>
      <c r="T105" s="273">
        <f>SUM(T104:$AR104)*$N105/100</f>
        <v>116.67744</v>
      </c>
      <c r="U105" s="273">
        <f>SUM(U104:$AR104)*$N105/100</f>
        <v>74.249279999999999</v>
      </c>
      <c r="V105" s="273">
        <f>SUM(V104:$AR104)*$N105/100</f>
        <v>31.821120000000001</v>
      </c>
      <c r="W105" s="273">
        <v>0</v>
      </c>
      <c r="X105" s="273">
        <v>0</v>
      </c>
      <c r="Y105" s="273">
        <v>0</v>
      </c>
      <c r="Z105" s="273">
        <v>0</v>
      </c>
      <c r="AA105" s="273">
        <v>0</v>
      </c>
      <c r="AB105" s="273">
        <v>0</v>
      </c>
      <c r="AC105" s="273">
        <v>0</v>
      </c>
      <c r="AD105" s="273">
        <v>0</v>
      </c>
      <c r="AE105" s="273">
        <v>0</v>
      </c>
      <c r="AF105" s="273">
        <v>0</v>
      </c>
      <c r="AG105" s="273">
        <v>0</v>
      </c>
      <c r="AH105" s="273">
        <v>0</v>
      </c>
      <c r="AI105" s="273">
        <v>0</v>
      </c>
      <c r="AJ105" s="273">
        <v>0</v>
      </c>
      <c r="AK105" s="273">
        <v>0</v>
      </c>
      <c r="AL105" s="273">
        <v>0</v>
      </c>
      <c r="AM105" s="273">
        <v>0</v>
      </c>
      <c r="AN105" s="273">
        <v>0</v>
      </c>
      <c r="AO105" s="273">
        <v>0</v>
      </c>
      <c r="AP105" s="273">
        <v>0</v>
      </c>
      <c r="AQ105" s="273">
        <v>0</v>
      </c>
      <c r="AR105" s="273">
        <v>0</v>
      </c>
      <c r="AS105" s="273"/>
      <c r="AT105" s="273"/>
      <c r="AU105" s="276">
        <f t="shared" si="6"/>
        <v>575.20343999999989</v>
      </c>
      <c r="AV105" s="282">
        <f t="shared" si="7"/>
        <v>0</v>
      </c>
      <c r="AW105" s="275">
        <f t="shared" si="8"/>
        <v>0</v>
      </c>
      <c r="AX105" s="276">
        <f t="shared" si="9"/>
        <v>575.20343999999989</v>
      </c>
      <c r="AZ105" s="283" t="b">
        <f t="shared" si="10"/>
        <v>1</v>
      </c>
      <c r="BA105" s="230"/>
    </row>
    <row r="106" spans="2:53" s="250" customFormat="1" outlineLevel="1" x14ac:dyDescent="0.3">
      <c r="B106" s="251" t="s">
        <v>737</v>
      </c>
      <c r="C106" s="252">
        <v>51</v>
      </c>
      <c r="D106" s="253" t="s">
        <v>998</v>
      </c>
      <c r="E106" s="254" t="s">
        <v>999</v>
      </c>
      <c r="F106" s="255" t="s">
        <v>1000</v>
      </c>
      <c r="G106" s="255" t="s">
        <v>1001</v>
      </c>
      <c r="H106" s="255" t="s">
        <v>1002</v>
      </c>
      <c r="I106" s="255" t="s">
        <v>698</v>
      </c>
      <c r="J106" s="256">
        <v>503660</v>
      </c>
      <c r="K106" s="257">
        <v>459524</v>
      </c>
      <c r="L106" s="257"/>
      <c r="M106" s="257"/>
      <c r="N106" s="258"/>
      <c r="O106" s="258"/>
      <c r="P106" s="258"/>
      <c r="Q106" s="258" t="s">
        <v>699</v>
      </c>
      <c r="R106" s="259">
        <v>35348</v>
      </c>
      <c r="S106" s="259">
        <v>35348</v>
      </c>
      <c r="T106" s="259">
        <v>35348</v>
      </c>
      <c r="U106" s="259">
        <v>35348</v>
      </c>
      <c r="V106" s="259">
        <v>35348</v>
      </c>
      <c r="W106" s="259">
        <v>35348</v>
      </c>
      <c r="X106" s="259">
        <v>35348</v>
      </c>
      <c r="Y106" s="259">
        <v>35348</v>
      </c>
      <c r="Z106" s="259">
        <v>35348</v>
      </c>
      <c r="AA106" s="259">
        <v>35348</v>
      </c>
      <c r="AB106" s="259">
        <v>35348</v>
      </c>
      <c r="AC106" s="259">
        <v>35348</v>
      </c>
      <c r="AD106" s="259">
        <v>35348</v>
      </c>
      <c r="AE106" s="259">
        <v>0</v>
      </c>
      <c r="AF106" s="259">
        <v>0</v>
      </c>
      <c r="AG106" s="259">
        <v>0</v>
      </c>
      <c r="AH106" s="259">
        <v>0</v>
      </c>
      <c r="AI106" s="259">
        <v>0</v>
      </c>
      <c r="AJ106" s="259">
        <v>0</v>
      </c>
      <c r="AK106" s="259">
        <v>0</v>
      </c>
      <c r="AL106" s="259">
        <v>0</v>
      </c>
      <c r="AM106" s="259">
        <v>0</v>
      </c>
      <c r="AN106" s="259">
        <v>0</v>
      </c>
      <c r="AO106" s="259">
        <v>0</v>
      </c>
      <c r="AP106" s="259">
        <v>0</v>
      </c>
      <c r="AQ106" s="259">
        <v>0</v>
      </c>
      <c r="AR106" s="259">
        <v>0</v>
      </c>
      <c r="AS106" s="259"/>
      <c r="AT106" s="259"/>
      <c r="AU106" s="260">
        <f t="shared" si="6"/>
        <v>459524</v>
      </c>
      <c r="AV106" s="261">
        <f t="shared" si="7"/>
        <v>0</v>
      </c>
      <c r="AW106" s="262">
        <f t="shared" si="8"/>
        <v>212088</v>
      </c>
      <c r="AX106" s="263">
        <f t="shared" si="9"/>
        <v>459524</v>
      </c>
      <c r="AZ106" s="250" t="b">
        <f t="shared" si="10"/>
        <v>1</v>
      </c>
      <c r="BA106" s="264">
        <f>AX106-K106</f>
        <v>0</v>
      </c>
    </row>
    <row r="107" spans="2:53" outlineLevel="1" x14ac:dyDescent="0.3">
      <c r="B107" s="265" t="s">
        <v>737</v>
      </c>
      <c r="C107" s="266"/>
      <c r="D107" s="267" t="s">
        <v>1003</v>
      </c>
      <c r="E107" s="268"/>
      <c r="F107" s="269"/>
      <c r="G107" s="269"/>
      <c r="H107" s="269"/>
      <c r="I107" s="269"/>
      <c r="J107" s="270"/>
      <c r="K107" s="270"/>
      <c r="L107" s="270">
        <v>0</v>
      </c>
      <c r="M107" s="270" t="s">
        <v>881</v>
      </c>
      <c r="N107" s="271">
        <f>SUM(O107:P107)</f>
        <v>4.6120000000000001</v>
      </c>
      <c r="O107" s="271">
        <v>4.6120000000000001</v>
      </c>
      <c r="P107" s="271">
        <f>$P$4</f>
        <v>0</v>
      </c>
      <c r="Q107" s="271" t="s">
        <v>702</v>
      </c>
      <c r="R107" s="273">
        <v>21230.6</v>
      </c>
      <c r="S107" s="273">
        <f>SUM(S106:$AR106)*$N107/100</f>
        <v>19562.99712</v>
      </c>
      <c r="T107" s="273">
        <f>SUM(T106:$AR106)*$N107/100</f>
        <v>17932.747360000001</v>
      </c>
      <c r="U107" s="273">
        <f>SUM(U106:$AR106)*$N107/100</f>
        <v>16302.497600000001</v>
      </c>
      <c r="V107" s="273">
        <f>SUM(V106:$AR106)*$N107/100</f>
        <v>14672.24784</v>
      </c>
      <c r="W107" s="273">
        <f>SUM(W106:$AR106)*$N107/100</f>
        <v>13041.998079999999</v>
      </c>
      <c r="X107" s="273">
        <f>SUM(X106:$AR106)*$N107/100</f>
        <v>11411.748319999999</v>
      </c>
      <c r="Y107" s="273">
        <f>SUM(Y106:$AR106)*$N107/100</f>
        <v>9781.49856</v>
      </c>
      <c r="Z107" s="273">
        <f>SUM(Z106:$AR106)*$N107/100</f>
        <v>8151.2488000000003</v>
      </c>
      <c r="AA107" s="273">
        <f>SUM(AA106:$AR106)*$N107/100</f>
        <v>6520.9990399999997</v>
      </c>
      <c r="AB107" s="273">
        <f>SUM(AB106:$AR106)*$N107/100</f>
        <v>4890.74928</v>
      </c>
      <c r="AC107" s="273">
        <f>SUM(AC106:$AR106)*$N107/100</f>
        <v>3260.4995199999998</v>
      </c>
      <c r="AD107" s="273">
        <f>SUM(AD106:$AR106)*$N107/100</f>
        <v>1630.2497599999999</v>
      </c>
      <c r="AE107" s="273">
        <v>0</v>
      </c>
      <c r="AF107" s="273">
        <v>0</v>
      </c>
      <c r="AG107" s="273">
        <v>0</v>
      </c>
      <c r="AH107" s="273">
        <v>0</v>
      </c>
      <c r="AI107" s="273">
        <v>0</v>
      </c>
      <c r="AJ107" s="273">
        <v>0</v>
      </c>
      <c r="AK107" s="273">
        <v>0</v>
      </c>
      <c r="AL107" s="273">
        <v>0</v>
      </c>
      <c r="AM107" s="273">
        <v>0</v>
      </c>
      <c r="AN107" s="273">
        <v>0</v>
      </c>
      <c r="AO107" s="273">
        <v>0</v>
      </c>
      <c r="AP107" s="273">
        <v>0</v>
      </c>
      <c r="AQ107" s="273">
        <v>0</v>
      </c>
      <c r="AR107" s="273">
        <v>0</v>
      </c>
      <c r="AS107" s="273"/>
      <c r="AT107" s="273"/>
      <c r="AU107" s="274">
        <f t="shared" si="6"/>
        <v>148390.08128000001</v>
      </c>
      <c r="AV107" s="261">
        <f t="shared" si="7"/>
        <v>0</v>
      </c>
      <c r="AW107" s="275">
        <f t="shared" si="8"/>
        <v>34235.244960000004</v>
      </c>
      <c r="AX107" s="276">
        <f t="shared" si="9"/>
        <v>148390.08128000001</v>
      </c>
      <c r="AZ107" s="250" t="b">
        <f t="shared" si="10"/>
        <v>1</v>
      </c>
    </row>
    <row r="108" spans="2:53" s="250" customFormat="1" outlineLevel="1" x14ac:dyDescent="0.3">
      <c r="B108" s="251" t="s">
        <v>737</v>
      </c>
      <c r="C108" s="252">
        <v>52</v>
      </c>
      <c r="D108" s="253" t="s">
        <v>998</v>
      </c>
      <c r="E108" s="254" t="s">
        <v>1004</v>
      </c>
      <c r="F108" s="255" t="s">
        <v>1005</v>
      </c>
      <c r="G108" s="255" t="s">
        <v>1001</v>
      </c>
      <c r="H108" s="255" t="s">
        <v>1006</v>
      </c>
      <c r="I108" s="255" t="s">
        <v>698</v>
      </c>
      <c r="J108" s="256">
        <v>300000</v>
      </c>
      <c r="K108" s="257">
        <v>259488</v>
      </c>
      <c r="L108" s="257"/>
      <c r="M108" s="257"/>
      <c r="N108" s="258"/>
      <c r="O108" s="258"/>
      <c r="P108" s="258"/>
      <c r="Q108" s="258" t="s">
        <v>699</v>
      </c>
      <c r="R108" s="259">
        <v>32436</v>
      </c>
      <c r="S108" s="259">
        <v>32436</v>
      </c>
      <c r="T108" s="259">
        <v>32436</v>
      </c>
      <c r="U108" s="259">
        <v>32436</v>
      </c>
      <c r="V108" s="259">
        <v>32436</v>
      </c>
      <c r="W108" s="259">
        <v>32436</v>
      </c>
      <c r="X108" s="259">
        <v>32436</v>
      </c>
      <c r="Y108" s="259">
        <v>32436</v>
      </c>
      <c r="Z108" s="259">
        <v>0</v>
      </c>
      <c r="AA108" s="259">
        <v>0</v>
      </c>
      <c r="AB108" s="259">
        <v>0</v>
      </c>
      <c r="AC108" s="259">
        <v>0</v>
      </c>
      <c r="AD108" s="259">
        <v>0</v>
      </c>
      <c r="AE108" s="259">
        <v>0</v>
      </c>
      <c r="AF108" s="259">
        <v>0</v>
      </c>
      <c r="AG108" s="259">
        <v>0</v>
      </c>
      <c r="AH108" s="259">
        <v>0</v>
      </c>
      <c r="AI108" s="259">
        <v>0</v>
      </c>
      <c r="AJ108" s="259">
        <v>0</v>
      </c>
      <c r="AK108" s="259">
        <v>0</v>
      </c>
      <c r="AL108" s="259">
        <v>0</v>
      </c>
      <c r="AM108" s="259">
        <v>0</v>
      </c>
      <c r="AN108" s="259">
        <v>0</v>
      </c>
      <c r="AO108" s="259">
        <v>0</v>
      </c>
      <c r="AP108" s="259">
        <v>0</v>
      </c>
      <c r="AQ108" s="259">
        <v>0</v>
      </c>
      <c r="AR108" s="259">
        <v>0</v>
      </c>
      <c r="AS108" s="259"/>
      <c r="AT108" s="259"/>
      <c r="AU108" s="260">
        <f t="shared" si="6"/>
        <v>259488</v>
      </c>
      <c r="AV108" s="261">
        <f t="shared" si="7"/>
        <v>0</v>
      </c>
      <c r="AW108" s="262">
        <f t="shared" si="8"/>
        <v>32436</v>
      </c>
      <c r="AX108" s="263">
        <f t="shared" si="9"/>
        <v>259488</v>
      </c>
      <c r="AZ108" s="250" t="b">
        <f t="shared" si="10"/>
        <v>1</v>
      </c>
      <c r="BA108" s="264">
        <f>AX108-K108</f>
        <v>0</v>
      </c>
    </row>
    <row r="109" spans="2:53" outlineLevel="1" x14ac:dyDescent="0.3">
      <c r="B109" s="265" t="s">
        <v>737</v>
      </c>
      <c r="C109" s="266"/>
      <c r="D109" s="267" t="s">
        <v>1007</v>
      </c>
      <c r="E109" s="268"/>
      <c r="F109" s="269"/>
      <c r="G109" s="269"/>
      <c r="H109" s="269"/>
      <c r="I109" s="269"/>
      <c r="J109" s="270"/>
      <c r="K109" s="270"/>
      <c r="L109" s="270">
        <v>0</v>
      </c>
      <c r="M109" s="270" t="s">
        <v>881</v>
      </c>
      <c r="N109" s="271">
        <f>SUM(O109:P109)</f>
        <v>4.3979999999999997</v>
      </c>
      <c r="O109" s="271">
        <v>4.3979999999999997</v>
      </c>
      <c r="P109" s="271">
        <f>$P$4</f>
        <v>0</v>
      </c>
      <c r="Q109" s="271" t="s">
        <v>702</v>
      </c>
      <c r="R109" s="273">
        <v>11345.9</v>
      </c>
      <c r="S109" s="273">
        <f>SUM(S108:$AR108)*$N109/100</f>
        <v>9985.7469599999986</v>
      </c>
      <c r="T109" s="273">
        <f>SUM(T108:$AR108)*$N109/100</f>
        <v>8559.2116800000003</v>
      </c>
      <c r="U109" s="273">
        <f>SUM(U108:$AR108)*$N109/100</f>
        <v>7132.6763999999994</v>
      </c>
      <c r="V109" s="273">
        <f>SUM(V108:$AR108)*$N109/100</f>
        <v>5706.1411199999993</v>
      </c>
      <c r="W109" s="273">
        <f>SUM(W108:$AR108)*$N109/100</f>
        <v>4279.6058400000002</v>
      </c>
      <c r="X109" s="273">
        <f>SUM(X108:$AR108)*$N109/100</f>
        <v>2853.0705599999997</v>
      </c>
      <c r="Y109" s="273">
        <f>SUM(Y108:$AR108)*$N109/100</f>
        <v>1426.5352799999998</v>
      </c>
      <c r="Z109" s="273">
        <v>0</v>
      </c>
      <c r="AA109" s="273">
        <v>0</v>
      </c>
      <c r="AB109" s="273">
        <v>0</v>
      </c>
      <c r="AC109" s="273">
        <v>0</v>
      </c>
      <c r="AD109" s="273">
        <v>0</v>
      </c>
      <c r="AE109" s="273">
        <v>0</v>
      </c>
      <c r="AF109" s="273">
        <v>0</v>
      </c>
      <c r="AG109" s="273">
        <v>0</v>
      </c>
      <c r="AH109" s="273">
        <v>0</v>
      </c>
      <c r="AI109" s="273">
        <v>0</v>
      </c>
      <c r="AJ109" s="273">
        <v>0</v>
      </c>
      <c r="AK109" s="273">
        <v>0</v>
      </c>
      <c r="AL109" s="273">
        <v>0</v>
      </c>
      <c r="AM109" s="273">
        <v>0</v>
      </c>
      <c r="AN109" s="273">
        <v>0</v>
      </c>
      <c r="AO109" s="273">
        <v>0</v>
      </c>
      <c r="AP109" s="273">
        <v>0</v>
      </c>
      <c r="AQ109" s="273">
        <v>0</v>
      </c>
      <c r="AR109" s="273">
        <v>0</v>
      </c>
      <c r="AS109" s="273"/>
      <c r="AT109" s="273"/>
      <c r="AU109" s="274">
        <f t="shared" si="6"/>
        <v>51288.887839999989</v>
      </c>
      <c r="AV109" s="261">
        <f t="shared" si="7"/>
        <v>0</v>
      </c>
      <c r="AW109" s="275">
        <f t="shared" si="8"/>
        <v>1426.5352799999998</v>
      </c>
      <c r="AX109" s="276">
        <f t="shared" si="9"/>
        <v>51288.887839999989</v>
      </c>
      <c r="AZ109" s="250" t="b">
        <f t="shared" si="10"/>
        <v>1</v>
      </c>
    </row>
    <row r="110" spans="2:53" s="250" customFormat="1" outlineLevel="1" x14ac:dyDescent="0.3">
      <c r="B110" s="251" t="s">
        <v>692</v>
      </c>
      <c r="C110" s="252">
        <v>53</v>
      </c>
      <c r="D110" s="253" t="s">
        <v>1008</v>
      </c>
      <c r="E110" s="254" t="s">
        <v>1009</v>
      </c>
      <c r="F110" s="255" t="s">
        <v>1010</v>
      </c>
      <c r="G110" s="255" t="s">
        <v>1011</v>
      </c>
      <c r="H110" s="255" t="s">
        <v>1012</v>
      </c>
      <c r="I110" s="255" t="s">
        <v>698</v>
      </c>
      <c r="J110" s="256">
        <v>292889</v>
      </c>
      <c r="K110" s="257">
        <v>194084</v>
      </c>
      <c r="L110" s="257"/>
      <c r="M110" s="257"/>
      <c r="N110" s="258"/>
      <c r="O110" s="258"/>
      <c r="P110" s="258"/>
      <c r="Q110" s="258" t="s">
        <v>699</v>
      </c>
      <c r="R110" s="259">
        <v>20200</v>
      </c>
      <c r="S110" s="259">
        <v>20200</v>
      </c>
      <c r="T110" s="259">
        <v>20200</v>
      </c>
      <c r="U110" s="259">
        <v>20200</v>
      </c>
      <c r="V110" s="259">
        <v>20200</v>
      </c>
      <c r="W110" s="259">
        <v>20200</v>
      </c>
      <c r="X110" s="259">
        <v>20200</v>
      </c>
      <c r="Y110" s="259">
        <v>20200</v>
      </c>
      <c r="Z110" s="259">
        <v>20200</v>
      </c>
      <c r="AA110" s="259">
        <f>20200-7916</f>
        <v>12284</v>
      </c>
      <c r="AB110" s="259"/>
      <c r="AC110" s="259"/>
      <c r="AD110" s="259"/>
      <c r="AE110" s="259">
        <v>0</v>
      </c>
      <c r="AF110" s="259">
        <v>0</v>
      </c>
      <c r="AG110" s="259">
        <v>0</v>
      </c>
      <c r="AH110" s="259">
        <v>0</v>
      </c>
      <c r="AI110" s="259">
        <v>0</v>
      </c>
      <c r="AJ110" s="259">
        <v>0</v>
      </c>
      <c r="AK110" s="259">
        <v>0</v>
      </c>
      <c r="AL110" s="259">
        <v>0</v>
      </c>
      <c r="AM110" s="259">
        <v>0</v>
      </c>
      <c r="AN110" s="259">
        <v>0</v>
      </c>
      <c r="AO110" s="259">
        <v>0</v>
      </c>
      <c r="AP110" s="259">
        <v>0</v>
      </c>
      <c r="AQ110" s="259">
        <v>0</v>
      </c>
      <c r="AR110" s="259">
        <v>0</v>
      </c>
      <c r="AS110" s="259"/>
      <c r="AT110" s="259"/>
      <c r="AU110" s="260">
        <f t="shared" si="6"/>
        <v>194084</v>
      </c>
      <c r="AV110" s="261">
        <f t="shared" si="7"/>
        <v>0</v>
      </c>
      <c r="AW110" s="262">
        <f t="shared" si="8"/>
        <v>52684</v>
      </c>
      <c r="AX110" s="263">
        <f t="shared" si="9"/>
        <v>194084</v>
      </c>
      <c r="AZ110" s="250" t="b">
        <f t="shared" si="10"/>
        <v>1</v>
      </c>
      <c r="BA110" s="264">
        <f>AX110-K110</f>
        <v>0</v>
      </c>
    </row>
    <row r="111" spans="2:53" outlineLevel="1" x14ac:dyDescent="0.3">
      <c r="B111" s="265" t="s">
        <v>692</v>
      </c>
      <c r="C111" s="266"/>
      <c r="D111" s="267" t="s">
        <v>1013</v>
      </c>
      <c r="E111" s="268"/>
      <c r="F111" s="269"/>
      <c r="G111" s="269"/>
      <c r="H111" s="269"/>
      <c r="I111" s="269"/>
      <c r="J111" s="270"/>
      <c r="K111" s="270"/>
      <c r="L111" s="270">
        <v>0</v>
      </c>
      <c r="M111" s="270" t="s">
        <v>881</v>
      </c>
      <c r="N111" s="271">
        <f>SUM(O111:P111)</f>
        <v>4.6100000000000003</v>
      </c>
      <c r="O111" s="271">
        <v>4.6100000000000003</v>
      </c>
      <c r="P111" s="271">
        <f>$P$4</f>
        <v>0</v>
      </c>
      <c r="Q111" s="271" t="s">
        <v>702</v>
      </c>
      <c r="R111" s="273">
        <v>8924.75</v>
      </c>
      <c r="S111" s="273">
        <f>SUM(S110:$AR110)*$N111/100</f>
        <v>8016.0524000000014</v>
      </c>
      <c r="T111" s="273">
        <f>SUM(T110:$AR110)*$N111/100</f>
        <v>7084.8324000000011</v>
      </c>
      <c r="U111" s="273">
        <f>SUM(U110:$AR110)*$N111/100</f>
        <v>6153.6124</v>
      </c>
      <c r="V111" s="273">
        <f>SUM(V110:$AR110)*$N111/100</f>
        <v>5222.3924000000006</v>
      </c>
      <c r="W111" s="273">
        <f>SUM(W110:$AR110)*$N111/100</f>
        <v>4291.1724000000004</v>
      </c>
      <c r="X111" s="273">
        <f>SUM(X110:$AR110)*$N111/100</f>
        <v>3359.9524000000006</v>
      </c>
      <c r="Y111" s="273">
        <f>SUM(Y110:$AR110)*$N111/100</f>
        <v>2428.7324000000003</v>
      </c>
      <c r="Z111" s="273">
        <f>SUM(Z110:$AR110)*$N111/100</f>
        <v>1497.5124000000003</v>
      </c>
      <c r="AA111" s="273">
        <f>SUM(AA110:$AR110)*$N111/100</f>
        <v>566.29240000000004</v>
      </c>
      <c r="AB111" s="273">
        <f>SUM(AB110:$AR110)*$N111/100</f>
        <v>0</v>
      </c>
      <c r="AC111" s="273">
        <f>SUM(AC110:$AR110)*$N111/100</f>
        <v>0</v>
      </c>
      <c r="AD111" s="273">
        <f>SUM(AD110:$AR110)*$N111/100</f>
        <v>0</v>
      </c>
      <c r="AE111" s="273">
        <v>0</v>
      </c>
      <c r="AF111" s="273">
        <v>0</v>
      </c>
      <c r="AG111" s="273">
        <v>0</v>
      </c>
      <c r="AH111" s="273">
        <v>0</v>
      </c>
      <c r="AI111" s="273">
        <v>0</v>
      </c>
      <c r="AJ111" s="273">
        <v>0</v>
      </c>
      <c r="AK111" s="273">
        <v>0</v>
      </c>
      <c r="AL111" s="273">
        <v>0</v>
      </c>
      <c r="AM111" s="273">
        <v>0</v>
      </c>
      <c r="AN111" s="273">
        <v>0</v>
      </c>
      <c r="AO111" s="273">
        <v>0</v>
      </c>
      <c r="AP111" s="273">
        <v>0</v>
      </c>
      <c r="AQ111" s="273">
        <v>0</v>
      </c>
      <c r="AR111" s="273">
        <v>0</v>
      </c>
      <c r="AS111" s="273"/>
      <c r="AT111" s="273"/>
      <c r="AU111" s="274">
        <f t="shared" si="6"/>
        <v>47545.301599999999</v>
      </c>
      <c r="AV111" s="261">
        <f t="shared" si="7"/>
        <v>0</v>
      </c>
      <c r="AW111" s="275">
        <f t="shared" si="8"/>
        <v>4492.5372000000007</v>
      </c>
      <c r="AX111" s="276">
        <f t="shared" si="9"/>
        <v>47545.301599999999</v>
      </c>
      <c r="AZ111" s="250" t="b">
        <f t="shared" si="10"/>
        <v>1</v>
      </c>
    </row>
    <row r="112" spans="2:53" s="250" customFormat="1" outlineLevel="1" x14ac:dyDescent="0.3">
      <c r="B112" s="251" t="s">
        <v>737</v>
      </c>
      <c r="C112" s="252">
        <v>54</v>
      </c>
      <c r="D112" s="253" t="s">
        <v>1014</v>
      </c>
      <c r="E112" s="254" t="s">
        <v>1015</v>
      </c>
      <c r="F112" s="255" t="s">
        <v>1016</v>
      </c>
      <c r="G112" s="255" t="s">
        <v>1017</v>
      </c>
      <c r="H112" s="255" t="s">
        <v>912</v>
      </c>
      <c r="I112" s="255" t="s">
        <v>698</v>
      </c>
      <c r="J112" s="256">
        <v>495501</v>
      </c>
      <c r="K112" s="288">
        <v>469422</v>
      </c>
      <c r="L112" s="257"/>
      <c r="M112" s="257"/>
      <c r="N112" s="258"/>
      <c r="O112" s="258"/>
      <c r="P112" s="258"/>
      <c r="Q112" s="258" t="s">
        <v>699</v>
      </c>
      <c r="R112" s="259">
        <v>34772</v>
      </c>
      <c r="S112" s="259">
        <v>34772</v>
      </c>
      <c r="T112" s="259">
        <v>34772</v>
      </c>
      <c r="U112" s="259">
        <v>34772</v>
      </c>
      <c r="V112" s="259">
        <v>34772</v>
      </c>
      <c r="W112" s="259">
        <v>34772</v>
      </c>
      <c r="X112" s="259">
        <v>34772</v>
      </c>
      <c r="Y112" s="259">
        <v>34772</v>
      </c>
      <c r="Z112" s="259">
        <v>34772</v>
      </c>
      <c r="AA112" s="259">
        <v>34772</v>
      </c>
      <c r="AB112" s="259">
        <v>34772</v>
      </c>
      <c r="AC112" s="259">
        <v>34772</v>
      </c>
      <c r="AD112" s="259">
        <v>34772</v>
      </c>
      <c r="AE112" s="259">
        <v>17386</v>
      </c>
      <c r="AF112" s="259">
        <v>0</v>
      </c>
      <c r="AG112" s="259">
        <v>0</v>
      </c>
      <c r="AH112" s="259">
        <v>0</v>
      </c>
      <c r="AI112" s="259">
        <v>0</v>
      </c>
      <c r="AJ112" s="259">
        <v>0</v>
      </c>
      <c r="AK112" s="259">
        <v>0</v>
      </c>
      <c r="AL112" s="259">
        <v>0</v>
      </c>
      <c r="AM112" s="259">
        <v>0</v>
      </c>
      <c r="AN112" s="259">
        <v>0</v>
      </c>
      <c r="AO112" s="259">
        <v>0</v>
      </c>
      <c r="AP112" s="259">
        <v>0</v>
      </c>
      <c r="AQ112" s="259">
        <v>0</v>
      </c>
      <c r="AR112" s="259">
        <v>0</v>
      </c>
      <c r="AS112" s="259"/>
      <c r="AT112" s="259"/>
      <c r="AU112" s="260">
        <f t="shared" si="6"/>
        <v>469422</v>
      </c>
      <c r="AV112" s="261">
        <f t="shared" si="7"/>
        <v>0</v>
      </c>
      <c r="AW112" s="262">
        <f t="shared" si="8"/>
        <v>226018</v>
      </c>
      <c r="AX112" s="263">
        <f t="shared" si="9"/>
        <v>469422</v>
      </c>
      <c r="AZ112" s="250" t="b">
        <f t="shared" si="10"/>
        <v>1</v>
      </c>
      <c r="BA112" s="264">
        <f>AX112-K112</f>
        <v>0</v>
      </c>
    </row>
    <row r="113" spans="2:53" outlineLevel="1" x14ac:dyDescent="0.3">
      <c r="B113" s="265" t="s">
        <v>737</v>
      </c>
      <c r="C113" s="266"/>
      <c r="D113" s="267" t="s">
        <v>1018</v>
      </c>
      <c r="E113" s="268"/>
      <c r="F113" s="269"/>
      <c r="G113" s="269"/>
      <c r="H113" s="269"/>
      <c r="I113" s="269"/>
      <c r="J113" s="270"/>
      <c r="K113" s="277"/>
      <c r="L113" s="270" t="s">
        <v>1019</v>
      </c>
      <c r="M113" s="270"/>
      <c r="N113" s="271">
        <f>SUM(O113:P113)</f>
        <v>4.9909999999999997</v>
      </c>
      <c r="O113" s="271">
        <v>4.9909999999999997</v>
      </c>
      <c r="P113" s="271">
        <f>$P$4</f>
        <v>0</v>
      </c>
      <c r="Q113" s="271" t="s">
        <v>702</v>
      </c>
      <c r="R113" s="273">
        <v>22121.41</v>
      </c>
      <c r="S113" s="273">
        <f>SUM(S112:$AR112)*$N113/100</f>
        <v>21693.3815</v>
      </c>
      <c r="T113" s="273">
        <f>SUM(T112:$AR112)*$N113/100</f>
        <v>19957.910979999997</v>
      </c>
      <c r="U113" s="273">
        <f>SUM(U112:$AR112)*$N113/100</f>
        <v>18222.440459999998</v>
      </c>
      <c r="V113" s="273">
        <f>SUM(V112:$AR112)*$N113/100</f>
        <v>16486.969939999999</v>
      </c>
      <c r="W113" s="273">
        <f>SUM(W112:$AR112)*$N113/100</f>
        <v>14751.499419999998</v>
      </c>
      <c r="X113" s="273">
        <f>SUM(X112:$AR112)*$N113/100</f>
        <v>13016.028899999999</v>
      </c>
      <c r="Y113" s="273">
        <f>SUM(Y112:$AR112)*$N113/100</f>
        <v>11280.55838</v>
      </c>
      <c r="Z113" s="273">
        <f>SUM(Z112:$AR112)*$N113/100</f>
        <v>9545.0878599999996</v>
      </c>
      <c r="AA113" s="273">
        <f>SUM(AA112:$AR112)*$N113/100</f>
        <v>7809.6173399999998</v>
      </c>
      <c r="AB113" s="273">
        <f>SUM(AB112:$AR112)*$N113/100</f>
        <v>6074.146819999999</v>
      </c>
      <c r="AC113" s="273">
        <f>SUM(AC112:$AR112)*$N113/100</f>
        <v>4338.6762999999992</v>
      </c>
      <c r="AD113" s="273">
        <f>SUM(AD112:$AR112)*$N113/100</f>
        <v>2603.2057799999998</v>
      </c>
      <c r="AE113" s="273">
        <f>SUM(AE112:$AR112)*$N113/100</f>
        <v>867.73525999999993</v>
      </c>
      <c r="AF113" s="273">
        <v>0</v>
      </c>
      <c r="AG113" s="273">
        <v>0</v>
      </c>
      <c r="AH113" s="273">
        <v>0</v>
      </c>
      <c r="AI113" s="273">
        <v>0</v>
      </c>
      <c r="AJ113" s="273">
        <v>0</v>
      </c>
      <c r="AK113" s="273">
        <v>0</v>
      </c>
      <c r="AL113" s="273">
        <v>0</v>
      </c>
      <c r="AM113" s="273">
        <v>0</v>
      </c>
      <c r="AN113" s="273">
        <v>0</v>
      </c>
      <c r="AO113" s="273">
        <v>0</v>
      </c>
      <c r="AP113" s="273">
        <v>0</v>
      </c>
      <c r="AQ113" s="273">
        <v>0</v>
      </c>
      <c r="AR113" s="273">
        <v>0</v>
      </c>
      <c r="AS113" s="273"/>
      <c r="AT113" s="273"/>
      <c r="AU113" s="274">
        <f t="shared" si="6"/>
        <v>168768.66893999994</v>
      </c>
      <c r="AV113" s="261">
        <f t="shared" si="7"/>
        <v>0</v>
      </c>
      <c r="AW113" s="275">
        <f t="shared" si="8"/>
        <v>42519.027739999998</v>
      </c>
      <c r="AX113" s="276">
        <f t="shared" si="9"/>
        <v>168768.66893999997</v>
      </c>
      <c r="AZ113" s="250" t="b">
        <f t="shared" si="10"/>
        <v>1</v>
      </c>
    </row>
    <row r="114" spans="2:53" s="283" customFormat="1" x14ac:dyDescent="0.3">
      <c r="B114" s="279" t="s">
        <v>692</v>
      </c>
      <c r="C114" s="280">
        <v>55</v>
      </c>
      <c r="D114" s="281" t="s">
        <v>1020</v>
      </c>
      <c r="E114" s="254" t="s">
        <v>1021</v>
      </c>
      <c r="F114" s="254" t="s">
        <v>1022</v>
      </c>
      <c r="G114" s="289">
        <v>45159</v>
      </c>
      <c r="H114" s="254" t="s">
        <v>1023</v>
      </c>
      <c r="I114" s="254" t="s">
        <v>698</v>
      </c>
      <c r="J114" s="256">
        <v>165176</v>
      </c>
      <c r="K114" s="257">
        <v>149634</v>
      </c>
      <c r="L114" s="257"/>
      <c r="M114" s="257"/>
      <c r="N114" s="258"/>
      <c r="O114" s="258"/>
      <c r="P114" s="258"/>
      <c r="Q114" s="258" t="s">
        <v>699</v>
      </c>
      <c r="R114" s="259">
        <v>31084</v>
      </c>
      <c r="S114" s="259">
        <v>31084</v>
      </c>
      <c r="T114" s="259">
        <v>31084</v>
      </c>
      <c r="U114" s="259">
        <v>31084</v>
      </c>
      <c r="V114" s="259">
        <f>31084-5786</f>
        <v>25298</v>
      </c>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60">
        <f t="shared" si="6"/>
        <v>149634</v>
      </c>
      <c r="AV114" s="261">
        <f t="shared" si="7"/>
        <v>0</v>
      </c>
      <c r="AW114" s="262">
        <f t="shared" si="8"/>
        <v>0</v>
      </c>
      <c r="AX114" s="263">
        <f t="shared" si="9"/>
        <v>149634</v>
      </c>
      <c r="AZ114" s="283" t="b">
        <f t="shared" si="10"/>
        <v>1</v>
      </c>
      <c r="BA114" s="264">
        <f>AX114-K114</f>
        <v>0</v>
      </c>
    </row>
    <row r="115" spans="2:53" s="232" customFormat="1" x14ac:dyDescent="0.3">
      <c r="B115" s="284" t="s">
        <v>692</v>
      </c>
      <c r="C115" s="285"/>
      <c r="D115" s="286" t="s">
        <v>1024</v>
      </c>
      <c r="E115" s="268"/>
      <c r="F115" s="268"/>
      <c r="G115" s="268"/>
      <c r="H115" s="268"/>
      <c r="I115" s="268"/>
      <c r="J115" s="270"/>
      <c r="K115" s="270"/>
      <c r="L115" s="270" t="s">
        <v>1025</v>
      </c>
      <c r="M115" s="270"/>
      <c r="N115" s="271">
        <f>SUM(O115:P115)</f>
        <v>4.2270000000000003</v>
      </c>
      <c r="O115" s="271">
        <v>4.2270000000000003</v>
      </c>
      <c r="P115" s="271">
        <f>$P$4</f>
        <v>0</v>
      </c>
      <c r="Q115" s="271" t="s">
        <v>702</v>
      </c>
      <c r="R115" s="273">
        <v>6100.36</v>
      </c>
      <c r="S115" s="273">
        <f>SUM(S114:$AR114)*$N115/100</f>
        <v>5011.1085000000003</v>
      </c>
      <c r="T115" s="273">
        <f>SUM(T114:$AR114)*$N115/100</f>
        <v>3697.1878200000001</v>
      </c>
      <c r="U115" s="273">
        <f>SUM(U114:$AR114)*$N115/100</f>
        <v>2383.2671399999999</v>
      </c>
      <c r="V115" s="273">
        <f>SUM(V114:$AR114)*$N115/100</f>
        <v>1069.34646</v>
      </c>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c r="AT115" s="273"/>
      <c r="AU115" s="274">
        <f t="shared" si="6"/>
        <v>18261.269919999999</v>
      </c>
      <c r="AV115" s="261">
        <f t="shared" si="7"/>
        <v>0</v>
      </c>
      <c r="AW115" s="275">
        <f t="shared" si="8"/>
        <v>0</v>
      </c>
      <c r="AX115" s="276">
        <f t="shared" si="9"/>
        <v>18261.269919999999</v>
      </c>
      <c r="AZ115" s="283" t="b">
        <f t="shared" si="10"/>
        <v>1</v>
      </c>
      <c r="BA115" s="230"/>
    </row>
    <row r="116" spans="2:53" s="283" customFormat="1" x14ac:dyDescent="0.3">
      <c r="B116" s="279" t="s">
        <v>692</v>
      </c>
      <c r="C116" s="280">
        <v>56</v>
      </c>
      <c r="D116" s="281" t="s">
        <v>1026</v>
      </c>
      <c r="E116" s="254" t="s">
        <v>1027</v>
      </c>
      <c r="F116" s="254" t="s">
        <v>1028</v>
      </c>
      <c r="G116" s="289">
        <v>45215</v>
      </c>
      <c r="H116" s="289">
        <v>49572</v>
      </c>
      <c r="I116" s="254" t="s">
        <v>698</v>
      </c>
      <c r="J116" s="256">
        <v>353750</v>
      </c>
      <c r="K116" s="257">
        <v>314930</v>
      </c>
      <c r="L116" s="257"/>
      <c r="M116" s="257"/>
      <c r="N116" s="258"/>
      <c r="O116" s="258"/>
      <c r="P116" s="258"/>
      <c r="Q116" s="258" t="s">
        <v>699</v>
      </c>
      <c r="R116" s="259">
        <f t="shared" ref="R116:AA116" si="11">7527*4</f>
        <v>30108</v>
      </c>
      <c r="S116" s="259">
        <f t="shared" si="11"/>
        <v>30108</v>
      </c>
      <c r="T116" s="259">
        <f t="shared" si="11"/>
        <v>30108</v>
      </c>
      <c r="U116" s="259">
        <f t="shared" si="11"/>
        <v>30108</v>
      </c>
      <c r="V116" s="259">
        <f t="shared" si="11"/>
        <v>30108</v>
      </c>
      <c r="W116" s="259">
        <f t="shared" si="11"/>
        <v>30108</v>
      </c>
      <c r="X116" s="259">
        <f t="shared" si="11"/>
        <v>30108</v>
      </c>
      <c r="Y116" s="259">
        <f t="shared" si="11"/>
        <v>30108</v>
      </c>
      <c r="Z116" s="259">
        <f t="shared" si="11"/>
        <v>30108</v>
      </c>
      <c r="AA116" s="259">
        <f t="shared" si="11"/>
        <v>30108</v>
      </c>
      <c r="AB116" s="259">
        <f>7527*2+7508-8712</f>
        <v>13850</v>
      </c>
      <c r="AC116" s="259"/>
      <c r="AD116" s="259"/>
      <c r="AE116" s="259"/>
      <c r="AF116" s="259"/>
      <c r="AG116" s="259"/>
      <c r="AH116" s="259"/>
      <c r="AI116" s="259"/>
      <c r="AJ116" s="259"/>
      <c r="AK116" s="259"/>
      <c r="AL116" s="259"/>
      <c r="AM116" s="259"/>
      <c r="AN116" s="259"/>
      <c r="AO116" s="259"/>
      <c r="AP116" s="259"/>
      <c r="AQ116" s="259"/>
      <c r="AR116" s="259"/>
      <c r="AS116" s="259"/>
      <c r="AT116" s="259"/>
      <c r="AU116" s="260">
        <f t="shared" si="6"/>
        <v>314930</v>
      </c>
      <c r="AV116" s="261">
        <f t="shared" si="7"/>
        <v>0</v>
      </c>
      <c r="AW116" s="262">
        <f t="shared" si="8"/>
        <v>104174</v>
      </c>
      <c r="AX116" s="263">
        <f t="shared" si="9"/>
        <v>314930</v>
      </c>
      <c r="AZ116" s="283" t="b">
        <f t="shared" si="10"/>
        <v>1</v>
      </c>
      <c r="BA116" s="264">
        <f>AX116-K116</f>
        <v>0</v>
      </c>
    </row>
    <row r="117" spans="2:53" s="232" customFormat="1" x14ac:dyDescent="0.3">
      <c r="B117" s="284" t="s">
        <v>692</v>
      </c>
      <c r="C117" s="285"/>
      <c r="D117" s="286" t="s">
        <v>1029</v>
      </c>
      <c r="E117" s="268"/>
      <c r="F117" s="268"/>
      <c r="G117" s="268"/>
      <c r="H117" s="268"/>
      <c r="I117" s="268"/>
      <c r="J117" s="277"/>
      <c r="K117" s="270"/>
      <c r="L117" s="270"/>
      <c r="M117" s="270" t="s">
        <v>881</v>
      </c>
      <c r="N117" s="271">
        <f>SUM(O117:P117)</f>
        <v>4.5910000000000002</v>
      </c>
      <c r="O117" s="271">
        <v>4.5910000000000002</v>
      </c>
      <c r="P117" s="271"/>
      <c r="Q117" s="271" t="s">
        <v>702</v>
      </c>
      <c r="R117" s="273">
        <v>14441.35</v>
      </c>
      <c r="S117" s="273">
        <f>SUM(S116:$AR116)*$N117/100</f>
        <v>13076.178020000001</v>
      </c>
      <c r="T117" s="273">
        <f>SUM(T116:$AR116)*$N117/100</f>
        <v>11693.919740000001</v>
      </c>
      <c r="U117" s="273">
        <f>SUM(U116:$AR116)*$N117/100</f>
        <v>10311.661460000001</v>
      </c>
      <c r="V117" s="273">
        <f>SUM(V116:$AR116)*$N117/100</f>
        <v>8929.4031800000012</v>
      </c>
      <c r="W117" s="273">
        <f>SUM(W116:$AR116)*$N117/100</f>
        <v>7547.1449000000002</v>
      </c>
      <c r="X117" s="273">
        <f>SUM(X116:$AR116)*$N117/100</f>
        <v>6164.8866200000002</v>
      </c>
      <c r="Y117" s="273">
        <f>SUM(Y116:$AR116)*$N117/100</f>
        <v>4782.6283400000002</v>
      </c>
      <c r="Z117" s="273">
        <f>SUM(Z116:$AR116)*$N117/100</f>
        <v>3400.3700599999997</v>
      </c>
      <c r="AA117" s="273">
        <f>SUM(AA116:$AR116)*$N117/100</f>
        <v>2018.1117800000002</v>
      </c>
      <c r="AB117" s="273">
        <f>SUM(AB116:$AR116)*$N117/100</f>
        <v>635.85350000000005</v>
      </c>
      <c r="AC117" s="273"/>
      <c r="AD117" s="273"/>
      <c r="AE117" s="273"/>
      <c r="AF117" s="273"/>
      <c r="AG117" s="273"/>
      <c r="AH117" s="273"/>
      <c r="AI117" s="273"/>
      <c r="AJ117" s="273"/>
      <c r="AK117" s="273"/>
      <c r="AL117" s="273"/>
      <c r="AM117" s="273"/>
      <c r="AN117" s="273"/>
      <c r="AO117" s="273"/>
      <c r="AP117" s="273"/>
      <c r="AQ117" s="273"/>
      <c r="AR117" s="273"/>
      <c r="AS117" s="273"/>
      <c r="AT117" s="273"/>
      <c r="AU117" s="274">
        <f t="shared" si="6"/>
        <v>83001.507600000012</v>
      </c>
      <c r="AV117" s="261">
        <f t="shared" si="7"/>
        <v>0</v>
      </c>
      <c r="AW117" s="275">
        <f t="shared" si="8"/>
        <v>10836.963679999999</v>
      </c>
      <c r="AX117" s="276">
        <f t="shared" si="9"/>
        <v>83001.507600000012</v>
      </c>
      <c r="AZ117" s="283" t="b">
        <f t="shared" si="10"/>
        <v>1</v>
      </c>
      <c r="BA117" s="230"/>
    </row>
    <row r="118" spans="2:53" s="283" customFormat="1" x14ac:dyDescent="0.3">
      <c r="B118" s="279"/>
      <c r="C118" s="280">
        <v>57</v>
      </c>
      <c r="D118" s="281" t="s">
        <v>1030</v>
      </c>
      <c r="E118" s="254" t="s">
        <v>1031</v>
      </c>
      <c r="F118" s="254" t="s">
        <v>1032</v>
      </c>
      <c r="G118" s="289">
        <v>45561</v>
      </c>
      <c r="H118" s="289">
        <v>49207</v>
      </c>
      <c r="I118" s="254" t="s">
        <v>698</v>
      </c>
      <c r="J118" s="290">
        <v>631001</v>
      </c>
      <c r="K118" s="257">
        <v>631001</v>
      </c>
      <c r="L118" s="257"/>
      <c r="M118" s="257"/>
      <c r="N118" s="258"/>
      <c r="O118" s="258"/>
      <c r="P118" s="258"/>
      <c r="Q118" s="258" t="s">
        <v>699</v>
      </c>
      <c r="R118" s="259">
        <f>19715*2</f>
        <v>39430</v>
      </c>
      <c r="S118" s="259">
        <f>19715*4</f>
        <v>78860</v>
      </c>
      <c r="T118" s="259">
        <f t="shared" ref="T118:Y118" si="12">19715*4</f>
        <v>78860</v>
      </c>
      <c r="U118" s="259">
        <f t="shared" si="12"/>
        <v>78860</v>
      </c>
      <c r="V118" s="259">
        <f t="shared" si="12"/>
        <v>78860</v>
      </c>
      <c r="W118" s="259">
        <f t="shared" si="12"/>
        <v>78860</v>
      </c>
      <c r="X118" s="259">
        <f t="shared" si="12"/>
        <v>78860</v>
      </c>
      <c r="Y118" s="259">
        <f t="shared" si="12"/>
        <v>78860</v>
      </c>
      <c r="Z118" s="259">
        <f>19715*2+121</f>
        <v>39551</v>
      </c>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60">
        <f>SUM(R118:AT118)</f>
        <v>631001</v>
      </c>
      <c r="AV118" s="261">
        <f>AU118-SUM(R118:AT118)</f>
        <v>0</v>
      </c>
      <c r="AW118" s="262">
        <f>SUM(Y118:AT118)</f>
        <v>118411</v>
      </c>
      <c r="AX118" s="263">
        <f>SUM(R118:X118,AW118)</f>
        <v>631001</v>
      </c>
      <c r="AZ118" s="283" t="b">
        <f>AU118=AX118</f>
        <v>1</v>
      </c>
      <c r="BA118" s="264">
        <f>AX118-K118</f>
        <v>0</v>
      </c>
    </row>
    <row r="119" spans="2:53" s="232" customFormat="1" ht="14.25" customHeight="1" x14ac:dyDescent="0.3">
      <c r="B119" s="284"/>
      <c r="C119" s="285"/>
      <c r="D119" s="286" t="s">
        <v>1033</v>
      </c>
      <c r="E119" s="268"/>
      <c r="F119" s="268"/>
      <c r="G119" s="268"/>
      <c r="H119" s="268"/>
      <c r="I119" s="268"/>
      <c r="J119" s="277"/>
      <c r="K119" s="270"/>
      <c r="L119" s="270" t="s">
        <v>1034</v>
      </c>
      <c r="M119" s="270"/>
      <c r="N119" s="271">
        <f>SUM(O119:P119)</f>
        <v>3.976</v>
      </c>
      <c r="O119" s="271">
        <v>3.976</v>
      </c>
      <c r="P119" s="271">
        <f>$P$4</f>
        <v>0</v>
      </c>
      <c r="Q119" s="271" t="s">
        <v>702</v>
      </c>
      <c r="R119" s="273">
        <f>SUM(R118:$AR118)*$N119/100</f>
        <v>25088.599759999997</v>
      </c>
      <c r="S119" s="273">
        <f>SUM(S118:$AR118)*$N119/100</f>
        <v>23520.862960000002</v>
      </c>
      <c r="T119" s="273">
        <f>SUM(T118:$AR118)*$N119/100</f>
        <v>20385.389360000001</v>
      </c>
      <c r="U119" s="273">
        <f>SUM(U118:$AR118)*$N119/100</f>
        <v>17249.91576</v>
      </c>
      <c r="V119" s="273">
        <f>SUM(V118:$AR118)*$N119/100</f>
        <v>14114.442160000001</v>
      </c>
      <c r="W119" s="273">
        <f>SUM(W118:$AR118)*$N119/100</f>
        <v>10978.968559999999</v>
      </c>
      <c r="X119" s="273">
        <f>SUM(X118:$AR118)*$N119/100</f>
        <v>7843.49496</v>
      </c>
      <c r="Y119" s="273">
        <f>SUM(Y118:$AR118)*$N119/100</f>
        <v>4708.0213599999997</v>
      </c>
      <c r="Z119" s="273">
        <f>SUM(Z118:$AR118)*$N119/100</f>
        <v>1572.5477600000002</v>
      </c>
      <c r="AA119" s="273">
        <f>SUM(AA118:$AR118)*$N119/100</f>
        <v>0</v>
      </c>
      <c r="AB119" s="273">
        <f>SUM(AB118:$AR118)*$N119/100</f>
        <v>0</v>
      </c>
      <c r="AC119" s="273"/>
      <c r="AD119" s="273"/>
      <c r="AE119" s="273"/>
      <c r="AF119" s="273"/>
      <c r="AG119" s="273"/>
      <c r="AH119" s="273"/>
      <c r="AI119" s="273"/>
      <c r="AJ119" s="273"/>
      <c r="AK119" s="273"/>
      <c r="AL119" s="273"/>
      <c r="AM119" s="273"/>
      <c r="AN119" s="273"/>
      <c r="AO119" s="273"/>
      <c r="AP119" s="273"/>
      <c r="AQ119" s="273"/>
      <c r="AR119" s="273"/>
      <c r="AS119" s="273"/>
      <c r="AT119" s="273"/>
      <c r="AU119" s="274">
        <f>SUM(R119:AT119)</f>
        <v>125462.24264</v>
      </c>
      <c r="AV119" s="261">
        <f>AU119-SUM(R119:AT119)</f>
        <v>0</v>
      </c>
      <c r="AW119" s="275">
        <f>SUM(Y119:AT119)</f>
        <v>6280.5691200000001</v>
      </c>
      <c r="AX119" s="276">
        <f>SUM(R119:X119,AW119)</f>
        <v>125462.24264</v>
      </c>
      <c r="AZ119" s="283" t="b">
        <f>AU119=AX119</f>
        <v>1</v>
      </c>
      <c r="BA119" s="230"/>
    </row>
    <row r="120" spans="2:53" s="232" customFormat="1" x14ac:dyDescent="0.3">
      <c r="B120" s="279" t="s">
        <v>692</v>
      </c>
      <c r="C120" s="280">
        <v>58</v>
      </c>
      <c r="D120" s="281" t="s">
        <v>428</v>
      </c>
      <c r="E120" s="254" t="s">
        <v>1035</v>
      </c>
      <c r="F120" s="254" t="s">
        <v>1036</v>
      </c>
      <c r="G120" s="289">
        <v>45616</v>
      </c>
      <c r="H120" s="289">
        <v>47411</v>
      </c>
      <c r="I120" s="254" t="s">
        <v>698</v>
      </c>
      <c r="J120" s="290">
        <v>123379.93</v>
      </c>
      <c r="K120" s="257">
        <v>123379.93</v>
      </c>
      <c r="L120" s="290"/>
      <c r="M120" s="290"/>
      <c r="N120" s="291"/>
      <c r="O120" s="291"/>
      <c r="P120" s="291"/>
      <c r="Q120" s="287" t="s">
        <v>699</v>
      </c>
      <c r="R120" s="292">
        <f>6494*3</f>
        <v>19482</v>
      </c>
      <c r="S120" s="292">
        <f>6494*4</f>
        <v>25976</v>
      </c>
      <c r="T120" s="292">
        <f>6494*4</f>
        <v>25976</v>
      </c>
      <c r="U120" s="292">
        <f>6494*4</f>
        <v>25976</v>
      </c>
      <c r="V120" s="292">
        <f>6494*3+6488</f>
        <v>25970</v>
      </c>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63">
        <f>SUM(R120:AT120)</f>
        <v>123380</v>
      </c>
      <c r="AV120" s="282">
        <f>AU120-SUM(R120:AT120)</f>
        <v>0</v>
      </c>
      <c r="AW120" s="293">
        <f>SUM(Y120:AT120)</f>
        <v>0</v>
      </c>
      <c r="AX120" s="263">
        <f>SUM(R120:X120,AW120)</f>
        <v>123380</v>
      </c>
      <c r="AZ120" s="283" t="b">
        <f>AU120=AX120</f>
        <v>1</v>
      </c>
      <c r="BA120" s="264">
        <f>AX120-K120</f>
        <v>7.0000000006984919E-2</v>
      </c>
    </row>
    <row r="121" spans="2:53" s="232" customFormat="1" x14ac:dyDescent="0.3">
      <c r="B121" s="284" t="s">
        <v>692</v>
      </c>
      <c r="C121" s="294"/>
      <c r="D121" s="286"/>
      <c r="E121" s="268"/>
      <c r="F121" s="268"/>
      <c r="G121" s="268"/>
      <c r="H121" s="268"/>
      <c r="I121" s="268"/>
      <c r="J121" s="277"/>
      <c r="K121" s="277"/>
      <c r="L121" s="277" t="s">
        <v>1037</v>
      </c>
      <c r="M121" s="277"/>
      <c r="N121" s="278">
        <f>SUM(O121:P121)</f>
        <v>3.3959999999999999</v>
      </c>
      <c r="O121" s="278">
        <v>3.3959999999999999</v>
      </c>
      <c r="P121" s="278">
        <f>$P$4</f>
        <v>0</v>
      </c>
      <c r="Q121" s="278" t="s">
        <v>702</v>
      </c>
      <c r="R121" s="295">
        <f>3318.3+1000</f>
        <v>4318.3</v>
      </c>
      <c r="S121" s="295">
        <f>SUM(S120:$AR120)*$N121/100</f>
        <v>3528.37608</v>
      </c>
      <c r="T121" s="295">
        <f>SUM(T120:$AR120)*$N121/100</f>
        <v>2646.2311199999995</v>
      </c>
      <c r="U121" s="295">
        <f>SUM(U120:$AR120)*$N121/100</f>
        <v>1764.0861600000001</v>
      </c>
      <c r="V121" s="295">
        <f>SUM(V120:$AR120)*$N121/100</f>
        <v>881.94119999999998</v>
      </c>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5"/>
      <c r="AS121" s="295"/>
      <c r="AT121" s="295"/>
      <c r="AU121" s="276">
        <f>SUM(R121:AT121)</f>
        <v>13138.93456</v>
      </c>
      <c r="AV121" s="282">
        <f>AU121-SUM(R121:AT121)</f>
        <v>0</v>
      </c>
      <c r="AW121" s="296">
        <f>SUM(Y121:AT121)</f>
        <v>0</v>
      </c>
      <c r="AX121" s="276">
        <f>SUM(R121:X121,AW121)</f>
        <v>13138.93456</v>
      </c>
      <c r="AZ121" s="283" t="b">
        <f>AU121=AX121</f>
        <v>1</v>
      </c>
      <c r="BA121" s="230"/>
    </row>
    <row r="122" spans="2:53" s="309" customFormat="1" x14ac:dyDescent="0.3">
      <c r="B122" s="297" t="s">
        <v>737</v>
      </c>
      <c r="C122" s="298">
        <v>59</v>
      </c>
      <c r="D122" s="299" t="s">
        <v>1038</v>
      </c>
      <c r="E122" s="300" t="s">
        <v>1039</v>
      </c>
      <c r="F122" s="300"/>
      <c r="G122" s="300">
        <v>2025</v>
      </c>
      <c r="H122" s="300">
        <v>2029</v>
      </c>
      <c r="I122" s="300" t="s">
        <v>698</v>
      </c>
      <c r="J122" s="301">
        <v>223584</v>
      </c>
      <c r="K122" s="302"/>
      <c r="L122" s="302"/>
      <c r="M122" s="302"/>
      <c r="N122" s="303"/>
      <c r="O122" s="303"/>
      <c r="P122" s="303"/>
      <c r="Q122" s="304" t="s">
        <v>699</v>
      </c>
      <c r="R122" s="305"/>
      <c r="S122" s="305">
        <f>$J$122/5</f>
        <v>44716.800000000003</v>
      </c>
      <c r="T122" s="305">
        <f>$J$122/5</f>
        <v>44716.800000000003</v>
      </c>
      <c r="U122" s="305">
        <f>$J$122/5</f>
        <v>44716.800000000003</v>
      </c>
      <c r="V122" s="305">
        <f>$J$122/5</f>
        <v>44716.800000000003</v>
      </c>
      <c r="W122" s="305">
        <f>$J$122/5</f>
        <v>44716.800000000003</v>
      </c>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6">
        <f t="shared" si="6"/>
        <v>223584</v>
      </c>
      <c r="AV122" s="307">
        <f t="shared" si="7"/>
        <v>0</v>
      </c>
      <c r="AW122" s="308">
        <f t="shared" si="8"/>
        <v>0</v>
      </c>
      <c r="AX122" s="306">
        <f t="shared" si="9"/>
        <v>223584</v>
      </c>
      <c r="AZ122" s="310" t="b">
        <f t="shared" si="10"/>
        <v>1</v>
      </c>
      <c r="BA122" s="264">
        <f>AX122-K122</f>
        <v>223584</v>
      </c>
    </row>
    <row r="123" spans="2:53" s="309" customFormat="1" x14ac:dyDescent="0.3">
      <c r="B123" s="311" t="s">
        <v>737</v>
      </c>
      <c r="C123" s="312"/>
      <c r="D123" s="313" t="s">
        <v>1040</v>
      </c>
      <c r="E123" s="314"/>
      <c r="F123" s="314"/>
      <c r="G123" s="314"/>
      <c r="H123" s="314"/>
      <c r="I123" s="314"/>
      <c r="J123" s="315"/>
      <c r="K123" s="316"/>
      <c r="L123" s="316"/>
      <c r="M123" s="316"/>
      <c r="N123" s="317">
        <f>SUM(O123:P123)</f>
        <v>3.47</v>
      </c>
      <c r="O123" s="317">
        <f>1+2.47</f>
        <v>3.47</v>
      </c>
      <c r="P123" s="317">
        <f>$P$4</f>
        <v>0</v>
      </c>
      <c r="Q123" s="317" t="s">
        <v>702</v>
      </c>
      <c r="R123" s="318">
        <f>SUM(R122:$AR122)*$N123/100</f>
        <v>7758.3648000000012</v>
      </c>
      <c r="S123" s="318">
        <f>SUM(S122:$AR122)*$N123/100</f>
        <v>7758.3648000000012</v>
      </c>
      <c r="T123" s="318">
        <f>SUM(T122:$AR122)*$N123/100</f>
        <v>6206.6918400000013</v>
      </c>
      <c r="U123" s="318">
        <f>SUM(U122:$AR122)*$N123/100</f>
        <v>4655.0188800000005</v>
      </c>
      <c r="V123" s="318">
        <f>SUM(V122:$AR122)*$N123/100</f>
        <v>3103.3459200000007</v>
      </c>
      <c r="W123" s="318">
        <f>SUM(W122:$AR122)*$N123/100</f>
        <v>1551.6729600000003</v>
      </c>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9">
        <f t="shared" si="6"/>
        <v>31033.459200000005</v>
      </c>
      <c r="AV123" s="307">
        <f t="shared" si="7"/>
        <v>0</v>
      </c>
      <c r="AW123" s="320">
        <f t="shared" si="8"/>
        <v>0</v>
      </c>
      <c r="AX123" s="319">
        <f t="shared" si="9"/>
        <v>31033.459200000005</v>
      </c>
      <c r="AZ123" s="310" t="b">
        <f t="shared" si="10"/>
        <v>1</v>
      </c>
      <c r="BA123" s="230"/>
    </row>
    <row r="124" spans="2:53" s="309" customFormat="1" x14ac:dyDescent="0.3">
      <c r="B124" s="297" t="s">
        <v>737</v>
      </c>
      <c r="C124" s="298">
        <v>60</v>
      </c>
      <c r="D124" s="299" t="s">
        <v>227</v>
      </c>
      <c r="E124" s="300" t="s">
        <v>1039</v>
      </c>
      <c r="F124" s="300"/>
      <c r="G124" s="300">
        <v>2025</v>
      </c>
      <c r="H124" s="300">
        <v>2039</v>
      </c>
      <c r="I124" s="300" t="s">
        <v>698</v>
      </c>
      <c r="J124" s="301">
        <v>1731073</v>
      </c>
      <c r="K124" s="302"/>
      <c r="L124" s="302"/>
      <c r="M124" s="302"/>
      <c r="N124" s="303"/>
      <c r="O124" s="303"/>
      <c r="P124" s="303"/>
      <c r="Q124" s="304" t="s">
        <v>699</v>
      </c>
      <c r="R124" s="305"/>
      <c r="S124" s="305"/>
      <c r="T124" s="305">
        <f>$J$124/15</f>
        <v>115404.86666666667</v>
      </c>
      <c r="U124" s="305">
        <f t="shared" ref="U124:AH124" si="13">$J$124/15</f>
        <v>115404.86666666667</v>
      </c>
      <c r="V124" s="305">
        <f t="shared" si="13"/>
        <v>115404.86666666667</v>
      </c>
      <c r="W124" s="305">
        <f t="shared" si="13"/>
        <v>115404.86666666667</v>
      </c>
      <c r="X124" s="305">
        <f t="shared" si="13"/>
        <v>115404.86666666667</v>
      </c>
      <c r="Y124" s="305">
        <f t="shared" si="13"/>
        <v>115404.86666666667</v>
      </c>
      <c r="Z124" s="305">
        <f t="shared" si="13"/>
        <v>115404.86666666667</v>
      </c>
      <c r="AA124" s="305">
        <f t="shared" si="13"/>
        <v>115404.86666666667</v>
      </c>
      <c r="AB124" s="305">
        <f t="shared" si="13"/>
        <v>115404.86666666667</v>
      </c>
      <c r="AC124" s="305">
        <f t="shared" si="13"/>
        <v>115404.86666666667</v>
      </c>
      <c r="AD124" s="305">
        <f t="shared" si="13"/>
        <v>115404.86666666667</v>
      </c>
      <c r="AE124" s="305">
        <f t="shared" si="13"/>
        <v>115404.86666666667</v>
      </c>
      <c r="AF124" s="305">
        <f t="shared" si="13"/>
        <v>115404.86666666667</v>
      </c>
      <c r="AG124" s="305">
        <f t="shared" si="13"/>
        <v>115404.86666666667</v>
      </c>
      <c r="AH124" s="305">
        <f t="shared" si="13"/>
        <v>115404.86666666667</v>
      </c>
      <c r="AI124" s="305"/>
      <c r="AJ124" s="305"/>
      <c r="AK124" s="305"/>
      <c r="AL124" s="305"/>
      <c r="AM124" s="305"/>
      <c r="AN124" s="305"/>
      <c r="AO124" s="305"/>
      <c r="AP124" s="305"/>
      <c r="AQ124" s="305"/>
      <c r="AR124" s="305"/>
      <c r="AS124" s="305"/>
      <c r="AT124" s="305"/>
      <c r="AU124" s="306">
        <f>SUM(R124:AT124)</f>
        <v>1731073.0000000002</v>
      </c>
      <c r="AV124" s="307">
        <f t="shared" si="7"/>
        <v>0</v>
      </c>
      <c r="AW124" s="308">
        <f t="shared" si="8"/>
        <v>1154048.6666666667</v>
      </c>
      <c r="AX124" s="306">
        <f t="shared" si="9"/>
        <v>1731073</v>
      </c>
      <c r="AY124" s="310" t="b">
        <f>J124=AU124</f>
        <v>1</v>
      </c>
      <c r="AZ124" s="310" t="b">
        <f t="shared" si="10"/>
        <v>1</v>
      </c>
      <c r="BA124" s="264">
        <f>AX124-K124</f>
        <v>1731073</v>
      </c>
    </row>
    <row r="125" spans="2:53" s="309" customFormat="1" x14ac:dyDescent="0.3">
      <c r="B125" s="311" t="s">
        <v>737</v>
      </c>
      <c r="C125" s="312"/>
      <c r="D125" s="313"/>
      <c r="E125" s="314"/>
      <c r="F125" s="314"/>
      <c r="G125" s="314"/>
      <c r="H125" s="314"/>
      <c r="I125" s="314"/>
      <c r="J125" s="314"/>
      <c r="K125" s="316"/>
      <c r="L125" s="316"/>
      <c r="M125" s="316"/>
      <c r="N125" s="317">
        <f>SUM(O125:P125)</f>
        <v>3.952</v>
      </c>
      <c r="O125" s="317">
        <f>1.482+2.47</f>
        <v>3.952</v>
      </c>
      <c r="P125" s="317">
        <f>$P$4</f>
        <v>0</v>
      </c>
      <c r="Q125" s="317" t="s">
        <v>702</v>
      </c>
      <c r="R125" s="318">
        <f>SUM(R124:$AR124)*$N125/100</f>
        <v>68412.004960000006</v>
      </c>
      <c r="S125" s="318">
        <f>SUM(S124:$AR124)*$N125/100</f>
        <v>68412.004960000006</v>
      </c>
      <c r="T125" s="318">
        <f>SUM(T124:$AR124)*$N125/100</f>
        <v>68412.004960000006</v>
      </c>
      <c r="U125" s="318">
        <f>SUM(U124:$AR124)*$N125/100</f>
        <v>63851.204629333348</v>
      </c>
      <c r="V125" s="318">
        <f>SUM(V124:$AR124)*$N125/100</f>
        <v>59290.404298666668</v>
      </c>
      <c r="W125" s="318">
        <f>SUM(W124:$AR124)*$N125/100</f>
        <v>54729.603968000003</v>
      </c>
      <c r="X125" s="318">
        <f>SUM(X124:$AR124)*$N125/100</f>
        <v>50168.803637333338</v>
      </c>
      <c r="Y125" s="318">
        <f>SUM(Y124:$AR124)*$N125/100</f>
        <v>45608.003306666666</v>
      </c>
      <c r="Z125" s="318">
        <f>SUM(Z124:$AR124)*$N125/100</f>
        <v>41047.202976000008</v>
      </c>
      <c r="AA125" s="318">
        <f>SUM(AA124:$AR124)*$N125/100</f>
        <v>36486.402645333343</v>
      </c>
      <c r="AB125" s="318">
        <f>SUM(AB124:$AR124)*$N125/100</f>
        <v>31925.602314666674</v>
      </c>
      <c r="AC125" s="318">
        <f>SUM(AC124:$AR124)*$N125/100</f>
        <v>27364.801984000002</v>
      </c>
      <c r="AD125" s="318">
        <f>SUM(AD124:$AR124)*$N125/100</f>
        <v>22804.001653333333</v>
      </c>
      <c r="AE125" s="318">
        <f>SUM(AE124:$AR124)*$N125/100</f>
        <v>18243.201322666668</v>
      </c>
      <c r="AF125" s="318">
        <f>SUM(AF124:$AR124)*$N125/100</f>
        <v>13682.400991999999</v>
      </c>
      <c r="AG125" s="318">
        <f>SUM(AG124:$AR124)*$N125/100</f>
        <v>9121.6006613333338</v>
      </c>
      <c r="AH125" s="318">
        <f>SUM(AH124:$AR124)*$N125/100</f>
        <v>4560.8003306666669</v>
      </c>
      <c r="AI125" s="318"/>
      <c r="AJ125" s="318"/>
      <c r="AK125" s="318"/>
      <c r="AL125" s="318"/>
      <c r="AM125" s="318"/>
      <c r="AN125" s="318"/>
      <c r="AO125" s="318"/>
      <c r="AP125" s="318"/>
      <c r="AQ125" s="318"/>
      <c r="AR125" s="318"/>
      <c r="AS125" s="318"/>
      <c r="AT125" s="318"/>
      <c r="AU125" s="319">
        <f t="shared" si="6"/>
        <v>684120.04960000026</v>
      </c>
      <c r="AV125" s="307">
        <f t="shared" si="7"/>
        <v>0</v>
      </c>
      <c r="AW125" s="320">
        <f t="shared" si="8"/>
        <v>250844.01818666671</v>
      </c>
      <c r="AX125" s="319">
        <f t="shared" si="9"/>
        <v>684120.04960000003</v>
      </c>
      <c r="AZ125" s="310" t="b">
        <f t="shared" si="10"/>
        <v>1</v>
      </c>
      <c r="BA125" s="230"/>
    </row>
    <row r="126" spans="2:53" s="309" customFormat="1" x14ac:dyDescent="0.3">
      <c r="B126" s="297" t="s">
        <v>692</v>
      </c>
      <c r="C126" s="298">
        <v>61</v>
      </c>
      <c r="D126" s="299" t="s">
        <v>1041</v>
      </c>
      <c r="E126" s="300" t="s">
        <v>1039</v>
      </c>
      <c r="F126" s="300"/>
      <c r="G126" s="300">
        <v>2026</v>
      </c>
      <c r="H126" s="300">
        <v>2045</v>
      </c>
      <c r="I126" s="300" t="s">
        <v>698</v>
      </c>
      <c r="J126" s="301">
        <v>9672043</v>
      </c>
      <c r="K126" s="302"/>
      <c r="L126" s="302"/>
      <c r="M126" s="302"/>
      <c r="N126" s="303"/>
      <c r="O126" s="303"/>
      <c r="P126" s="303"/>
      <c r="Q126" s="304" t="s">
        <v>699</v>
      </c>
      <c r="R126" s="305"/>
      <c r="S126" s="305"/>
      <c r="T126" s="305">
        <f>$J$126/18/2</f>
        <v>268667.86111111112</v>
      </c>
      <c r="U126" s="305">
        <f>$J$126/18</f>
        <v>537335.72222222225</v>
      </c>
      <c r="V126" s="305">
        <f t="shared" ref="V126:AK126" si="14">$J$126/18</f>
        <v>537335.72222222225</v>
      </c>
      <c r="W126" s="305">
        <f t="shared" si="14"/>
        <v>537335.72222222225</v>
      </c>
      <c r="X126" s="305">
        <f t="shared" si="14"/>
        <v>537335.72222222225</v>
      </c>
      <c r="Y126" s="305">
        <f t="shared" si="14"/>
        <v>537335.72222222225</v>
      </c>
      <c r="Z126" s="305">
        <f t="shared" si="14"/>
        <v>537335.72222222225</v>
      </c>
      <c r="AA126" s="305">
        <f t="shared" si="14"/>
        <v>537335.72222222225</v>
      </c>
      <c r="AB126" s="305">
        <f t="shared" si="14"/>
        <v>537335.72222222225</v>
      </c>
      <c r="AC126" s="305">
        <f t="shared" si="14"/>
        <v>537335.72222222225</v>
      </c>
      <c r="AD126" s="305">
        <f t="shared" si="14"/>
        <v>537335.72222222225</v>
      </c>
      <c r="AE126" s="305">
        <f t="shared" si="14"/>
        <v>537335.72222222225</v>
      </c>
      <c r="AF126" s="305">
        <f t="shared" si="14"/>
        <v>537335.72222222225</v>
      </c>
      <c r="AG126" s="305">
        <f t="shared" si="14"/>
        <v>537335.72222222225</v>
      </c>
      <c r="AH126" s="305">
        <f t="shared" si="14"/>
        <v>537335.72222222225</v>
      </c>
      <c r="AI126" s="305">
        <f t="shared" si="14"/>
        <v>537335.72222222225</v>
      </c>
      <c r="AJ126" s="305">
        <f t="shared" si="14"/>
        <v>537335.72222222225</v>
      </c>
      <c r="AK126" s="305">
        <f t="shared" si="14"/>
        <v>537335.72222222225</v>
      </c>
      <c r="AL126" s="305">
        <f>$J$126/18/2</f>
        <v>268667.86111111112</v>
      </c>
      <c r="AM126" s="305"/>
      <c r="AN126" s="305"/>
      <c r="AO126" s="305"/>
      <c r="AP126" s="305"/>
      <c r="AQ126" s="305"/>
      <c r="AR126" s="305"/>
      <c r="AS126" s="305"/>
      <c r="AT126" s="305"/>
      <c r="AU126" s="306">
        <f>SUM(R126:AT126)</f>
        <v>9672042.9999999981</v>
      </c>
      <c r="AV126" s="307">
        <f t="shared" si="7"/>
        <v>0</v>
      </c>
      <c r="AW126" s="308">
        <f t="shared" si="8"/>
        <v>7254032.2499999981</v>
      </c>
      <c r="AX126" s="306">
        <f t="shared" si="9"/>
        <v>9672042.9999999981</v>
      </c>
      <c r="AY126" s="310" t="b">
        <f>J126=AU126</f>
        <v>1</v>
      </c>
      <c r="AZ126" s="310" t="b">
        <f t="shared" si="10"/>
        <v>1</v>
      </c>
      <c r="BA126" s="264">
        <f>AX126-K126</f>
        <v>9672042.9999999981</v>
      </c>
    </row>
    <row r="127" spans="2:53" s="309" customFormat="1" x14ac:dyDescent="0.3">
      <c r="B127" s="311" t="s">
        <v>692</v>
      </c>
      <c r="C127" s="312"/>
      <c r="D127" s="314"/>
      <c r="E127" s="314"/>
      <c r="F127" s="314"/>
      <c r="G127" s="314"/>
      <c r="H127" s="314"/>
      <c r="I127" s="314"/>
      <c r="J127" s="315"/>
      <c r="K127" s="316"/>
      <c r="L127" s="316"/>
      <c r="M127" s="316"/>
      <c r="N127" s="317">
        <f>SUM(O127:P127)</f>
        <v>4.1930000000000005</v>
      </c>
      <c r="O127" s="317">
        <f>1.723+2.47</f>
        <v>4.1930000000000005</v>
      </c>
      <c r="P127" s="317">
        <f>$P$4</f>
        <v>0</v>
      </c>
      <c r="Q127" s="317" t="s">
        <v>702</v>
      </c>
      <c r="R127" s="318">
        <f>SUM(R126:$AR126)*$N127/100/2-50000+35641-22043+80000-20000-2950</f>
        <v>223422.38149499998</v>
      </c>
      <c r="S127" s="318">
        <f>SUM(S126:$AR126)*$N127/100</f>
        <v>405548.76298999996</v>
      </c>
      <c r="T127" s="318">
        <f>SUM(T126:$AR126)*$N127/100</f>
        <v>405548.76298999996</v>
      </c>
      <c r="U127" s="318">
        <f>SUM(U126:$AR126)*$N127/100</f>
        <v>394283.51957361109</v>
      </c>
      <c r="V127" s="318">
        <f>SUM(V126:$AR126)*$N127/100</f>
        <v>371753.03274083341</v>
      </c>
      <c r="W127" s="318">
        <f>SUM(W126:$AR126)*$N127/100</f>
        <v>349222.5459080555</v>
      </c>
      <c r="X127" s="318">
        <f>SUM(X126:$AR126)*$N127/100</f>
        <v>326692.05907527776</v>
      </c>
      <c r="Y127" s="318">
        <f>SUM(Y126:$AR126)*$N127/100</f>
        <v>304161.57224249997</v>
      </c>
      <c r="Z127" s="318">
        <f>SUM(Z126:$AR126)*$N127/100</f>
        <v>281631.08540972217</v>
      </c>
      <c r="AA127" s="318">
        <f>SUM(AA126:$AR126)*$N127/100</f>
        <v>259100.59857694444</v>
      </c>
      <c r="AB127" s="318">
        <f>SUM(AB126:$AR126)*$N127/100</f>
        <v>236570.11174416664</v>
      </c>
      <c r="AC127" s="318">
        <f>SUM(AC126:$AR126)*$N127/100</f>
        <v>214039.62491138888</v>
      </c>
      <c r="AD127" s="318">
        <f>SUM(AD126:$AR126)*$N127/100</f>
        <v>191509.13807861108</v>
      </c>
      <c r="AE127" s="318">
        <f>SUM(AE126:$AR126)*$N127/100</f>
        <v>168978.65124583335</v>
      </c>
      <c r="AF127" s="318">
        <f>SUM(AF126:$AR126)*$N127/100</f>
        <v>146448.16441305555</v>
      </c>
      <c r="AG127" s="318">
        <f>SUM(AG126:$AR126)*$N127/100</f>
        <v>123917.67758027778</v>
      </c>
      <c r="AH127" s="318">
        <f>SUM(AH126:$AR126)*$N127/100</f>
        <v>101387.1907475</v>
      </c>
      <c r="AI127" s="318">
        <f>SUM(AI126:$AR126)*$N127/100</f>
        <v>78856.703914722239</v>
      </c>
      <c r="AJ127" s="318">
        <f>SUM(AJ126:$AR126)*$N127/100</f>
        <v>56326.217081944451</v>
      </c>
      <c r="AK127" s="318">
        <f>SUM(AK126:$AR126)*$N127/100</f>
        <v>33795.730249166671</v>
      </c>
      <c r="AL127" s="318">
        <f>SUM(AL126:$AR126)*$N127/100</f>
        <v>11265.243416388892</v>
      </c>
      <c r="AM127" s="318"/>
      <c r="AN127" s="318"/>
      <c r="AO127" s="318"/>
      <c r="AP127" s="318"/>
      <c r="AQ127" s="318"/>
      <c r="AR127" s="318"/>
      <c r="AS127" s="318"/>
      <c r="AT127" s="318"/>
      <c r="AU127" s="319">
        <f>SUM(R127:AT127)</f>
        <v>4684458.7743849996</v>
      </c>
      <c r="AV127" s="321">
        <f t="shared" si="7"/>
        <v>0</v>
      </c>
      <c r="AW127" s="320">
        <f t="shared" si="8"/>
        <v>2207987.7096122224</v>
      </c>
      <c r="AX127" s="319">
        <f t="shared" si="9"/>
        <v>4684458.7743849996</v>
      </c>
      <c r="AZ127" s="310" t="b">
        <f t="shared" si="10"/>
        <v>1</v>
      </c>
      <c r="BA127" s="230"/>
    </row>
    <row r="128" spans="2:53" s="309" customFormat="1" x14ac:dyDescent="0.3">
      <c r="B128" s="297" t="s">
        <v>692</v>
      </c>
      <c r="C128" s="298">
        <v>62</v>
      </c>
      <c r="D128" s="299" t="s">
        <v>1042</v>
      </c>
      <c r="E128" s="300" t="s">
        <v>1039</v>
      </c>
      <c r="F128" s="300"/>
      <c r="G128" s="300">
        <v>2026</v>
      </c>
      <c r="H128" s="300">
        <v>2036</v>
      </c>
      <c r="I128" s="300" t="s">
        <v>698</v>
      </c>
      <c r="J128" s="301">
        <v>576745</v>
      </c>
      <c r="K128" s="302"/>
      <c r="L128" s="302"/>
      <c r="M128" s="302"/>
      <c r="N128" s="303"/>
      <c r="O128" s="303"/>
      <c r="P128" s="303"/>
      <c r="Q128" s="304" t="s">
        <v>699</v>
      </c>
      <c r="R128" s="305"/>
      <c r="S128" s="305"/>
      <c r="T128" s="305">
        <f>$J$128/8/2</f>
        <v>36046.5625</v>
      </c>
      <c r="U128" s="305">
        <f>$J$128/8</f>
        <v>72093.125</v>
      </c>
      <c r="V128" s="305">
        <f t="shared" ref="V128:AA128" si="15">$J$128/8</f>
        <v>72093.125</v>
      </c>
      <c r="W128" s="305">
        <f t="shared" si="15"/>
        <v>72093.125</v>
      </c>
      <c r="X128" s="305">
        <f t="shared" si="15"/>
        <v>72093.125</v>
      </c>
      <c r="Y128" s="305">
        <f t="shared" si="15"/>
        <v>72093.125</v>
      </c>
      <c r="Z128" s="305">
        <f t="shared" si="15"/>
        <v>72093.125</v>
      </c>
      <c r="AA128" s="305">
        <f t="shared" si="15"/>
        <v>72093.125</v>
      </c>
      <c r="AB128" s="305">
        <f>$J$128/8/2</f>
        <v>36046.5625</v>
      </c>
      <c r="AC128" s="305"/>
      <c r="AD128" s="305"/>
      <c r="AE128" s="305"/>
      <c r="AF128" s="305"/>
      <c r="AG128" s="305"/>
      <c r="AH128" s="305"/>
      <c r="AI128" s="305"/>
      <c r="AJ128" s="305"/>
      <c r="AK128" s="305"/>
      <c r="AL128" s="305"/>
      <c r="AM128" s="305"/>
      <c r="AN128" s="305"/>
      <c r="AO128" s="305"/>
      <c r="AP128" s="305"/>
      <c r="AQ128" s="305"/>
      <c r="AR128" s="305"/>
      <c r="AS128" s="305"/>
      <c r="AT128" s="305"/>
      <c r="AU128" s="306">
        <f>SUM(R128:AT128)</f>
        <v>576745</v>
      </c>
      <c r="AV128" s="307">
        <f t="shared" si="7"/>
        <v>0</v>
      </c>
      <c r="AW128" s="308">
        <f t="shared" si="8"/>
        <v>252325.9375</v>
      </c>
      <c r="AX128" s="306">
        <f>SUM(R128:X128,AW128)</f>
        <v>576745</v>
      </c>
      <c r="AY128" s="310" t="b">
        <f>J128=AU128</f>
        <v>1</v>
      </c>
      <c r="AZ128" s="310" t="b">
        <f t="shared" si="10"/>
        <v>1</v>
      </c>
      <c r="BA128" s="264">
        <f t="shared" ref="BA128:BA138" si="16">AX128-K128</f>
        <v>576745</v>
      </c>
    </row>
    <row r="129" spans="2:54" s="309" customFormat="1" x14ac:dyDescent="0.3">
      <c r="B129" s="311" t="s">
        <v>692</v>
      </c>
      <c r="C129" s="312"/>
      <c r="D129" s="314"/>
      <c r="E129" s="314"/>
      <c r="F129" s="314"/>
      <c r="G129" s="314"/>
      <c r="H129" s="314"/>
      <c r="I129" s="314"/>
      <c r="J129" s="315"/>
      <c r="K129" s="316"/>
      <c r="L129" s="316"/>
      <c r="M129" s="316"/>
      <c r="N129" s="317">
        <f>SUM(O129:P129)</f>
        <v>4.1930000000000005</v>
      </c>
      <c r="O129" s="317">
        <f>1.723+2.47</f>
        <v>4.1930000000000005</v>
      </c>
      <c r="P129" s="317">
        <f>$P$4</f>
        <v>0</v>
      </c>
      <c r="Q129" s="317" t="s">
        <v>702</v>
      </c>
      <c r="R129" s="318">
        <f>SUM(R128:$AR128)*$N129/100</f>
        <v>24182.917850000002</v>
      </c>
      <c r="S129" s="318">
        <f>SUM(S128:$AR128)*$N129/100</f>
        <v>24182.917850000002</v>
      </c>
      <c r="T129" s="318">
        <f>SUM(T128:$AR128)*$N129/100</f>
        <v>24182.917850000002</v>
      </c>
      <c r="U129" s="318">
        <f>SUM(U128:$AR128)*$N129/100</f>
        <v>22671.485484375004</v>
      </c>
      <c r="V129" s="318">
        <f>SUM(V128:$AR128)*$N129/100</f>
        <v>19648.620753125</v>
      </c>
      <c r="W129" s="318">
        <f>SUM(W128:$AR128)*$N129/100</f>
        <v>16625.756021875</v>
      </c>
      <c r="X129" s="318">
        <f>SUM(X128:$AR128)*$N129/100</f>
        <v>13602.891290625001</v>
      </c>
      <c r="Y129" s="318">
        <f>SUM(Y128:$AR128)*$N129/100</f>
        <v>10580.026559375001</v>
      </c>
      <c r="Z129" s="318">
        <f>SUM(Z128:$AR128)*$N129/100</f>
        <v>7557.1618281250003</v>
      </c>
      <c r="AA129" s="318">
        <f>SUM(AA128:$AR128)*$N129/100</f>
        <v>4534.2970968750005</v>
      </c>
      <c r="AB129" s="318">
        <f>SUM(AB128:$AR128)*$N129/100</f>
        <v>1511.4323656250001</v>
      </c>
      <c r="AC129" s="318"/>
      <c r="AD129" s="318"/>
      <c r="AE129" s="318"/>
      <c r="AF129" s="318"/>
      <c r="AG129" s="318"/>
      <c r="AH129" s="318"/>
      <c r="AI129" s="318"/>
      <c r="AJ129" s="318"/>
      <c r="AK129" s="318"/>
      <c r="AL129" s="318"/>
      <c r="AM129" s="318"/>
      <c r="AN129" s="318"/>
      <c r="AO129" s="318"/>
      <c r="AP129" s="318"/>
      <c r="AQ129" s="318"/>
      <c r="AR129" s="318"/>
      <c r="AS129" s="318"/>
      <c r="AT129" s="318"/>
      <c r="AU129" s="319">
        <f t="shared" ref="AU129:AU137" si="17">SUM(R129:AT129)</f>
        <v>169280.42495000002</v>
      </c>
      <c r="AV129" s="321">
        <f t="shared" si="7"/>
        <v>0</v>
      </c>
      <c r="AW129" s="320">
        <f t="shared" si="8"/>
        <v>24182.917850000005</v>
      </c>
      <c r="AX129" s="319">
        <f t="shared" ref="AX129:AX137" si="18">SUM(R129:X129,AW129)</f>
        <v>169280.42495000002</v>
      </c>
      <c r="AY129" s="310"/>
      <c r="AZ129" s="310" t="b">
        <f t="shared" si="10"/>
        <v>1</v>
      </c>
      <c r="BA129" s="264">
        <f t="shared" si="16"/>
        <v>169280.42495000002</v>
      </c>
    </row>
    <row r="130" spans="2:54" s="309" customFormat="1" x14ac:dyDescent="0.3">
      <c r="C130" s="298">
        <v>63</v>
      </c>
      <c r="D130" s="299" t="s">
        <v>1043</v>
      </c>
      <c r="E130" s="300" t="s">
        <v>1039</v>
      </c>
      <c r="F130" s="300"/>
      <c r="G130" s="300">
        <v>2025</v>
      </c>
      <c r="H130" s="300">
        <v>2030</v>
      </c>
      <c r="I130" s="300" t="s">
        <v>698</v>
      </c>
      <c r="J130" s="301">
        <v>85000</v>
      </c>
      <c r="K130" s="302"/>
      <c r="L130" s="302"/>
      <c r="M130" s="302"/>
      <c r="N130" s="303"/>
      <c r="O130" s="303"/>
      <c r="P130" s="303"/>
      <c r="Q130" s="304" t="s">
        <v>699</v>
      </c>
      <c r="R130" s="322"/>
      <c r="S130" s="305">
        <f>$J$130/5</f>
        <v>17000</v>
      </c>
      <c r="T130" s="305">
        <f>$J$130/5</f>
        <v>17000</v>
      </c>
      <c r="U130" s="305">
        <f>$J$130/5</f>
        <v>17000</v>
      </c>
      <c r="V130" s="305">
        <f>$J$130/5</f>
        <v>17000</v>
      </c>
      <c r="W130" s="305">
        <f>$J$130/5</f>
        <v>17000</v>
      </c>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6">
        <f t="shared" si="17"/>
        <v>85000</v>
      </c>
      <c r="AV130" s="307"/>
      <c r="AW130" s="308">
        <f t="shared" si="8"/>
        <v>0</v>
      </c>
      <c r="AX130" s="306">
        <f t="shared" si="18"/>
        <v>85000</v>
      </c>
      <c r="AY130" s="310" t="b">
        <f t="shared" ref="AY130:AY138" si="19">J130=AU130</f>
        <v>1</v>
      </c>
      <c r="AZ130" s="310" t="b">
        <f t="shared" si="10"/>
        <v>1</v>
      </c>
      <c r="BA130" s="264">
        <f t="shared" si="16"/>
        <v>85000</v>
      </c>
    </row>
    <row r="131" spans="2:54" s="309" customFormat="1" x14ac:dyDescent="0.3">
      <c r="C131" s="312"/>
      <c r="D131" s="323"/>
      <c r="E131" s="323"/>
      <c r="F131" s="314"/>
      <c r="G131" s="314"/>
      <c r="H131" s="314"/>
      <c r="I131" s="314"/>
      <c r="J131" s="315"/>
      <c r="K131" s="316"/>
      <c r="L131" s="316"/>
      <c r="M131" s="316"/>
      <c r="N131" s="317">
        <f>SUM(O131:P131)</f>
        <v>3.47</v>
      </c>
      <c r="O131" s="317">
        <f>1+2.47</f>
        <v>3.47</v>
      </c>
      <c r="P131" s="317">
        <f>$P$4</f>
        <v>0</v>
      </c>
      <c r="Q131" s="317" t="s">
        <v>702</v>
      </c>
      <c r="R131" s="318">
        <f>SUM(R130:$AR130)*$N131/100</f>
        <v>2949.5</v>
      </c>
      <c r="S131" s="318">
        <f>SUM(S130:$AR130)*$N131/100</f>
        <v>2949.5</v>
      </c>
      <c r="T131" s="318">
        <f>SUM(T130:$AR130)*$N131/100</f>
        <v>2359.6</v>
      </c>
      <c r="U131" s="318">
        <f>SUM(U130:$AR130)*$N131/100</f>
        <v>1769.7</v>
      </c>
      <c r="V131" s="318">
        <f>SUM(V130:$AR130)*$N131/100</f>
        <v>1179.8</v>
      </c>
      <c r="W131" s="318">
        <f>SUM(W130:$AR130)*$N131/100</f>
        <v>589.9</v>
      </c>
      <c r="X131" s="322"/>
      <c r="Y131" s="322"/>
      <c r="Z131" s="322"/>
      <c r="AA131" s="322"/>
      <c r="AB131" s="322"/>
      <c r="AC131" s="318"/>
      <c r="AD131" s="318"/>
      <c r="AE131" s="318"/>
      <c r="AF131" s="318"/>
      <c r="AG131" s="318"/>
      <c r="AH131" s="318"/>
      <c r="AI131" s="318"/>
      <c r="AJ131" s="318"/>
      <c r="AK131" s="318"/>
      <c r="AL131" s="318"/>
      <c r="AM131" s="318"/>
      <c r="AN131" s="318"/>
      <c r="AO131" s="318"/>
      <c r="AP131" s="318"/>
      <c r="AQ131" s="318"/>
      <c r="AR131" s="318"/>
      <c r="AS131" s="318"/>
      <c r="AT131" s="318"/>
      <c r="AU131" s="319">
        <f t="shared" si="17"/>
        <v>11798</v>
      </c>
      <c r="AV131" s="307"/>
      <c r="AW131" s="320">
        <f t="shared" si="8"/>
        <v>0</v>
      </c>
      <c r="AX131" s="319">
        <f t="shared" si="18"/>
        <v>11798</v>
      </c>
      <c r="AY131" s="310"/>
      <c r="AZ131" s="310" t="b">
        <f t="shared" si="10"/>
        <v>1</v>
      </c>
      <c r="BA131" s="264">
        <f t="shared" si="16"/>
        <v>11798</v>
      </c>
    </row>
    <row r="132" spans="2:54" s="309" customFormat="1" x14ac:dyDescent="0.3">
      <c r="C132" s="298">
        <v>64</v>
      </c>
      <c r="D132" s="299" t="s">
        <v>300</v>
      </c>
      <c r="E132" s="300" t="s">
        <v>1039</v>
      </c>
      <c r="F132" s="300"/>
      <c r="G132" s="300">
        <v>2025</v>
      </c>
      <c r="H132" s="300">
        <v>2035</v>
      </c>
      <c r="I132" s="300" t="s">
        <v>698</v>
      </c>
      <c r="J132" s="301">
        <v>255000</v>
      </c>
      <c r="K132" s="302"/>
      <c r="L132" s="302"/>
      <c r="M132" s="302"/>
      <c r="N132" s="303"/>
      <c r="O132" s="303"/>
      <c r="P132" s="303"/>
      <c r="Q132" s="304" t="s">
        <v>699</v>
      </c>
      <c r="R132" s="322"/>
      <c r="S132" s="305">
        <f>$J$132/10</f>
        <v>25500</v>
      </c>
      <c r="T132" s="305">
        <f t="shared" ref="T132:AB132" si="20">$J$132/10</f>
        <v>25500</v>
      </c>
      <c r="U132" s="305">
        <f t="shared" si="20"/>
        <v>25500</v>
      </c>
      <c r="V132" s="305">
        <f t="shared" si="20"/>
        <v>25500</v>
      </c>
      <c r="W132" s="305">
        <f t="shared" si="20"/>
        <v>25500</v>
      </c>
      <c r="X132" s="305">
        <f t="shared" si="20"/>
        <v>25500</v>
      </c>
      <c r="Y132" s="305">
        <f t="shared" si="20"/>
        <v>25500</v>
      </c>
      <c r="Z132" s="305">
        <f>$J$132/10</f>
        <v>25500</v>
      </c>
      <c r="AA132" s="305">
        <f t="shared" si="20"/>
        <v>25500</v>
      </c>
      <c r="AB132" s="305">
        <f t="shared" si="20"/>
        <v>25500</v>
      </c>
      <c r="AC132" s="305"/>
      <c r="AD132" s="305"/>
      <c r="AE132" s="305"/>
      <c r="AF132" s="305"/>
      <c r="AG132" s="305"/>
      <c r="AH132" s="305"/>
      <c r="AI132" s="305"/>
      <c r="AJ132" s="305"/>
      <c r="AK132" s="305"/>
      <c r="AL132" s="305"/>
      <c r="AM132" s="305"/>
      <c r="AN132" s="305"/>
      <c r="AO132" s="305"/>
      <c r="AP132" s="305"/>
      <c r="AQ132" s="305"/>
      <c r="AR132" s="305"/>
      <c r="AS132" s="305"/>
      <c r="AT132" s="305"/>
      <c r="AU132" s="306">
        <f t="shared" si="17"/>
        <v>255000</v>
      </c>
      <c r="AV132" s="307"/>
      <c r="AW132" s="308">
        <f t="shared" si="8"/>
        <v>102000</v>
      </c>
      <c r="AX132" s="306">
        <f t="shared" si="18"/>
        <v>255000</v>
      </c>
      <c r="AY132" s="310" t="b">
        <f t="shared" si="19"/>
        <v>1</v>
      </c>
      <c r="AZ132" s="310" t="b">
        <f t="shared" si="10"/>
        <v>1</v>
      </c>
      <c r="BA132" s="264">
        <f t="shared" si="16"/>
        <v>255000</v>
      </c>
    </row>
    <row r="133" spans="2:54" s="309" customFormat="1" x14ac:dyDescent="0.3">
      <c r="C133" s="312"/>
      <c r="D133" s="323"/>
      <c r="E133" s="323"/>
      <c r="F133" s="314"/>
      <c r="G133" s="314"/>
      <c r="H133" s="314"/>
      <c r="I133" s="314"/>
      <c r="J133" s="315"/>
      <c r="K133" s="316"/>
      <c r="L133" s="316"/>
      <c r="M133" s="316"/>
      <c r="N133" s="317">
        <f>SUM(O133:P133)</f>
        <v>3.47</v>
      </c>
      <c r="O133" s="317">
        <f>1+2.47</f>
        <v>3.47</v>
      </c>
      <c r="P133" s="317">
        <f>$P$4</f>
        <v>0</v>
      </c>
      <c r="Q133" s="317" t="s">
        <v>702</v>
      </c>
      <c r="R133" s="318">
        <f>SUM(R132:$AR132)*$N133/100</f>
        <v>8848.5</v>
      </c>
      <c r="S133" s="318">
        <f>SUM(S132:$AR132)*$N133/100</f>
        <v>8848.5</v>
      </c>
      <c r="T133" s="318">
        <f>SUM(T132:$AR132)*$N133/100</f>
        <v>7963.65</v>
      </c>
      <c r="U133" s="318">
        <f>SUM(U132:$AR132)*$N133/100</f>
        <v>7078.8</v>
      </c>
      <c r="V133" s="318">
        <f>SUM(V132:$AR132)*$N133/100</f>
        <v>6193.95</v>
      </c>
      <c r="W133" s="318">
        <f>SUM(W132:$AR132)*$N133/100</f>
        <v>5309.1</v>
      </c>
      <c r="X133" s="318">
        <f>SUM(X132:$AR132)*$N133/100</f>
        <v>4424.25</v>
      </c>
      <c r="Y133" s="318">
        <f>SUM(Y132:$AR132)*$N133/100</f>
        <v>3539.4</v>
      </c>
      <c r="Z133" s="318">
        <f>SUM(Z132:$AR132)*$N133/100</f>
        <v>2654.55</v>
      </c>
      <c r="AA133" s="318">
        <f>SUM(AA132:$AR132)*$N133/100</f>
        <v>1769.7</v>
      </c>
      <c r="AB133" s="318">
        <f>SUM(AB132:$AR132)*$N133/100</f>
        <v>884.85</v>
      </c>
      <c r="AC133" s="318"/>
      <c r="AD133" s="318"/>
      <c r="AE133" s="318"/>
      <c r="AF133" s="318"/>
      <c r="AG133" s="318"/>
      <c r="AH133" s="318"/>
      <c r="AI133" s="318"/>
      <c r="AJ133" s="318"/>
      <c r="AK133" s="318"/>
      <c r="AL133" s="318"/>
      <c r="AM133" s="318"/>
      <c r="AN133" s="318"/>
      <c r="AO133" s="318"/>
      <c r="AP133" s="318"/>
      <c r="AQ133" s="318"/>
      <c r="AR133" s="318"/>
      <c r="AS133" s="318"/>
      <c r="AT133" s="318"/>
      <c r="AU133" s="319">
        <f t="shared" si="17"/>
        <v>57515.25</v>
      </c>
      <c r="AV133" s="307"/>
      <c r="AW133" s="320">
        <f t="shared" si="8"/>
        <v>8848.5</v>
      </c>
      <c r="AX133" s="319">
        <f t="shared" si="18"/>
        <v>57515.25</v>
      </c>
      <c r="AY133" s="310"/>
      <c r="AZ133" s="310" t="b">
        <f t="shared" si="10"/>
        <v>1</v>
      </c>
      <c r="BA133" s="264">
        <f t="shared" si="16"/>
        <v>57515.25</v>
      </c>
    </row>
    <row r="134" spans="2:54" s="309" customFormat="1" x14ac:dyDescent="0.3">
      <c r="C134" s="298">
        <v>65</v>
      </c>
      <c r="D134" s="299" t="s">
        <v>190</v>
      </c>
      <c r="E134" s="300" t="s">
        <v>1039</v>
      </c>
      <c r="F134" s="300"/>
      <c r="G134" s="300">
        <v>2025</v>
      </c>
      <c r="H134" s="300">
        <v>2035</v>
      </c>
      <c r="I134" s="300" t="s">
        <v>698</v>
      </c>
      <c r="J134" s="301">
        <v>295238</v>
      </c>
      <c r="K134" s="302"/>
      <c r="L134" s="302"/>
      <c r="M134" s="302"/>
      <c r="N134" s="303"/>
      <c r="O134" s="303"/>
      <c r="P134" s="303"/>
      <c r="Q134" s="304" t="s">
        <v>699</v>
      </c>
      <c r="R134" s="322"/>
      <c r="S134" s="305">
        <f>$J$134/10</f>
        <v>29523.8</v>
      </c>
      <c r="T134" s="305">
        <f t="shared" ref="T134:AB134" si="21">$J$134/10</f>
        <v>29523.8</v>
      </c>
      <c r="U134" s="305">
        <f t="shared" si="21"/>
        <v>29523.8</v>
      </c>
      <c r="V134" s="305">
        <f t="shared" si="21"/>
        <v>29523.8</v>
      </c>
      <c r="W134" s="305">
        <f t="shared" si="21"/>
        <v>29523.8</v>
      </c>
      <c r="X134" s="305">
        <f t="shared" si="21"/>
        <v>29523.8</v>
      </c>
      <c r="Y134" s="305">
        <f t="shared" si="21"/>
        <v>29523.8</v>
      </c>
      <c r="Z134" s="305">
        <f t="shared" si="21"/>
        <v>29523.8</v>
      </c>
      <c r="AA134" s="305">
        <f t="shared" si="21"/>
        <v>29523.8</v>
      </c>
      <c r="AB134" s="305">
        <f t="shared" si="21"/>
        <v>29523.8</v>
      </c>
      <c r="AC134" s="305"/>
      <c r="AD134" s="305"/>
      <c r="AE134" s="305"/>
      <c r="AF134" s="305"/>
      <c r="AG134" s="305"/>
      <c r="AH134" s="305"/>
      <c r="AI134" s="305"/>
      <c r="AJ134" s="305"/>
      <c r="AK134" s="305"/>
      <c r="AL134" s="305"/>
      <c r="AM134" s="305"/>
      <c r="AN134" s="305"/>
      <c r="AO134" s="305"/>
      <c r="AP134" s="305"/>
      <c r="AQ134" s="305"/>
      <c r="AR134" s="305"/>
      <c r="AS134" s="305"/>
      <c r="AT134" s="305"/>
      <c r="AU134" s="306">
        <f t="shared" si="17"/>
        <v>295237.99999999994</v>
      </c>
      <c r="AV134" s="307"/>
      <c r="AW134" s="308">
        <f t="shared" si="8"/>
        <v>118095.2</v>
      </c>
      <c r="AX134" s="306">
        <f t="shared" si="18"/>
        <v>295238</v>
      </c>
      <c r="AY134" s="310" t="b">
        <f t="shared" si="19"/>
        <v>1</v>
      </c>
      <c r="AZ134" s="310" t="b">
        <f t="shared" si="10"/>
        <v>1</v>
      </c>
      <c r="BA134" s="264">
        <f t="shared" si="16"/>
        <v>295238</v>
      </c>
    </row>
    <row r="135" spans="2:54" s="309" customFormat="1" x14ac:dyDescent="0.3">
      <c r="C135" s="312"/>
      <c r="D135" s="323"/>
      <c r="E135" s="323"/>
      <c r="F135" s="314"/>
      <c r="G135" s="314"/>
      <c r="H135" s="314"/>
      <c r="I135" s="314"/>
      <c r="J135" s="315"/>
      <c r="K135" s="316"/>
      <c r="L135" s="316"/>
      <c r="M135" s="316"/>
      <c r="N135" s="317">
        <f>SUM(O135:P135)</f>
        <v>3.47</v>
      </c>
      <c r="O135" s="317">
        <f>1+2.47</f>
        <v>3.47</v>
      </c>
      <c r="P135" s="317">
        <f>$P$4</f>
        <v>0</v>
      </c>
      <c r="Q135" s="317" t="s">
        <v>702</v>
      </c>
      <c r="R135" s="318">
        <f>SUM(R134:$AR134)*$N135/100</f>
        <v>10244.758599999999</v>
      </c>
      <c r="S135" s="318">
        <f>SUM(S134:$AR134)*$N135/100</f>
        <v>10244.758599999999</v>
      </c>
      <c r="T135" s="318">
        <f>SUM(T134:$AR134)*$N135/100</f>
        <v>9220.2827399999987</v>
      </c>
      <c r="U135" s="318">
        <f>SUM(U134:$AR134)*$N135/100</f>
        <v>8195.8068800000001</v>
      </c>
      <c r="V135" s="318">
        <f>SUM(V134:$AR134)*$N135/100</f>
        <v>7171.3310199999996</v>
      </c>
      <c r="W135" s="318">
        <f>SUM(W134:$AR134)*$N135/100</f>
        <v>6146.8551599999992</v>
      </c>
      <c r="X135" s="318">
        <f>SUM(X134:$AR134)*$N135/100</f>
        <v>5122.3793000000005</v>
      </c>
      <c r="Y135" s="318">
        <f>SUM(Y134:$AR134)*$N135/100</f>
        <v>4097.90344</v>
      </c>
      <c r="Z135" s="318">
        <f>SUM(Z134:$AR134)*$N135/100</f>
        <v>3073.4275799999996</v>
      </c>
      <c r="AA135" s="318">
        <f>SUM(AA134:$AR134)*$N135/100</f>
        <v>2048.95172</v>
      </c>
      <c r="AB135" s="318">
        <f>SUM(AB134:$AR134)*$N135/100</f>
        <v>1024.47586</v>
      </c>
      <c r="AC135" s="318"/>
      <c r="AD135" s="318"/>
      <c r="AE135" s="318"/>
      <c r="AF135" s="318"/>
      <c r="AG135" s="318"/>
      <c r="AH135" s="318"/>
      <c r="AI135" s="318"/>
      <c r="AJ135" s="318"/>
      <c r="AK135" s="318"/>
      <c r="AL135" s="318"/>
      <c r="AM135" s="318"/>
      <c r="AN135" s="318"/>
      <c r="AO135" s="318"/>
      <c r="AP135" s="318"/>
      <c r="AQ135" s="318"/>
      <c r="AR135" s="318"/>
      <c r="AS135" s="318"/>
      <c r="AT135" s="318"/>
      <c r="AU135" s="319">
        <f t="shared" si="17"/>
        <v>66590.930900000007</v>
      </c>
      <c r="AV135" s="307"/>
      <c r="AW135" s="320">
        <f t="shared" si="8"/>
        <v>10244.758599999999</v>
      </c>
      <c r="AX135" s="319">
        <f t="shared" si="18"/>
        <v>66590.930899999992</v>
      </c>
      <c r="AY135" s="310"/>
      <c r="AZ135" s="310" t="b">
        <f t="shared" si="10"/>
        <v>1</v>
      </c>
      <c r="BA135" s="264">
        <f t="shared" si="16"/>
        <v>66590.930899999992</v>
      </c>
    </row>
    <row r="136" spans="2:54" s="309" customFormat="1" x14ac:dyDescent="0.3">
      <c r="C136" s="324">
        <v>66</v>
      </c>
      <c r="D136" s="299" t="s">
        <v>1044</v>
      </c>
      <c r="E136" s="300" t="s">
        <v>1039</v>
      </c>
      <c r="F136" s="323"/>
      <c r="G136" s="323">
        <v>2025</v>
      </c>
      <c r="H136" s="323">
        <v>2028</v>
      </c>
      <c r="I136" s="300" t="s">
        <v>698</v>
      </c>
      <c r="J136" s="325">
        <v>85000</v>
      </c>
      <c r="K136" s="326"/>
      <c r="L136" s="326"/>
      <c r="M136" s="326"/>
      <c r="N136" s="327"/>
      <c r="O136" s="327"/>
      <c r="P136" s="327"/>
      <c r="Q136" s="304" t="s">
        <v>699</v>
      </c>
      <c r="R136" s="322"/>
      <c r="S136" s="322">
        <f>$J$136/3</f>
        <v>28333.333333333332</v>
      </c>
      <c r="T136" s="322">
        <f>$J$136/3</f>
        <v>28333.333333333332</v>
      </c>
      <c r="U136" s="322">
        <f>$J$136/3</f>
        <v>28333.333333333332</v>
      </c>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06">
        <f t="shared" si="17"/>
        <v>85000</v>
      </c>
      <c r="AV136" s="307"/>
      <c r="AW136" s="308">
        <f t="shared" si="8"/>
        <v>0</v>
      </c>
      <c r="AX136" s="306">
        <f t="shared" si="18"/>
        <v>85000</v>
      </c>
      <c r="AY136" s="310"/>
      <c r="AZ136" s="310" t="b">
        <f t="shared" si="10"/>
        <v>1</v>
      </c>
      <c r="BA136" s="264">
        <f t="shared" si="16"/>
        <v>85000</v>
      </c>
    </row>
    <row r="137" spans="2:54" s="309" customFormat="1" x14ac:dyDescent="0.3">
      <c r="C137" s="324"/>
      <c r="D137" s="323"/>
      <c r="E137" s="323"/>
      <c r="F137" s="323"/>
      <c r="G137" s="323"/>
      <c r="H137" s="323"/>
      <c r="I137" s="323"/>
      <c r="J137" s="325"/>
      <c r="K137" s="326"/>
      <c r="L137" s="326"/>
      <c r="M137" s="326"/>
      <c r="N137" s="317">
        <f>SUM(O137:P137)</f>
        <v>3.47</v>
      </c>
      <c r="O137" s="317">
        <f>1+2.47</f>
        <v>3.47</v>
      </c>
      <c r="P137" s="317">
        <f>$P$4</f>
        <v>0</v>
      </c>
      <c r="Q137" s="317" t="s">
        <v>702</v>
      </c>
      <c r="R137" s="318">
        <f>SUM(R136:$AR136)*$N137/100</f>
        <v>2949.5</v>
      </c>
      <c r="S137" s="318">
        <f>SUM(S136:$AR136)*$N137/100</f>
        <v>2949.5</v>
      </c>
      <c r="T137" s="318">
        <f>SUM(T136:$AR136)*$N137/100</f>
        <v>1966.3333333333335</v>
      </c>
      <c r="U137" s="318">
        <f>SUM(U136:$AR136)*$N137/100</f>
        <v>983.16666666666674</v>
      </c>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19">
        <f t="shared" si="17"/>
        <v>8848.5</v>
      </c>
      <c r="AV137" s="307"/>
      <c r="AW137" s="320">
        <f t="shared" si="8"/>
        <v>0</v>
      </c>
      <c r="AX137" s="319">
        <f t="shared" si="18"/>
        <v>8848.5</v>
      </c>
      <c r="AY137" s="310"/>
      <c r="AZ137" s="310" t="b">
        <f t="shared" si="10"/>
        <v>1</v>
      </c>
      <c r="BA137" s="264">
        <f t="shared" si="16"/>
        <v>8848.5</v>
      </c>
    </row>
    <row r="138" spans="2:54" s="309" customFormat="1" x14ac:dyDescent="0.3">
      <c r="B138" s="297" t="s">
        <v>692</v>
      </c>
      <c r="C138" s="298">
        <v>67</v>
      </c>
      <c r="D138" s="299" t="s">
        <v>1045</v>
      </c>
      <c r="E138" s="300" t="s">
        <v>1039</v>
      </c>
      <c r="F138" s="300"/>
      <c r="G138" s="300">
        <v>2026</v>
      </c>
      <c r="H138" s="300">
        <v>2038</v>
      </c>
      <c r="I138" s="300" t="s">
        <v>698</v>
      </c>
      <c r="J138" s="301">
        <v>510000</v>
      </c>
      <c r="K138" s="302"/>
      <c r="L138" s="302"/>
      <c r="M138" s="302"/>
      <c r="N138" s="303"/>
      <c r="O138" s="303"/>
      <c r="P138" s="303"/>
      <c r="Q138" s="304" t="s">
        <v>699</v>
      </c>
      <c r="R138" s="305"/>
      <c r="S138" s="305"/>
      <c r="T138" s="305">
        <f>$J$138/10/2</f>
        <v>25500</v>
      </c>
      <c r="U138" s="305">
        <f t="shared" ref="U138:AC138" si="22">$J$138/10</f>
        <v>51000</v>
      </c>
      <c r="V138" s="305">
        <f t="shared" si="22"/>
        <v>51000</v>
      </c>
      <c r="W138" s="305">
        <f t="shared" si="22"/>
        <v>51000</v>
      </c>
      <c r="X138" s="305">
        <f t="shared" si="22"/>
        <v>51000</v>
      </c>
      <c r="Y138" s="305">
        <f t="shared" si="22"/>
        <v>51000</v>
      </c>
      <c r="Z138" s="305">
        <f t="shared" si="22"/>
        <v>51000</v>
      </c>
      <c r="AA138" s="305">
        <f t="shared" si="22"/>
        <v>51000</v>
      </c>
      <c r="AB138" s="305">
        <f t="shared" si="22"/>
        <v>51000</v>
      </c>
      <c r="AC138" s="305">
        <f t="shared" si="22"/>
        <v>51000</v>
      </c>
      <c r="AD138" s="305">
        <f>$J$138/10/2</f>
        <v>25500</v>
      </c>
      <c r="AE138" s="305"/>
      <c r="AF138" s="305"/>
      <c r="AG138" s="305"/>
      <c r="AH138" s="305"/>
      <c r="AI138" s="305"/>
      <c r="AJ138" s="305"/>
      <c r="AK138" s="305"/>
      <c r="AL138" s="305"/>
      <c r="AM138" s="305"/>
      <c r="AN138" s="305"/>
      <c r="AO138" s="305"/>
      <c r="AP138" s="305"/>
      <c r="AQ138" s="305"/>
      <c r="AR138" s="305"/>
      <c r="AS138" s="305"/>
      <c r="AT138" s="305"/>
      <c r="AU138" s="306">
        <f>SUM(R138:AT138)</f>
        <v>510000</v>
      </c>
      <c r="AV138" s="307">
        <f t="shared" si="7"/>
        <v>0</v>
      </c>
      <c r="AW138" s="308">
        <f t="shared" si="8"/>
        <v>280500</v>
      </c>
      <c r="AX138" s="306">
        <f>SUM(R138:X138,AW138)</f>
        <v>510000</v>
      </c>
      <c r="AY138" s="310" t="b">
        <f t="shared" si="19"/>
        <v>1</v>
      </c>
      <c r="AZ138" s="310" t="b">
        <f t="shared" si="10"/>
        <v>1</v>
      </c>
      <c r="BA138" s="264">
        <f t="shared" si="16"/>
        <v>510000</v>
      </c>
    </row>
    <row r="139" spans="2:54" s="309" customFormat="1" x14ac:dyDescent="0.3">
      <c r="B139" s="311" t="s">
        <v>692</v>
      </c>
      <c r="C139" s="312"/>
      <c r="D139" s="314"/>
      <c r="E139" s="314"/>
      <c r="F139" s="314"/>
      <c r="G139" s="314"/>
      <c r="H139" s="314"/>
      <c r="I139" s="314"/>
      <c r="J139" s="315"/>
      <c r="K139" s="316"/>
      <c r="L139" s="316"/>
      <c r="M139" s="316"/>
      <c r="N139" s="317">
        <f>SUM(O139:P139)</f>
        <v>4.1930000000000005</v>
      </c>
      <c r="O139" s="317">
        <f>1.723+2.47</f>
        <v>4.1930000000000005</v>
      </c>
      <c r="P139" s="317">
        <f>$P$4</f>
        <v>0</v>
      </c>
      <c r="Q139" s="317" t="s">
        <v>702</v>
      </c>
      <c r="R139" s="318">
        <f>SUM(R138:$AR138)*$N139/100</f>
        <v>21384.300000000003</v>
      </c>
      <c r="S139" s="318">
        <f>SUM(S138:$AR138)*$N139/100</f>
        <v>21384.300000000003</v>
      </c>
      <c r="T139" s="318">
        <f>SUM(T138:$AR138)*$N139/100</f>
        <v>21384.300000000003</v>
      </c>
      <c r="U139" s="318">
        <f>SUM(U138:$AR138)*$N139/100</f>
        <v>20315.085000000003</v>
      </c>
      <c r="V139" s="318">
        <f>SUM(V138:$AR138)*$N139/100</f>
        <v>18176.655000000002</v>
      </c>
      <c r="W139" s="318">
        <f>SUM(W138:$AR138)*$N139/100</f>
        <v>16038.225000000002</v>
      </c>
      <c r="X139" s="318">
        <f>SUM(X138:$AR138)*$N139/100</f>
        <v>13899.795000000002</v>
      </c>
      <c r="Y139" s="318">
        <f>SUM(Y138:$AR138)*$N139/100</f>
        <v>11761.365000000002</v>
      </c>
      <c r="Z139" s="318">
        <f>SUM(Z138:$AR138)*$N139/100</f>
        <v>9622.9350000000013</v>
      </c>
      <c r="AA139" s="318">
        <f>SUM(AA138:$AR138)*$N139/100</f>
        <v>7484.505000000001</v>
      </c>
      <c r="AB139" s="318">
        <f>SUM(AB138:$AR138)*$N139/100</f>
        <v>5346.0750000000007</v>
      </c>
      <c r="AC139" s="318">
        <f>SUM(AC138:$AR138)*$N139/100</f>
        <v>3207.6450000000004</v>
      </c>
      <c r="AD139" s="318">
        <f>SUM(AD138:$AR138)*$N139/100</f>
        <v>1069.2150000000001</v>
      </c>
      <c r="AE139" s="318">
        <f>SUM(AE138:$AR138)*$N139/100</f>
        <v>0</v>
      </c>
      <c r="AF139" s="318">
        <f>SUM(AF138:$AR138)*$N139/100</f>
        <v>0</v>
      </c>
      <c r="AG139" s="318">
        <f>SUM(AG138:$AR138)*$N139/100</f>
        <v>0</v>
      </c>
      <c r="AH139" s="318">
        <f>SUM(AH138:$AR138)*$N139/100</f>
        <v>0</v>
      </c>
      <c r="AI139" s="318">
        <f>SUM(AI138:$AR138)*$N139/100</f>
        <v>0</v>
      </c>
      <c r="AJ139" s="318">
        <f>SUM(AJ138:$AR138)*$N139/100</f>
        <v>0</v>
      </c>
      <c r="AK139" s="318">
        <f>SUM(AK138:$AR138)*$N139/100</f>
        <v>0</v>
      </c>
      <c r="AL139" s="318"/>
      <c r="AM139" s="318"/>
      <c r="AN139" s="318"/>
      <c r="AO139" s="318"/>
      <c r="AP139" s="318"/>
      <c r="AQ139" s="318"/>
      <c r="AR139" s="318"/>
      <c r="AS139" s="318"/>
      <c r="AT139" s="318"/>
      <c r="AU139" s="319">
        <f>SUM(R139:AT139)</f>
        <v>171074.40000000002</v>
      </c>
      <c r="AV139" s="321">
        <f t="shared" si="7"/>
        <v>0</v>
      </c>
      <c r="AW139" s="320">
        <f t="shared" si="8"/>
        <v>38491.740000000005</v>
      </c>
      <c r="AX139" s="319">
        <f t="shared" ref="AX139:AX144" si="23">SUM(R139:X139,AW139)</f>
        <v>171074.40000000002</v>
      </c>
      <c r="AY139" s="310"/>
      <c r="AZ139" s="310" t="b">
        <f t="shared" si="10"/>
        <v>1</v>
      </c>
      <c r="BA139" s="230"/>
    </row>
    <row r="140" spans="2:54" x14ac:dyDescent="0.3">
      <c r="J140" s="328"/>
      <c r="K140" s="328"/>
      <c r="L140" s="328"/>
      <c r="M140" s="328"/>
      <c r="N140" s="329"/>
      <c r="O140" s="329"/>
      <c r="P140" s="329"/>
      <c r="Q140" s="330"/>
      <c r="S140" s="328"/>
      <c r="T140" s="328"/>
      <c r="U140" s="328"/>
      <c r="V140" s="328"/>
      <c r="W140" s="328"/>
      <c r="X140" s="328"/>
      <c r="Y140" s="328"/>
      <c r="Z140" s="328"/>
      <c r="AA140" s="328"/>
      <c r="AB140" s="328"/>
      <c r="AC140" s="328"/>
      <c r="AD140" s="328"/>
      <c r="AE140" s="328"/>
      <c r="AF140" s="328"/>
      <c r="AG140" s="328"/>
      <c r="AH140" s="328"/>
      <c r="AI140" s="328"/>
      <c r="AJ140" s="328"/>
      <c r="AK140" s="328"/>
      <c r="AL140" s="328"/>
      <c r="AM140" s="328"/>
      <c r="AN140" s="328"/>
      <c r="AO140" s="328"/>
      <c r="AP140" s="328"/>
      <c r="AQ140" s="328"/>
      <c r="AR140" s="328"/>
      <c r="AS140" s="328"/>
      <c r="AT140" s="328"/>
      <c r="AU140" s="328"/>
      <c r="AV140" s="321">
        <f t="shared" si="7"/>
        <v>0</v>
      </c>
      <c r="AW140" s="328">
        <f t="shared" si="8"/>
        <v>0</v>
      </c>
      <c r="AX140" s="328">
        <f t="shared" si="23"/>
        <v>0</v>
      </c>
      <c r="AZ140" s="250" t="b">
        <f t="shared" si="10"/>
        <v>1</v>
      </c>
    </row>
    <row r="141" spans="2:54" outlineLevel="1" x14ac:dyDescent="0.3">
      <c r="J141" s="331">
        <f>SUM(J6:J139)</f>
        <v>80338240.709999993</v>
      </c>
      <c r="K141" s="328"/>
      <c r="L141" s="328"/>
      <c r="M141" s="328"/>
      <c r="N141" s="329"/>
      <c r="O141" s="329"/>
      <c r="P141" s="329"/>
      <c r="Q141" s="329"/>
      <c r="S141" s="328"/>
      <c r="T141" s="328"/>
      <c r="U141" s="328"/>
      <c r="V141" s="328"/>
      <c r="W141" s="328"/>
      <c r="X141" s="328"/>
      <c r="Y141" s="328"/>
      <c r="Z141" s="328"/>
      <c r="AA141" s="328"/>
      <c r="AB141" s="328"/>
      <c r="AC141" s="328"/>
      <c r="AD141" s="328"/>
      <c r="AE141" s="328"/>
      <c r="AF141" s="328"/>
      <c r="AG141" s="328"/>
      <c r="AH141" s="328"/>
      <c r="AI141" s="328"/>
      <c r="AJ141" s="328"/>
      <c r="AK141" s="328"/>
      <c r="AL141" s="328"/>
      <c r="AM141" s="328"/>
      <c r="AN141" s="328"/>
      <c r="AO141" s="328"/>
      <c r="AP141" s="328"/>
      <c r="AQ141" s="328"/>
      <c r="AR141" s="328"/>
      <c r="AS141" s="328"/>
      <c r="AT141" s="328"/>
      <c r="AU141" s="328"/>
      <c r="AV141" s="321">
        <f>AU141-SUM(R141:AT141)</f>
        <v>0</v>
      </c>
      <c r="AW141" s="328">
        <f>SUM(Y141:AT141)</f>
        <v>0</v>
      </c>
      <c r="AX141" s="328">
        <f t="shared" si="23"/>
        <v>0</v>
      </c>
      <c r="AZ141" s="250"/>
    </row>
    <row r="142" spans="2:54" s="250" customFormat="1" x14ac:dyDescent="0.3">
      <c r="E142" s="283"/>
      <c r="H142" s="332"/>
      <c r="I142" s="333"/>
      <c r="J142" s="264"/>
      <c r="K142" s="334">
        <f>SUM(K6:K139)</f>
        <v>47956936.93</v>
      </c>
      <c r="L142" s="264"/>
      <c r="M142" s="264"/>
      <c r="N142" s="335">
        <f>AVERAGE(N7:N139)</f>
        <v>3.5578059701492535</v>
      </c>
      <c r="O142" s="336">
        <v>3467034.49</v>
      </c>
      <c r="P142" s="328">
        <f>R142-'[1]Līgumu saraksts_2025'!R153</f>
        <v>194213.79999999981</v>
      </c>
      <c r="Q142" s="337" t="s">
        <v>699</v>
      </c>
      <c r="R142" s="338">
        <f t="shared" ref="R142:AG143" si="24">SUMIF($Q$6:$Q$139,$Q142,R$6:R$139)</f>
        <v>3658289.49</v>
      </c>
      <c r="S142" s="338">
        <f t="shared" si="24"/>
        <v>3602824.0933333333</v>
      </c>
      <c r="T142" s="338">
        <f t="shared" si="24"/>
        <v>3890055.6836111108</v>
      </c>
      <c r="U142" s="338">
        <f t="shared" si="24"/>
        <v>4180286.8072222224</v>
      </c>
      <c r="V142" s="338">
        <f t="shared" si="24"/>
        <v>4081352.473888889</v>
      </c>
      <c r="W142" s="338">
        <f t="shared" si="24"/>
        <v>4001021.473888889</v>
      </c>
      <c r="X142" s="338">
        <f t="shared" si="24"/>
        <v>3892302.3338888884</v>
      </c>
      <c r="Y142" s="338">
        <f t="shared" si="24"/>
        <v>3233675.223888889</v>
      </c>
      <c r="Z142" s="338">
        <f t="shared" si="24"/>
        <v>3031634.263888889</v>
      </c>
      <c r="AA142" s="338">
        <f t="shared" si="24"/>
        <v>2642095.2738888888</v>
      </c>
      <c r="AB142" s="338">
        <f t="shared" si="24"/>
        <v>2461284.7113888888</v>
      </c>
      <c r="AC142" s="338">
        <f t="shared" si="24"/>
        <v>2249817.2988888891</v>
      </c>
      <c r="AD142" s="338">
        <f t="shared" si="24"/>
        <v>2113504.5888888892</v>
      </c>
      <c r="AE142" s="338">
        <f t="shared" si="24"/>
        <v>1973800.5888888889</v>
      </c>
      <c r="AF142" s="338">
        <f t="shared" si="24"/>
        <v>1901672.5888888889</v>
      </c>
      <c r="AG142" s="338">
        <f t="shared" si="24"/>
        <v>1860622.628888889</v>
      </c>
      <c r="AH142" s="338">
        <f t="shared" ref="AH142:AT143" si="25">SUMIF($Q$6:$Q$139,$Q142,AH$6:AH$139)</f>
        <v>1844101.658888889</v>
      </c>
      <c r="AI142" s="338">
        <f t="shared" si="25"/>
        <v>1721683.7222222222</v>
      </c>
      <c r="AJ142" s="338">
        <f t="shared" si="25"/>
        <v>1721683.7222222222</v>
      </c>
      <c r="AK142" s="338">
        <f t="shared" si="25"/>
        <v>1721683.7222222222</v>
      </c>
      <c r="AL142" s="338">
        <f t="shared" si="25"/>
        <v>1453015.861111111</v>
      </c>
      <c r="AM142" s="338">
        <f t="shared" si="25"/>
        <v>1184348</v>
      </c>
      <c r="AN142" s="338">
        <f t="shared" si="25"/>
        <v>1184348</v>
      </c>
      <c r="AO142" s="338">
        <f t="shared" si="25"/>
        <v>867315.83000000007</v>
      </c>
      <c r="AP142" s="338">
        <f t="shared" si="25"/>
        <v>452632</v>
      </c>
      <c r="AQ142" s="338">
        <f t="shared" si="25"/>
        <v>409981</v>
      </c>
      <c r="AR142" s="338">
        <f t="shared" si="25"/>
        <v>55587.92</v>
      </c>
      <c r="AS142" s="338">
        <f t="shared" si="25"/>
        <v>0</v>
      </c>
      <c r="AT142" s="338">
        <f t="shared" si="25"/>
        <v>0</v>
      </c>
      <c r="AU142" s="338">
        <f>SUM(R142:AT142)</f>
        <v>61390620.960000016</v>
      </c>
      <c r="AV142" s="321">
        <f>AU142-SUM(R142:AT142)</f>
        <v>0</v>
      </c>
      <c r="AW142" s="338">
        <f>SUM(Y142:AT142)</f>
        <v>34084488.604166672</v>
      </c>
      <c r="AX142" s="338">
        <f t="shared" si="23"/>
        <v>61390620.960000008</v>
      </c>
      <c r="AZ142" s="250" t="b">
        <f t="shared" si="10"/>
        <v>1</v>
      </c>
      <c r="BA142" s="264"/>
    </row>
    <row r="143" spans="2:54" x14ac:dyDescent="0.3">
      <c r="H143" s="332"/>
      <c r="J143" s="264"/>
      <c r="K143" s="236"/>
      <c r="L143" s="236"/>
      <c r="M143" s="236"/>
      <c r="N143" s="236">
        <f>R143-O143</f>
        <v>59999.258599999826</v>
      </c>
      <c r="O143" s="339">
        <v>2042431.3688650005</v>
      </c>
      <c r="P143" s="328">
        <f>R143-'[1]Līgumu saraksts_2025'!R154</f>
        <v>-73650.610325400252</v>
      </c>
      <c r="Q143" s="340" t="s">
        <v>702</v>
      </c>
      <c r="R143" s="341">
        <f t="shared" si="24"/>
        <v>2102430.6274650004</v>
      </c>
      <c r="S143" s="341">
        <f t="shared" si="24"/>
        <v>2178830.6786627993</v>
      </c>
      <c r="T143" s="341">
        <f t="shared" si="24"/>
        <v>2046946.0399881327</v>
      </c>
      <c r="U143" s="341">
        <f t="shared" si="24"/>
        <v>1901563.0095713865</v>
      </c>
      <c r="V143" s="341">
        <f t="shared" si="24"/>
        <v>1743851.3708220252</v>
      </c>
      <c r="W143" s="341">
        <f t="shared" si="24"/>
        <v>1589596.7439493309</v>
      </c>
      <c r="X143" s="341">
        <f t="shared" si="24"/>
        <v>1438353.9635066362</v>
      </c>
      <c r="Y143" s="341">
        <f t="shared" si="24"/>
        <v>1291142.8993589415</v>
      </c>
      <c r="Z143" s="341">
        <f t="shared" si="24"/>
        <v>1166821.5690842469</v>
      </c>
      <c r="AA143" s="341">
        <f t="shared" si="24"/>
        <v>1051004.6434877526</v>
      </c>
      <c r="AB143" s="341">
        <f t="shared" si="24"/>
        <v>949691.37129305827</v>
      </c>
      <c r="AC143" s="341">
        <f t="shared" si="24"/>
        <v>855767.27964398894</v>
      </c>
      <c r="AD143" s="341">
        <f t="shared" si="24"/>
        <v>770038.00451554439</v>
      </c>
      <c r="AE143" s="341">
        <f t="shared" si="24"/>
        <v>689311.79559209989</v>
      </c>
      <c r="AF143" s="341">
        <f t="shared" si="24"/>
        <v>614369.36438865552</v>
      </c>
      <c r="AG143" s="341">
        <f t="shared" si="24"/>
        <v>542203.09442521119</v>
      </c>
      <c r="AH143" s="341">
        <f t="shared" si="25"/>
        <v>471246.33896816662</v>
      </c>
      <c r="AI143" s="341">
        <f t="shared" si="25"/>
        <v>400865.28293972224</v>
      </c>
      <c r="AJ143" s="341">
        <f t="shared" si="25"/>
        <v>335293.99122694443</v>
      </c>
      <c r="AK143" s="341">
        <f t="shared" si="25"/>
        <v>269722.69951416668</v>
      </c>
      <c r="AL143" s="341">
        <f t="shared" si="25"/>
        <v>204151.40780138888</v>
      </c>
      <c r="AM143" s="341">
        <f t="shared" si="25"/>
        <v>149845.35950499997</v>
      </c>
      <c r="AN143" s="341">
        <f t="shared" si="25"/>
        <v>106804.55462499999</v>
      </c>
      <c r="AO143" s="341">
        <f t="shared" si="25"/>
        <v>63763.749744999986</v>
      </c>
      <c r="AP143" s="341">
        <f t="shared" si="25"/>
        <v>32654.391700000004</v>
      </c>
      <c r="AQ143" s="341">
        <f t="shared" si="25"/>
        <v>16552.664819999998</v>
      </c>
      <c r="AR143" s="341">
        <f t="shared" si="25"/>
        <v>1973.3711599999997</v>
      </c>
      <c r="AS143" s="341">
        <f t="shared" si="25"/>
        <v>0</v>
      </c>
      <c r="AT143" s="341">
        <f t="shared" si="25"/>
        <v>0</v>
      </c>
      <c r="AU143" s="341">
        <f>SUM(R143:AT143)</f>
        <v>22984796.267760202</v>
      </c>
      <c r="AV143" s="321">
        <f>AU143-SUM(R143:AT143)</f>
        <v>0</v>
      </c>
      <c r="AW143" s="341">
        <f>SUM(Y143:AT143)</f>
        <v>9983223.8337948937</v>
      </c>
      <c r="AX143" s="341">
        <f t="shared" si="23"/>
        <v>22984796.267760202</v>
      </c>
      <c r="AZ143" s="250" t="b">
        <f t="shared" si="10"/>
        <v>1</v>
      </c>
      <c r="BA143" s="264"/>
    </row>
    <row r="144" spans="2:54" s="283" customFormat="1" x14ac:dyDescent="0.3">
      <c r="H144" s="332"/>
      <c r="J144" s="264"/>
      <c r="O144" s="342">
        <v>5509465.8588650003</v>
      </c>
      <c r="P144" s="328"/>
      <c r="Q144" s="337" t="s">
        <v>1046</v>
      </c>
      <c r="R144" s="343">
        <f>SUM(R142:R143)</f>
        <v>5760720.1174650006</v>
      </c>
      <c r="S144" s="343">
        <f t="shared" ref="S144:AT144" si="26">SUM(S142:S143)</f>
        <v>5781654.771996133</v>
      </c>
      <c r="T144" s="343">
        <f t="shared" si="26"/>
        <v>5937001.7235992439</v>
      </c>
      <c r="U144" s="343">
        <f t="shared" si="26"/>
        <v>6081849.8167936094</v>
      </c>
      <c r="V144" s="343">
        <f t="shared" si="26"/>
        <v>5825203.8447109144</v>
      </c>
      <c r="W144" s="343">
        <f t="shared" si="26"/>
        <v>5590618.2178382203</v>
      </c>
      <c r="X144" s="343">
        <f t="shared" si="26"/>
        <v>5330656.2973955246</v>
      </c>
      <c r="Y144" s="343">
        <f t="shared" si="26"/>
        <v>4524818.1232478302</v>
      </c>
      <c r="Z144" s="343">
        <f t="shared" si="26"/>
        <v>4198455.8329731356</v>
      </c>
      <c r="AA144" s="343">
        <f t="shared" si="26"/>
        <v>3693099.9173766412</v>
      </c>
      <c r="AB144" s="343">
        <f t="shared" si="26"/>
        <v>3410976.0826819469</v>
      </c>
      <c r="AC144" s="343">
        <f t="shared" si="26"/>
        <v>3105584.5785328783</v>
      </c>
      <c r="AD144" s="343">
        <f t="shared" si="26"/>
        <v>2883542.5934044337</v>
      </c>
      <c r="AE144" s="343">
        <f t="shared" si="26"/>
        <v>2663112.3844809886</v>
      </c>
      <c r="AF144" s="343">
        <f t="shared" si="26"/>
        <v>2516041.9532775446</v>
      </c>
      <c r="AG144" s="343">
        <f t="shared" si="26"/>
        <v>2402825.7233140999</v>
      </c>
      <c r="AH144" s="343">
        <f t="shared" si="26"/>
        <v>2315347.9978570556</v>
      </c>
      <c r="AI144" s="343">
        <f t="shared" si="26"/>
        <v>2122549.0051619443</v>
      </c>
      <c r="AJ144" s="343">
        <f t="shared" si="26"/>
        <v>2056977.7134491666</v>
      </c>
      <c r="AK144" s="343">
        <f t="shared" si="26"/>
        <v>1991406.4217363889</v>
      </c>
      <c r="AL144" s="343">
        <f t="shared" si="26"/>
        <v>1657167.2689124998</v>
      </c>
      <c r="AM144" s="343">
        <f t="shared" si="26"/>
        <v>1334193.3595050001</v>
      </c>
      <c r="AN144" s="343">
        <f t="shared" si="26"/>
        <v>1291152.5546249999</v>
      </c>
      <c r="AO144" s="343">
        <f t="shared" si="26"/>
        <v>931079.57974500011</v>
      </c>
      <c r="AP144" s="343">
        <f t="shared" si="26"/>
        <v>485286.39169999998</v>
      </c>
      <c r="AQ144" s="343">
        <f t="shared" si="26"/>
        <v>426533.66482000001</v>
      </c>
      <c r="AR144" s="343">
        <f t="shared" si="26"/>
        <v>57561.291160000001</v>
      </c>
      <c r="AS144" s="343">
        <f t="shared" si="26"/>
        <v>0</v>
      </c>
      <c r="AT144" s="343">
        <f t="shared" si="26"/>
        <v>0</v>
      </c>
      <c r="AU144" s="343">
        <f>SUM(R144:AT144)</f>
        <v>84375417.227760196</v>
      </c>
      <c r="AV144" s="321">
        <f>AU144-SUM(R144:AT144)</f>
        <v>0</v>
      </c>
      <c r="AW144" s="343">
        <f>SUM(Y144:AT144)</f>
        <v>44067712.437961549</v>
      </c>
      <c r="AX144" s="343">
        <f t="shared" si="23"/>
        <v>84375417.227760196</v>
      </c>
      <c r="AZ144" s="250" t="b">
        <f>AU144=AX144</f>
        <v>1</v>
      </c>
      <c r="BA144" s="264"/>
      <c r="BB144" s="344">
        <f>SUM(R6:AT139)</f>
        <v>84375417.227760151</v>
      </c>
    </row>
    <row r="145" spans="2:54" x14ac:dyDescent="0.3">
      <c r="K145" s="283"/>
      <c r="R145" s="345"/>
      <c r="S145" s="346"/>
      <c r="T145" s="346"/>
      <c r="U145" s="236"/>
      <c r="V145" s="236"/>
      <c r="W145" s="236"/>
      <c r="AX145" s="236"/>
      <c r="BB145" s="236">
        <f>BB144-AX144</f>
        <v>0</v>
      </c>
    </row>
    <row r="146" spans="2:54" x14ac:dyDescent="0.3">
      <c r="I146" s="347"/>
      <c r="J146" s="348"/>
      <c r="K146" s="283"/>
      <c r="R146" s="345"/>
      <c r="S146" s="349"/>
      <c r="T146" s="346"/>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0"/>
    </row>
    <row r="147" spans="2:54" x14ac:dyDescent="0.3">
      <c r="I147" s="347"/>
      <c r="J147" s="348"/>
      <c r="K147" s="283"/>
      <c r="R147" s="345"/>
      <c r="S147" s="349"/>
      <c r="T147" s="346"/>
      <c r="W147" s="236"/>
      <c r="X147" s="350"/>
      <c r="Y147" s="350"/>
      <c r="Z147" s="350"/>
      <c r="AA147" s="350"/>
      <c r="AB147" s="350"/>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0"/>
    </row>
    <row r="148" spans="2:54" ht="15.6" x14ac:dyDescent="0.3">
      <c r="C148" s="237" t="s">
        <v>1047</v>
      </c>
      <c r="J148" s="351"/>
    </row>
    <row r="149" spans="2:54" ht="57.6" x14ac:dyDescent="0.3">
      <c r="C149" s="244" t="s">
        <v>674</v>
      </c>
      <c r="D149" s="244" t="s">
        <v>1048</v>
      </c>
      <c r="E149" s="244" t="s">
        <v>1049</v>
      </c>
      <c r="F149" s="244" t="s">
        <v>1050</v>
      </c>
      <c r="G149" s="244" t="s">
        <v>678</v>
      </c>
      <c r="H149" s="244" t="s">
        <v>679</v>
      </c>
      <c r="I149" s="244" t="s">
        <v>680</v>
      </c>
      <c r="J149" s="246" t="s">
        <v>1051</v>
      </c>
      <c r="K149" s="246" t="s">
        <v>682</v>
      </c>
      <c r="L149" s="246" t="s">
        <v>683</v>
      </c>
      <c r="M149" s="246" t="s">
        <v>684</v>
      </c>
      <c r="N149" s="246" t="s">
        <v>685</v>
      </c>
      <c r="O149" s="246" t="s">
        <v>686</v>
      </c>
      <c r="P149" s="246" t="s">
        <v>687</v>
      </c>
      <c r="Q149" s="248" t="s">
        <v>688</v>
      </c>
      <c r="R149" s="245">
        <v>2025</v>
      </c>
      <c r="S149" s="245">
        <v>2026</v>
      </c>
      <c r="T149" s="245">
        <v>2027</v>
      </c>
      <c r="U149" s="245">
        <v>2028</v>
      </c>
      <c r="V149" s="245">
        <v>2029</v>
      </c>
      <c r="W149" s="245">
        <v>2030</v>
      </c>
      <c r="X149" s="245">
        <v>2031</v>
      </c>
      <c r="Y149" s="245">
        <v>2032</v>
      </c>
      <c r="Z149" s="245">
        <v>2033</v>
      </c>
      <c r="AA149" s="245">
        <v>2034</v>
      </c>
      <c r="AB149" s="245">
        <v>2035</v>
      </c>
      <c r="AC149" s="245">
        <v>2036</v>
      </c>
      <c r="AD149" s="245">
        <v>2037</v>
      </c>
      <c r="AE149" s="245">
        <v>2038</v>
      </c>
      <c r="AF149" s="245">
        <v>2039</v>
      </c>
      <c r="AG149" s="245">
        <v>2040</v>
      </c>
      <c r="AH149" s="245">
        <v>2041</v>
      </c>
      <c r="AI149" s="245">
        <v>2042</v>
      </c>
      <c r="AJ149" s="245">
        <v>2043</v>
      </c>
      <c r="AK149" s="245">
        <v>2044</v>
      </c>
      <c r="AL149" s="245">
        <v>2045</v>
      </c>
      <c r="AM149" s="245">
        <v>2046</v>
      </c>
      <c r="AN149" s="245">
        <v>2047</v>
      </c>
      <c r="AO149" s="245">
        <v>2048</v>
      </c>
      <c r="AP149" s="245">
        <v>2049</v>
      </c>
      <c r="AQ149" s="245">
        <v>2050</v>
      </c>
      <c r="AR149" s="245">
        <v>2051</v>
      </c>
      <c r="AS149" s="245">
        <v>2052</v>
      </c>
      <c r="AT149" s="245">
        <v>2053</v>
      </c>
      <c r="AU149" s="244" t="s">
        <v>689</v>
      </c>
      <c r="AW149" s="243" t="s">
        <v>690</v>
      </c>
      <c r="AX149" s="244" t="s">
        <v>691</v>
      </c>
    </row>
    <row r="150" spans="2:54" s="250" customFormat="1" x14ac:dyDescent="0.3">
      <c r="B150" s="251"/>
      <c r="C150" s="253">
        <v>1</v>
      </c>
      <c r="D150" s="253" t="s">
        <v>1052</v>
      </c>
      <c r="E150" s="254" t="s">
        <v>1053</v>
      </c>
      <c r="F150" s="253"/>
      <c r="G150" s="255">
        <v>3.2017000000000002</v>
      </c>
      <c r="H150" s="255">
        <v>3.2031999999999998</v>
      </c>
      <c r="I150" s="255" t="s">
        <v>698</v>
      </c>
      <c r="J150" s="256">
        <v>129553</v>
      </c>
      <c r="K150" s="257"/>
      <c r="L150" s="257"/>
      <c r="M150" s="257"/>
      <c r="N150" s="258"/>
      <c r="O150" s="258"/>
      <c r="P150" s="258"/>
      <c r="Q150" s="258" t="s">
        <v>699</v>
      </c>
      <c r="R150" s="259">
        <v>8936</v>
      </c>
      <c r="S150" s="259">
        <v>8936</v>
      </c>
      <c r="T150" s="259">
        <v>8936</v>
      </c>
      <c r="U150" s="259">
        <v>8936</v>
      </c>
      <c r="V150" s="259">
        <v>8936</v>
      </c>
      <c r="W150" s="259">
        <v>8936</v>
      </c>
      <c r="X150" s="259">
        <v>8936</v>
      </c>
      <c r="Y150" s="259">
        <v>2234</v>
      </c>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63">
        <f t="shared" ref="AU150:AU156" si="27">SUM(R150:AT150)</f>
        <v>64786</v>
      </c>
      <c r="AV150" s="352"/>
      <c r="AW150" s="262">
        <f t="shared" ref="AW150:AW156" si="28">SUM(Y150:AT150)</f>
        <v>2234</v>
      </c>
      <c r="AX150" s="263">
        <f t="shared" ref="AX150:AX156" si="29">SUM(R150:X150,AW150)</f>
        <v>64786</v>
      </c>
      <c r="AZ150" s="250" t="b">
        <f t="shared" ref="AZ150:AZ156" si="30">AU150=AX150</f>
        <v>1</v>
      </c>
    </row>
    <row r="151" spans="2:54" x14ac:dyDescent="0.3">
      <c r="B151" s="265"/>
      <c r="C151" s="269"/>
      <c r="D151" s="269"/>
      <c r="E151" s="268"/>
      <c r="F151" s="269"/>
      <c r="G151" s="269"/>
      <c r="H151" s="269"/>
      <c r="I151" s="269"/>
      <c r="J151" s="270"/>
      <c r="K151" s="270"/>
      <c r="L151" s="270"/>
      <c r="M151" s="270"/>
      <c r="N151" s="271">
        <f>SUM(O151:P151)</f>
        <v>3.0089999999999999</v>
      </c>
      <c r="O151" s="271">
        <v>2.7589999999999999</v>
      </c>
      <c r="P151" s="271">
        <v>0.25</v>
      </c>
      <c r="Q151" s="271" t="s">
        <v>702</v>
      </c>
      <c r="R151" s="273">
        <f>SUM(R150:$AR150)*$N151/100</f>
        <v>1949.41074</v>
      </c>
      <c r="S151" s="273">
        <f>SUM(S150:$AR150)*$N151/100</f>
        <v>1680.5264999999999</v>
      </c>
      <c r="T151" s="273">
        <f>SUM(T150:$AR150)*$N151/100</f>
        <v>1411.6422599999999</v>
      </c>
      <c r="U151" s="273">
        <f>SUM(U150:$AR150)*$N151/100</f>
        <v>1142.75802</v>
      </c>
      <c r="V151" s="273">
        <f>SUM(V150:$AR150)*$N151/100</f>
        <v>873.87378000000001</v>
      </c>
      <c r="W151" s="273">
        <f>SUM(W150:$AR150)*$N151/100</f>
        <v>604.98954000000003</v>
      </c>
      <c r="X151" s="273">
        <f>SUM(X150:$AR150)*$N151/100</f>
        <v>336.1053</v>
      </c>
      <c r="Y151" s="273">
        <f>SUM(Y150:$AR150)*$N151/100</f>
        <v>67.221059999999994</v>
      </c>
      <c r="Z151" s="273"/>
      <c r="AA151" s="273"/>
      <c r="AB151" s="273"/>
      <c r="AC151" s="273"/>
      <c r="AD151" s="273"/>
      <c r="AE151" s="273"/>
      <c r="AF151" s="273"/>
      <c r="AG151" s="273"/>
      <c r="AH151" s="273"/>
      <c r="AI151" s="273"/>
      <c r="AJ151" s="273"/>
      <c r="AK151" s="273"/>
      <c r="AL151" s="273"/>
      <c r="AM151" s="273"/>
      <c r="AN151" s="273"/>
      <c r="AO151" s="273"/>
      <c r="AP151" s="273"/>
      <c r="AQ151" s="273"/>
      <c r="AR151" s="273"/>
      <c r="AS151" s="273"/>
      <c r="AT151" s="273"/>
      <c r="AU151" s="276">
        <f t="shared" si="27"/>
        <v>8066.5271999999995</v>
      </c>
      <c r="AV151" s="353"/>
      <c r="AW151" s="275">
        <f t="shared" si="28"/>
        <v>67.221059999999994</v>
      </c>
      <c r="AX151" s="276">
        <f t="shared" si="29"/>
        <v>8066.5271999999995</v>
      </c>
      <c r="AZ151" s="230" t="b">
        <f t="shared" si="30"/>
        <v>1</v>
      </c>
    </row>
    <row r="152" spans="2:54" s="250" customFormat="1" x14ac:dyDescent="0.3">
      <c r="B152" s="251"/>
      <c r="C152" s="253">
        <v>2</v>
      </c>
      <c r="D152" s="253" t="s">
        <v>1052</v>
      </c>
      <c r="E152" s="254" t="s">
        <v>1054</v>
      </c>
      <c r="F152" s="253"/>
      <c r="G152" s="354">
        <v>44655</v>
      </c>
      <c r="H152" s="354">
        <v>55598</v>
      </c>
      <c r="I152" s="255" t="s">
        <v>698</v>
      </c>
      <c r="J152" s="256">
        <v>2209678</v>
      </c>
      <c r="K152" s="257"/>
      <c r="L152" s="257"/>
      <c r="M152" s="257"/>
      <c r="N152" s="258"/>
      <c r="O152" s="258"/>
      <c r="P152" s="258"/>
      <c r="Q152" s="258" t="s">
        <v>699</v>
      </c>
      <c r="R152" s="259">
        <v>67990</v>
      </c>
      <c r="S152" s="259">
        <v>81588</v>
      </c>
      <c r="T152" s="259">
        <v>81588</v>
      </c>
      <c r="U152" s="259">
        <v>81588</v>
      </c>
      <c r="V152" s="259">
        <v>81588</v>
      </c>
      <c r="W152" s="259">
        <v>81588</v>
      </c>
      <c r="X152" s="259">
        <v>81588</v>
      </c>
      <c r="Y152" s="259">
        <v>81588</v>
      </c>
      <c r="Z152" s="259">
        <v>81588</v>
      </c>
      <c r="AA152" s="259">
        <v>81588</v>
      </c>
      <c r="AB152" s="259">
        <v>81588</v>
      </c>
      <c r="AC152" s="259">
        <v>81588</v>
      </c>
      <c r="AD152" s="259">
        <v>81588</v>
      </c>
      <c r="AE152" s="259">
        <v>81588</v>
      </c>
      <c r="AF152" s="259">
        <v>81588</v>
      </c>
      <c r="AG152" s="259">
        <v>81588</v>
      </c>
      <c r="AH152" s="259">
        <v>81588</v>
      </c>
      <c r="AI152" s="259">
        <v>81588</v>
      </c>
      <c r="AJ152" s="259">
        <v>81588</v>
      </c>
      <c r="AK152" s="259">
        <v>81588</v>
      </c>
      <c r="AL152" s="259">
        <v>81588</v>
      </c>
      <c r="AM152" s="259">
        <v>81588</v>
      </c>
      <c r="AN152" s="259">
        <v>81588</v>
      </c>
      <c r="AO152" s="259">
        <v>81588</v>
      </c>
      <c r="AP152" s="259">
        <v>81588</v>
      </c>
      <c r="AQ152" s="259">
        <v>81588</v>
      </c>
      <c r="AR152" s="259">
        <v>81588</v>
      </c>
      <c r="AS152" s="259">
        <v>81588</v>
      </c>
      <c r="AT152" s="259">
        <v>20400</v>
      </c>
      <c r="AU152" s="263">
        <f t="shared" si="27"/>
        <v>2291266</v>
      </c>
      <c r="AV152" s="352"/>
      <c r="AW152" s="262">
        <f t="shared" si="28"/>
        <v>1733748</v>
      </c>
      <c r="AX152" s="263">
        <f t="shared" si="29"/>
        <v>2291266</v>
      </c>
      <c r="AZ152" s="250" t="b">
        <f t="shared" si="30"/>
        <v>1</v>
      </c>
    </row>
    <row r="153" spans="2:54" x14ac:dyDescent="0.3">
      <c r="B153" s="265"/>
      <c r="C153" s="269"/>
      <c r="D153" s="269"/>
      <c r="E153" s="268"/>
      <c r="F153" s="269"/>
      <c r="G153" s="269"/>
      <c r="H153" s="269"/>
      <c r="I153" s="269"/>
      <c r="J153" s="270"/>
      <c r="K153" s="270"/>
      <c r="L153" s="270"/>
      <c r="M153" s="270"/>
      <c r="N153" s="271">
        <f>SUM(O153:P153)</f>
        <v>3.008</v>
      </c>
      <c r="O153" s="271">
        <v>2.758</v>
      </c>
      <c r="P153" s="271">
        <v>0.25</v>
      </c>
      <c r="Q153" s="271" t="s">
        <v>702</v>
      </c>
      <c r="R153" s="273">
        <f>SUM(R152:$AT152)*$N153/100</f>
        <v>68921.281279999996</v>
      </c>
      <c r="S153" s="273">
        <f>SUM(S152:$AT152)*$N153/100</f>
        <v>66876.142079999991</v>
      </c>
      <c r="T153" s="273">
        <f>SUM(T152:$AT152)*$N153/100</f>
        <v>64421.975039999998</v>
      </c>
      <c r="U153" s="273">
        <f>SUM(U152:$AT152)*$N153/100</f>
        <v>61967.807999999997</v>
      </c>
      <c r="V153" s="273">
        <f>SUM(V152:$AT152)*$N153/100</f>
        <v>59513.640959999997</v>
      </c>
      <c r="W153" s="273">
        <f>SUM(W152:$AT152)*$N153/100</f>
        <v>57059.473919999997</v>
      </c>
      <c r="X153" s="273">
        <f>SUM(X152:$AT152)*$N153/100</f>
        <v>54605.306880000004</v>
      </c>
      <c r="Y153" s="273">
        <f>SUM(Y152:$AT152)*$N153/100</f>
        <v>52151.139840000003</v>
      </c>
      <c r="Z153" s="273">
        <f>SUM(Z152:$AT152)*$N153/100</f>
        <v>49696.972800000003</v>
      </c>
      <c r="AA153" s="273">
        <f>SUM(AA152:$AT152)*$N153/100</f>
        <v>47242.805760000003</v>
      </c>
      <c r="AB153" s="273">
        <f>SUM(AB152:$AT152)*$N153/100</f>
        <v>44788.638720000003</v>
      </c>
      <c r="AC153" s="273">
        <f>SUM(AC152:$AT152)*$N153/100</f>
        <v>42334.471679999995</v>
      </c>
      <c r="AD153" s="273">
        <f>SUM(AD152:$AT152)*$N153/100</f>
        <v>39880.304640000002</v>
      </c>
      <c r="AE153" s="273">
        <f>SUM(AE152:$AT152)*$N153/100</f>
        <v>37426.137599999995</v>
      </c>
      <c r="AF153" s="273">
        <f>SUM(AF152:$AT152)*$N153/100</f>
        <v>34971.970560000002</v>
      </c>
      <c r="AG153" s="273">
        <f>SUM(AG152:$AT152)*$N153/100</f>
        <v>32517.803520000001</v>
      </c>
      <c r="AH153" s="273">
        <f>SUM(AH152:$AT152)*$N153/100</f>
        <v>30063.636480000001</v>
      </c>
      <c r="AI153" s="273">
        <f>SUM(AI152:$AT152)*$N153/100</f>
        <v>27609.469440000001</v>
      </c>
      <c r="AJ153" s="273">
        <f>SUM(AJ152:$AT152)*$N153/100</f>
        <v>25155.3024</v>
      </c>
      <c r="AK153" s="273">
        <f>SUM(AK152:$AT152)*$N153/100</f>
        <v>22701.13536</v>
      </c>
      <c r="AL153" s="273">
        <f>SUM(AL152:$AT152)*$N153/100</f>
        <v>20246.96832</v>
      </c>
      <c r="AM153" s="273">
        <f>SUM(AM152:$AT152)*$N153/100</f>
        <v>17792.80128</v>
      </c>
      <c r="AN153" s="273">
        <f>SUM(AN152:$AT152)*$N153/100</f>
        <v>15338.634240000001</v>
      </c>
      <c r="AO153" s="273">
        <f>SUM(AO152:$AT152)*$N153/100</f>
        <v>12884.467199999999</v>
      </c>
      <c r="AP153" s="273">
        <f>SUM(AP152:$AT152)*$N153/100</f>
        <v>10430.300159999999</v>
      </c>
      <c r="AQ153" s="273">
        <f>SUM(AQ152:$AT152)*$N153/100</f>
        <v>7976.1331200000004</v>
      </c>
      <c r="AR153" s="273">
        <f>SUM(AR152:$AT152)*$N153/100</f>
        <v>5521.9660800000001</v>
      </c>
      <c r="AS153" s="273">
        <f>SUM(AS152:$AT152)*$N153/100</f>
        <v>3067.7990399999999</v>
      </c>
      <c r="AT153" s="273">
        <f>SUM(AT152:$AT152)*$N153/100</f>
        <v>613.63199999999995</v>
      </c>
      <c r="AU153" s="276">
        <f t="shared" si="27"/>
        <v>1013778.1184</v>
      </c>
      <c r="AV153" s="261"/>
      <c r="AW153" s="275">
        <f t="shared" si="28"/>
        <v>580412.49023999996</v>
      </c>
      <c r="AX153" s="276">
        <f t="shared" si="29"/>
        <v>1013778.1183999999</v>
      </c>
      <c r="AZ153" s="230" t="b">
        <f t="shared" si="30"/>
        <v>1</v>
      </c>
    </row>
    <row r="154" spans="2:54" s="283" customFormat="1" x14ac:dyDescent="0.3">
      <c r="B154" s="279"/>
      <c r="C154" s="281">
        <v>3</v>
      </c>
      <c r="D154" s="281" t="s">
        <v>1052</v>
      </c>
      <c r="E154" s="281"/>
      <c r="F154" s="281"/>
      <c r="G154" s="289" t="s">
        <v>1039</v>
      </c>
      <c r="H154" s="289">
        <v>49572</v>
      </c>
      <c r="I154" s="254" t="s">
        <v>698</v>
      </c>
      <c r="J154" s="256">
        <v>801681</v>
      </c>
      <c r="K154" s="257"/>
      <c r="L154" s="257"/>
      <c r="M154" s="257"/>
      <c r="N154" s="258"/>
      <c r="O154" s="258"/>
      <c r="P154" s="258"/>
      <c r="Q154" s="258" t="s">
        <v>699</v>
      </c>
      <c r="R154" s="259"/>
      <c r="S154" s="259"/>
      <c r="T154" s="259">
        <f t="shared" ref="T154:AC154" si="31">$J$154/40*4</f>
        <v>80168.100000000006</v>
      </c>
      <c r="U154" s="259">
        <f t="shared" si="31"/>
        <v>80168.100000000006</v>
      </c>
      <c r="V154" s="259">
        <f t="shared" si="31"/>
        <v>80168.100000000006</v>
      </c>
      <c r="W154" s="259">
        <f t="shared" si="31"/>
        <v>80168.100000000006</v>
      </c>
      <c r="X154" s="259">
        <f t="shared" si="31"/>
        <v>80168.100000000006</v>
      </c>
      <c r="Y154" s="259">
        <f t="shared" si="31"/>
        <v>80168.100000000006</v>
      </c>
      <c r="Z154" s="259">
        <f t="shared" si="31"/>
        <v>80168.100000000006</v>
      </c>
      <c r="AA154" s="259">
        <f t="shared" si="31"/>
        <v>80168.100000000006</v>
      </c>
      <c r="AB154" s="259">
        <f t="shared" si="31"/>
        <v>80168.100000000006</v>
      </c>
      <c r="AC154" s="259">
        <f t="shared" si="31"/>
        <v>80168.100000000006</v>
      </c>
      <c r="AD154" s="259"/>
      <c r="AE154" s="259"/>
      <c r="AF154" s="259"/>
      <c r="AG154" s="259"/>
      <c r="AH154" s="259"/>
      <c r="AI154" s="259"/>
      <c r="AJ154" s="259"/>
      <c r="AK154" s="259"/>
      <c r="AL154" s="259"/>
      <c r="AM154" s="259"/>
      <c r="AN154" s="259"/>
      <c r="AO154" s="259"/>
      <c r="AP154" s="259"/>
      <c r="AQ154" s="259"/>
      <c r="AR154" s="259"/>
      <c r="AS154" s="259"/>
      <c r="AT154" s="259"/>
      <c r="AU154" s="263">
        <f t="shared" si="27"/>
        <v>801680.99999999988</v>
      </c>
      <c r="AV154" s="355"/>
      <c r="AW154" s="262">
        <f t="shared" si="28"/>
        <v>400840.5</v>
      </c>
      <c r="AX154" s="263">
        <f t="shared" si="29"/>
        <v>801681</v>
      </c>
      <c r="AZ154" s="283" t="b">
        <f t="shared" si="30"/>
        <v>1</v>
      </c>
    </row>
    <row r="155" spans="2:54" s="232" customFormat="1" x14ac:dyDescent="0.3">
      <c r="B155" s="284"/>
      <c r="C155" s="268"/>
      <c r="D155" s="286" t="s">
        <v>1055</v>
      </c>
      <c r="E155" s="268"/>
      <c r="F155" s="268"/>
      <c r="G155" s="268"/>
      <c r="H155" s="268"/>
      <c r="I155" s="268"/>
      <c r="J155" s="270"/>
      <c r="K155" s="270"/>
      <c r="L155" s="270"/>
      <c r="M155" s="270"/>
      <c r="N155" s="271">
        <f>SUM(O155:P155)</f>
        <v>4.915</v>
      </c>
      <c r="O155" s="271">
        <v>4.665</v>
      </c>
      <c r="P155" s="271">
        <v>0.25</v>
      </c>
      <c r="Q155" s="271" t="s">
        <v>702</v>
      </c>
      <c r="R155" s="273">
        <f>SUM(R154:$AT154)*$N155/100</f>
        <v>39402.621149999992</v>
      </c>
      <c r="S155" s="273">
        <f>SUM(S154:$AT154)*$N155/100</f>
        <v>39402.621149999992</v>
      </c>
      <c r="T155" s="273">
        <f>SUM(T154:$AT154)*$N155/100</f>
        <v>39402.621149999992</v>
      </c>
      <c r="U155" s="273">
        <f>SUM(U154:$AT154)*$N155/100</f>
        <v>35462.359034999994</v>
      </c>
      <c r="V155" s="273">
        <f>SUM(V154:$AT154)*$N155/100</f>
        <v>31522.096919999996</v>
      </c>
      <c r="W155" s="273">
        <f>SUM(W154:$AT154)*$N155/100</f>
        <v>27581.834804999995</v>
      </c>
      <c r="X155" s="273">
        <f>SUM(X154:$AT154)*$N155/100</f>
        <v>23641.572689999997</v>
      </c>
      <c r="Y155" s="273">
        <f>SUM(Y154:$AT154)*$N155/100</f>
        <v>19701.310575</v>
      </c>
      <c r="Z155" s="273">
        <f>SUM(Z154:$AT154)*$N155/100</f>
        <v>15761.048460000002</v>
      </c>
      <c r="AA155" s="273">
        <f>SUM(AA154:$AT154)*$N155/100</f>
        <v>11820.786345000002</v>
      </c>
      <c r="AB155" s="273">
        <f>SUM(AB154:$AT154)*$N155/100</f>
        <v>7880.5242300000009</v>
      </c>
      <c r="AC155" s="273">
        <f>SUM(AC154:$AT154)*$N155/100</f>
        <v>3940.2621150000004</v>
      </c>
      <c r="AD155" s="273">
        <f>SUM(AD154:$AT154)*$N155/100</f>
        <v>0</v>
      </c>
      <c r="AE155" s="273">
        <f>SUM(AE154:$AT154)*$N155/100</f>
        <v>0</v>
      </c>
      <c r="AF155" s="273">
        <f>SUM(AF154:$AT154)*$N155/100</f>
        <v>0</v>
      </c>
      <c r="AG155" s="273">
        <f>SUM(AG154:$AT154)*$N155/100</f>
        <v>0</v>
      </c>
      <c r="AH155" s="273">
        <f>SUM(AH154:$AT154)*$N155/100</f>
        <v>0</v>
      </c>
      <c r="AI155" s="273">
        <f>SUM(AI154:$AT154)*$N155/100</f>
        <v>0</v>
      </c>
      <c r="AJ155" s="273">
        <f>SUM(AJ154:$AT154)*$N155/100</f>
        <v>0</v>
      </c>
      <c r="AK155" s="273">
        <f>SUM(AK154:$AT154)*$N155/100</f>
        <v>0</v>
      </c>
      <c r="AL155" s="273">
        <f>SUM(AL154:$AT154)*$N155/100</f>
        <v>0</v>
      </c>
      <c r="AM155" s="273">
        <f>SUM(AM154:$AT154)*$N155/100</f>
        <v>0</v>
      </c>
      <c r="AN155" s="273">
        <f>SUM(AN154:$AT154)*$N155/100</f>
        <v>0</v>
      </c>
      <c r="AO155" s="273">
        <f>SUM(AO154:$AT154)*$N155/100</f>
        <v>0</v>
      </c>
      <c r="AP155" s="273">
        <f>SUM(AP154:$AT154)*$N155/100</f>
        <v>0</v>
      </c>
      <c r="AQ155" s="273">
        <f>SUM(AQ154:$AT154)*$N155/100</f>
        <v>0</v>
      </c>
      <c r="AR155" s="273">
        <f>SUM(AR154:$AT154)*$N155/100</f>
        <v>0</v>
      </c>
      <c r="AS155" s="273">
        <f>SUM(AS154:$AT154)*$N155/100</f>
        <v>0</v>
      </c>
      <c r="AT155" s="273">
        <f>SUM(AT154:$AT154)*$N155/100</f>
        <v>0</v>
      </c>
      <c r="AU155" s="276">
        <f t="shared" si="27"/>
        <v>295519.65862499998</v>
      </c>
      <c r="AV155" s="282"/>
      <c r="AW155" s="275">
        <f t="shared" si="28"/>
        <v>59103.931725000002</v>
      </c>
      <c r="AX155" s="276">
        <f t="shared" si="29"/>
        <v>295519.65862499992</v>
      </c>
      <c r="AZ155" s="232" t="b">
        <f t="shared" si="30"/>
        <v>1</v>
      </c>
    </row>
    <row r="156" spans="2:54" s="283" customFormat="1" x14ac:dyDescent="0.3">
      <c r="C156" s="355"/>
      <c r="D156" s="355"/>
      <c r="E156" s="355"/>
      <c r="F156" s="355"/>
      <c r="G156" s="355"/>
      <c r="H156" s="355"/>
      <c r="I156" s="355"/>
      <c r="J156" s="355"/>
      <c r="K156" s="355"/>
      <c r="L156" s="355"/>
      <c r="M156" s="355"/>
      <c r="N156" s="355"/>
      <c r="O156" s="355"/>
      <c r="P156" s="355"/>
      <c r="Q156" s="356" t="s">
        <v>1056</v>
      </c>
      <c r="R156" s="357">
        <f t="shared" ref="R156:AT156" si="32">SUM(R150:R155)</f>
        <v>187199.31316999998</v>
      </c>
      <c r="S156" s="357">
        <f t="shared" si="32"/>
        <v>198483.28972999999</v>
      </c>
      <c r="T156" s="357">
        <f t="shared" si="32"/>
        <v>275928.33844999998</v>
      </c>
      <c r="U156" s="357">
        <f t="shared" si="32"/>
        <v>269265.02505499998</v>
      </c>
      <c r="V156" s="357">
        <f t="shared" si="32"/>
        <v>262601.71165999997</v>
      </c>
      <c r="W156" s="357">
        <f t="shared" si="32"/>
        <v>255938.398265</v>
      </c>
      <c r="X156" s="357">
        <f t="shared" si="32"/>
        <v>249275.08486999999</v>
      </c>
      <c r="Y156" s="357">
        <f t="shared" si="32"/>
        <v>235909.77147500002</v>
      </c>
      <c r="Z156" s="357">
        <f t="shared" si="32"/>
        <v>227214.12125999999</v>
      </c>
      <c r="AA156" s="357">
        <f t="shared" si="32"/>
        <v>220819.69210499999</v>
      </c>
      <c r="AB156" s="357">
        <f t="shared" si="32"/>
        <v>214425.26295000003</v>
      </c>
      <c r="AC156" s="357">
        <f t="shared" si="32"/>
        <v>208030.83379499998</v>
      </c>
      <c r="AD156" s="357">
        <f t="shared" si="32"/>
        <v>121468.30464</v>
      </c>
      <c r="AE156" s="357">
        <f t="shared" si="32"/>
        <v>119014.13759999999</v>
      </c>
      <c r="AF156" s="357">
        <f t="shared" si="32"/>
        <v>116559.97056</v>
      </c>
      <c r="AG156" s="357">
        <f t="shared" si="32"/>
        <v>114105.80352</v>
      </c>
      <c r="AH156" s="357">
        <f t="shared" si="32"/>
        <v>111651.63648</v>
      </c>
      <c r="AI156" s="357">
        <f t="shared" si="32"/>
        <v>109197.46944</v>
      </c>
      <c r="AJ156" s="357">
        <f t="shared" si="32"/>
        <v>106743.3024</v>
      </c>
      <c r="AK156" s="357">
        <f t="shared" si="32"/>
        <v>104289.13536</v>
      </c>
      <c r="AL156" s="357">
        <f t="shared" si="32"/>
        <v>101834.96832</v>
      </c>
      <c r="AM156" s="357">
        <f t="shared" si="32"/>
        <v>99380.80128</v>
      </c>
      <c r="AN156" s="357">
        <f t="shared" si="32"/>
        <v>96926.634239999999</v>
      </c>
      <c r="AO156" s="357">
        <f t="shared" si="32"/>
        <v>94472.467199999999</v>
      </c>
      <c r="AP156" s="357">
        <f t="shared" si="32"/>
        <v>92018.300159999999</v>
      </c>
      <c r="AQ156" s="357">
        <f t="shared" si="32"/>
        <v>89564.133119999999</v>
      </c>
      <c r="AR156" s="357">
        <f t="shared" si="32"/>
        <v>87109.966079999998</v>
      </c>
      <c r="AS156" s="357">
        <f t="shared" si="32"/>
        <v>84655.799039999998</v>
      </c>
      <c r="AT156" s="357">
        <f t="shared" si="32"/>
        <v>21013.632000000001</v>
      </c>
      <c r="AU156" s="358">
        <f t="shared" si="27"/>
        <v>4475097.3042249996</v>
      </c>
      <c r="AV156" s="355"/>
      <c r="AW156" s="359">
        <f t="shared" si="28"/>
        <v>2776406.1430250001</v>
      </c>
      <c r="AX156" s="359">
        <f t="shared" si="29"/>
        <v>4475097.3042249996</v>
      </c>
      <c r="AZ156" s="283" t="b">
        <f t="shared" si="30"/>
        <v>1</v>
      </c>
      <c r="BB156" s="344">
        <f>SUM(R150:AT155)</f>
        <v>4475097.3042250015</v>
      </c>
    </row>
    <row r="157" spans="2:54" x14ac:dyDescent="0.3">
      <c r="BB157" s="236">
        <f>BB156-AX156</f>
        <v>0</v>
      </c>
    </row>
    <row r="159" spans="2:54" ht="28.8" x14ac:dyDescent="0.3">
      <c r="R159" s="245">
        <v>2025</v>
      </c>
      <c r="S159" s="245">
        <v>2026</v>
      </c>
      <c r="T159" s="245">
        <v>2027</v>
      </c>
      <c r="U159" s="245">
        <v>2028</v>
      </c>
      <c r="V159" s="245">
        <v>2029</v>
      </c>
      <c r="W159" s="245">
        <v>2030</v>
      </c>
      <c r="X159" s="245">
        <v>2031</v>
      </c>
      <c r="Y159" s="245">
        <v>2032</v>
      </c>
      <c r="Z159" s="245">
        <v>2033</v>
      </c>
      <c r="AA159" s="245">
        <v>2034</v>
      </c>
      <c r="AB159" s="245">
        <v>2035</v>
      </c>
      <c r="AC159" s="245">
        <v>2036</v>
      </c>
      <c r="AD159" s="245">
        <v>2037</v>
      </c>
      <c r="AE159" s="245">
        <v>2038</v>
      </c>
      <c r="AF159" s="245">
        <v>2039</v>
      </c>
      <c r="AG159" s="245">
        <v>2040</v>
      </c>
      <c r="AH159" s="245">
        <v>2041</v>
      </c>
      <c r="AI159" s="245">
        <v>2042</v>
      </c>
      <c r="AJ159" s="245">
        <v>2043</v>
      </c>
      <c r="AK159" s="245">
        <v>2044</v>
      </c>
      <c r="AL159" s="245">
        <v>2045</v>
      </c>
      <c r="AM159" s="245">
        <v>2046</v>
      </c>
      <c r="AN159" s="245">
        <v>2047</v>
      </c>
      <c r="AO159" s="245">
        <v>2048</v>
      </c>
      <c r="AP159" s="245">
        <v>2049</v>
      </c>
      <c r="AQ159" s="245">
        <v>2050</v>
      </c>
      <c r="AR159" s="245">
        <v>2051</v>
      </c>
      <c r="AS159" s="245">
        <v>2052</v>
      </c>
      <c r="AT159" s="245">
        <v>2053</v>
      </c>
      <c r="AU159" s="244" t="s">
        <v>689</v>
      </c>
      <c r="AW159" s="245" t="s">
        <v>690</v>
      </c>
      <c r="AX159" s="244" t="s">
        <v>691</v>
      </c>
    </row>
    <row r="160" spans="2:54" x14ac:dyDescent="0.3">
      <c r="Q160" s="360" t="s">
        <v>1057</v>
      </c>
      <c r="R160" s="361">
        <f t="shared" ref="R160:AT161" si="33">R142</f>
        <v>3658289.49</v>
      </c>
      <c r="S160" s="361">
        <f t="shared" si="33"/>
        <v>3602824.0933333333</v>
      </c>
      <c r="T160" s="361">
        <f t="shared" si="33"/>
        <v>3890055.6836111108</v>
      </c>
      <c r="U160" s="361">
        <f t="shared" si="33"/>
        <v>4180286.8072222224</v>
      </c>
      <c r="V160" s="361">
        <f t="shared" si="33"/>
        <v>4081352.473888889</v>
      </c>
      <c r="W160" s="361">
        <f t="shared" si="33"/>
        <v>4001021.473888889</v>
      </c>
      <c r="X160" s="361">
        <f t="shared" si="33"/>
        <v>3892302.3338888884</v>
      </c>
      <c r="Y160" s="361">
        <f t="shared" si="33"/>
        <v>3233675.223888889</v>
      </c>
      <c r="Z160" s="361">
        <f t="shared" si="33"/>
        <v>3031634.263888889</v>
      </c>
      <c r="AA160" s="361">
        <f t="shared" si="33"/>
        <v>2642095.2738888888</v>
      </c>
      <c r="AB160" s="361">
        <f t="shared" si="33"/>
        <v>2461284.7113888888</v>
      </c>
      <c r="AC160" s="361">
        <f t="shared" si="33"/>
        <v>2249817.2988888891</v>
      </c>
      <c r="AD160" s="361">
        <f t="shared" si="33"/>
        <v>2113504.5888888892</v>
      </c>
      <c r="AE160" s="361">
        <f t="shared" si="33"/>
        <v>1973800.5888888889</v>
      </c>
      <c r="AF160" s="361">
        <f t="shared" si="33"/>
        <v>1901672.5888888889</v>
      </c>
      <c r="AG160" s="361">
        <f t="shared" si="33"/>
        <v>1860622.628888889</v>
      </c>
      <c r="AH160" s="361">
        <f t="shared" si="33"/>
        <v>1844101.658888889</v>
      </c>
      <c r="AI160" s="361">
        <f t="shared" si="33"/>
        <v>1721683.7222222222</v>
      </c>
      <c r="AJ160" s="361">
        <f t="shared" si="33"/>
        <v>1721683.7222222222</v>
      </c>
      <c r="AK160" s="361">
        <f t="shared" si="33"/>
        <v>1721683.7222222222</v>
      </c>
      <c r="AL160" s="361">
        <f t="shared" si="33"/>
        <v>1453015.861111111</v>
      </c>
      <c r="AM160" s="361">
        <f t="shared" si="33"/>
        <v>1184348</v>
      </c>
      <c r="AN160" s="361">
        <f t="shared" si="33"/>
        <v>1184348</v>
      </c>
      <c r="AO160" s="361">
        <f t="shared" si="33"/>
        <v>867315.83000000007</v>
      </c>
      <c r="AP160" s="361">
        <f t="shared" si="33"/>
        <v>452632</v>
      </c>
      <c r="AQ160" s="361">
        <f t="shared" si="33"/>
        <v>409981</v>
      </c>
      <c r="AR160" s="361">
        <f t="shared" si="33"/>
        <v>55587.92</v>
      </c>
      <c r="AS160" s="361">
        <f t="shared" si="33"/>
        <v>0</v>
      </c>
      <c r="AT160" s="361">
        <f t="shared" si="33"/>
        <v>0</v>
      </c>
      <c r="AU160" s="362">
        <f>SUM(R160:AT160)</f>
        <v>61390620.960000016</v>
      </c>
      <c r="AW160" s="363">
        <f>SUM(Y160:AT160)</f>
        <v>34084488.604166672</v>
      </c>
      <c r="AX160" s="263">
        <f>SUM(R160:X160,AW160)</f>
        <v>61390620.960000008</v>
      </c>
    </row>
    <row r="161" spans="6:50" x14ac:dyDescent="0.3">
      <c r="Q161" s="360" t="s">
        <v>1058</v>
      </c>
      <c r="R161" s="361">
        <f t="shared" si="33"/>
        <v>2102430.6274650004</v>
      </c>
      <c r="S161" s="361">
        <f t="shared" si="33"/>
        <v>2178830.6786627993</v>
      </c>
      <c r="T161" s="361">
        <f t="shared" si="33"/>
        <v>2046946.0399881327</v>
      </c>
      <c r="U161" s="361">
        <f t="shared" si="33"/>
        <v>1901563.0095713865</v>
      </c>
      <c r="V161" s="361">
        <f t="shared" si="33"/>
        <v>1743851.3708220252</v>
      </c>
      <c r="W161" s="361">
        <f t="shared" si="33"/>
        <v>1589596.7439493309</v>
      </c>
      <c r="X161" s="361">
        <f t="shared" si="33"/>
        <v>1438353.9635066362</v>
      </c>
      <c r="Y161" s="361">
        <f t="shared" si="33"/>
        <v>1291142.8993589415</v>
      </c>
      <c r="Z161" s="361">
        <f t="shared" si="33"/>
        <v>1166821.5690842469</v>
      </c>
      <c r="AA161" s="361">
        <f t="shared" si="33"/>
        <v>1051004.6434877526</v>
      </c>
      <c r="AB161" s="361">
        <f t="shared" si="33"/>
        <v>949691.37129305827</v>
      </c>
      <c r="AC161" s="361">
        <f t="shared" si="33"/>
        <v>855767.27964398894</v>
      </c>
      <c r="AD161" s="361">
        <f t="shared" si="33"/>
        <v>770038.00451554439</v>
      </c>
      <c r="AE161" s="361">
        <f t="shared" si="33"/>
        <v>689311.79559209989</v>
      </c>
      <c r="AF161" s="361">
        <f t="shared" si="33"/>
        <v>614369.36438865552</v>
      </c>
      <c r="AG161" s="361">
        <f t="shared" si="33"/>
        <v>542203.09442521119</v>
      </c>
      <c r="AH161" s="361">
        <f t="shared" si="33"/>
        <v>471246.33896816662</v>
      </c>
      <c r="AI161" s="361">
        <f t="shared" si="33"/>
        <v>400865.28293972224</v>
      </c>
      <c r="AJ161" s="361">
        <f t="shared" si="33"/>
        <v>335293.99122694443</v>
      </c>
      <c r="AK161" s="361">
        <f t="shared" si="33"/>
        <v>269722.69951416668</v>
      </c>
      <c r="AL161" s="361">
        <f t="shared" si="33"/>
        <v>204151.40780138888</v>
      </c>
      <c r="AM161" s="361">
        <f t="shared" si="33"/>
        <v>149845.35950499997</v>
      </c>
      <c r="AN161" s="361">
        <f t="shared" si="33"/>
        <v>106804.55462499999</v>
      </c>
      <c r="AO161" s="361">
        <f t="shared" si="33"/>
        <v>63763.749744999986</v>
      </c>
      <c r="AP161" s="361">
        <f t="shared" si="33"/>
        <v>32654.391700000004</v>
      </c>
      <c r="AQ161" s="361">
        <f t="shared" si="33"/>
        <v>16552.664819999998</v>
      </c>
      <c r="AR161" s="361">
        <f t="shared" si="33"/>
        <v>1973.3711599999997</v>
      </c>
      <c r="AS161" s="361">
        <f t="shared" si="33"/>
        <v>0</v>
      </c>
      <c r="AT161" s="361">
        <f t="shared" si="33"/>
        <v>0</v>
      </c>
      <c r="AU161" s="362">
        <f>SUM(R161:AT161)</f>
        <v>22984796.267760202</v>
      </c>
      <c r="AW161" s="363">
        <f>SUM(Y161:AT161)</f>
        <v>9983223.8337948937</v>
      </c>
      <c r="AX161" s="362">
        <f>SUM(R161:X161,AW161)</f>
        <v>22984796.267760202</v>
      </c>
    </row>
    <row r="162" spans="6:50" x14ac:dyDescent="0.3">
      <c r="Q162" s="360" t="s">
        <v>1059</v>
      </c>
      <c r="R162" s="361">
        <f t="shared" ref="R162:AT162" si="34">R156</f>
        <v>187199.31316999998</v>
      </c>
      <c r="S162" s="361">
        <f t="shared" si="34"/>
        <v>198483.28972999999</v>
      </c>
      <c r="T162" s="361">
        <f t="shared" si="34"/>
        <v>275928.33844999998</v>
      </c>
      <c r="U162" s="361">
        <f t="shared" si="34"/>
        <v>269265.02505499998</v>
      </c>
      <c r="V162" s="361">
        <f t="shared" si="34"/>
        <v>262601.71165999997</v>
      </c>
      <c r="W162" s="361">
        <f t="shared" si="34"/>
        <v>255938.398265</v>
      </c>
      <c r="X162" s="361">
        <f t="shared" si="34"/>
        <v>249275.08486999999</v>
      </c>
      <c r="Y162" s="361">
        <f t="shared" si="34"/>
        <v>235909.77147500002</v>
      </c>
      <c r="Z162" s="361">
        <f t="shared" si="34"/>
        <v>227214.12125999999</v>
      </c>
      <c r="AA162" s="361">
        <f t="shared" si="34"/>
        <v>220819.69210499999</v>
      </c>
      <c r="AB162" s="361">
        <f t="shared" si="34"/>
        <v>214425.26295000003</v>
      </c>
      <c r="AC162" s="361">
        <f t="shared" si="34"/>
        <v>208030.83379499998</v>
      </c>
      <c r="AD162" s="361">
        <f t="shared" si="34"/>
        <v>121468.30464</v>
      </c>
      <c r="AE162" s="361">
        <f t="shared" si="34"/>
        <v>119014.13759999999</v>
      </c>
      <c r="AF162" s="361">
        <f t="shared" si="34"/>
        <v>116559.97056</v>
      </c>
      <c r="AG162" s="361">
        <f t="shared" si="34"/>
        <v>114105.80352</v>
      </c>
      <c r="AH162" s="361">
        <f t="shared" si="34"/>
        <v>111651.63648</v>
      </c>
      <c r="AI162" s="361">
        <f t="shared" si="34"/>
        <v>109197.46944</v>
      </c>
      <c r="AJ162" s="361">
        <f t="shared" si="34"/>
        <v>106743.3024</v>
      </c>
      <c r="AK162" s="361">
        <f t="shared" si="34"/>
        <v>104289.13536</v>
      </c>
      <c r="AL162" s="361">
        <f t="shared" si="34"/>
        <v>101834.96832</v>
      </c>
      <c r="AM162" s="361">
        <f t="shared" si="34"/>
        <v>99380.80128</v>
      </c>
      <c r="AN162" s="361">
        <f t="shared" si="34"/>
        <v>96926.634239999999</v>
      </c>
      <c r="AO162" s="361">
        <f t="shared" si="34"/>
        <v>94472.467199999999</v>
      </c>
      <c r="AP162" s="361">
        <f t="shared" si="34"/>
        <v>92018.300159999999</v>
      </c>
      <c r="AQ162" s="361">
        <f t="shared" si="34"/>
        <v>89564.133119999999</v>
      </c>
      <c r="AR162" s="361">
        <f t="shared" si="34"/>
        <v>87109.966079999998</v>
      </c>
      <c r="AS162" s="361">
        <f t="shared" si="34"/>
        <v>84655.799039999998</v>
      </c>
      <c r="AT162" s="361">
        <f t="shared" si="34"/>
        <v>21013.632000000001</v>
      </c>
      <c r="AU162" s="362">
        <f>SUM(R162:AT162)</f>
        <v>4475097.3042249996</v>
      </c>
      <c r="AW162" s="273">
        <f>SUM(Y162:AT162)</f>
        <v>2776406.1430250001</v>
      </c>
      <c r="AX162" s="362">
        <f>SUM(R162:X162,AW162)</f>
        <v>4475097.3042249996</v>
      </c>
    </row>
    <row r="163" spans="6:50" s="283" customFormat="1" x14ac:dyDescent="0.3">
      <c r="Q163" s="364" t="s">
        <v>1060</v>
      </c>
      <c r="R163" s="365">
        <f t="shared" ref="R163:AT163" si="35">SUM(R160:R162)</f>
        <v>5947919.4306350006</v>
      </c>
      <c r="S163" s="365">
        <f t="shared" si="35"/>
        <v>5980138.0617261333</v>
      </c>
      <c r="T163" s="365">
        <f t="shared" si="35"/>
        <v>6212930.0620492436</v>
      </c>
      <c r="U163" s="365">
        <f t="shared" si="35"/>
        <v>6351114.841848609</v>
      </c>
      <c r="V163" s="365">
        <f t="shared" si="35"/>
        <v>6087805.556370914</v>
      </c>
      <c r="W163" s="365">
        <f t="shared" si="35"/>
        <v>5846556.6161032207</v>
      </c>
      <c r="X163" s="365">
        <f t="shared" si="35"/>
        <v>5579931.3822655249</v>
      </c>
      <c r="Y163" s="365">
        <f t="shared" si="35"/>
        <v>4760727.8947228305</v>
      </c>
      <c r="Z163" s="365">
        <f t="shared" si="35"/>
        <v>4425669.954233136</v>
      </c>
      <c r="AA163" s="365">
        <f t="shared" si="35"/>
        <v>3913919.6094816411</v>
      </c>
      <c r="AB163" s="365">
        <f t="shared" si="35"/>
        <v>3625401.3456319468</v>
      </c>
      <c r="AC163" s="365">
        <f t="shared" si="35"/>
        <v>3313615.4123278782</v>
      </c>
      <c r="AD163" s="365">
        <f t="shared" si="35"/>
        <v>3005010.8980444339</v>
      </c>
      <c r="AE163" s="365">
        <f t="shared" si="35"/>
        <v>2782126.5220809886</v>
      </c>
      <c r="AF163" s="365">
        <f t="shared" si="35"/>
        <v>2632601.9238375444</v>
      </c>
      <c r="AG163" s="365">
        <f t="shared" si="35"/>
        <v>2516931.5268341</v>
      </c>
      <c r="AH163" s="365">
        <f t="shared" si="35"/>
        <v>2426999.6343370555</v>
      </c>
      <c r="AI163" s="365">
        <f t="shared" si="35"/>
        <v>2231746.4746019444</v>
      </c>
      <c r="AJ163" s="365">
        <f t="shared" si="35"/>
        <v>2163721.0158491665</v>
      </c>
      <c r="AK163" s="365">
        <f t="shared" si="35"/>
        <v>2095695.5570963889</v>
      </c>
      <c r="AL163" s="365">
        <f t="shared" si="35"/>
        <v>1759002.2372324998</v>
      </c>
      <c r="AM163" s="365">
        <f t="shared" si="35"/>
        <v>1433574.1607850001</v>
      </c>
      <c r="AN163" s="365">
        <f t="shared" si="35"/>
        <v>1388079.1888649999</v>
      </c>
      <c r="AO163" s="365">
        <f t="shared" si="35"/>
        <v>1025552.0469450001</v>
      </c>
      <c r="AP163" s="365">
        <f t="shared" si="35"/>
        <v>577304.69186000002</v>
      </c>
      <c r="AQ163" s="365">
        <f t="shared" si="35"/>
        <v>516097.79794000002</v>
      </c>
      <c r="AR163" s="365">
        <f t="shared" si="35"/>
        <v>144671.25724000001</v>
      </c>
      <c r="AS163" s="365">
        <f t="shared" si="35"/>
        <v>84655.799039999998</v>
      </c>
      <c r="AT163" s="365">
        <f t="shared" si="35"/>
        <v>21013.632000000001</v>
      </c>
      <c r="AU163" s="365">
        <f>SUM(R163:AT163)</f>
        <v>88850514.531985238</v>
      </c>
      <c r="AW163" s="365">
        <f>SUM(Y163:AT163)</f>
        <v>46844118.580986537</v>
      </c>
      <c r="AX163" s="365">
        <f>SUM(R163:X163,AW163)</f>
        <v>88850514.531985179</v>
      </c>
    </row>
    <row r="165" spans="6:50" s="283" customFormat="1" x14ac:dyDescent="0.3">
      <c r="Q165" s="364" t="s">
        <v>1061</v>
      </c>
      <c r="R165" s="366">
        <f>R163/$Q$166</f>
        <v>0.15963507567846433</v>
      </c>
      <c r="S165" s="366">
        <f t="shared" ref="S165:AT165" si="36">S163/$Q$166</f>
        <v>0.1604997853761107</v>
      </c>
      <c r="T165" s="366">
        <f t="shared" si="36"/>
        <v>0.16674764549296395</v>
      </c>
      <c r="U165" s="366">
        <f t="shared" si="36"/>
        <v>0.17045636045424387</v>
      </c>
      <c r="V165" s="366">
        <f t="shared" si="36"/>
        <v>0.16338945273898808</v>
      </c>
      <c r="W165" s="366">
        <f t="shared" si="36"/>
        <v>0.156914618423206</v>
      </c>
      <c r="X165" s="366">
        <f t="shared" si="36"/>
        <v>0.14975871460207357</v>
      </c>
      <c r="Y165" s="367">
        <f t="shared" si="36"/>
        <v>0.12777226837410602</v>
      </c>
      <c r="Z165" s="367">
        <f t="shared" si="36"/>
        <v>0.11877971218525521</v>
      </c>
      <c r="AA165" s="367">
        <f t="shared" si="36"/>
        <v>0.10504494224332889</v>
      </c>
      <c r="AB165" s="367">
        <f t="shared" si="36"/>
        <v>9.730145556342476E-2</v>
      </c>
      <c r="AC165" s="367">
        <f t="shared" si="36"/>
        <v>8.8933492338818337E-2</v>
      </c>
      <c r="AD165" s="367">
        <f t="shared" si="36"/>
        <v>8.0650914612795929E-2</v>
      </c>
      <c r="AE165" s="367">
        <f t="shared" si="36"/>
        <v>7.4668963337327268E-2</v>
      </c>
      <c r="AF165" s="367">
        <f t="shared" si="36"/>
        <v>7.0655901150666833E-2</v>
      </c>
      <c r="AG165" s="367">
        <f t="shared" si="36"/>
        <v>6.7551445417070671E-2</v>
      </c>
      <c r="AH165" s="367">
        <f t="shared" si="36"/>
        <v>6.5137780499094383E-2</v>
      </c>
      <c r="AI165" s="367">
        <f t="shared" si="36"/>
        <v>5.9897418168321163E-2</v>
      </c>
      <c r="AJ165" s="367">
        <f t="shared" si="36"/>
        <v>5.8071695849331612E-2</v>
      </c>
      <c r="AK165" s="367">
        <f t="shared" si="36"/>
        <v>5.624597353034206E-2</v>
      </c>
      <c r="AL165" s="367">
        <f t="shared" si="36"/>
        <v>4.7209525706238438E-2</v>
      </c>
      <c r="AM165" s="367">
        <f t="shared" si="36"/>
        <v>3.8475423602564257E-2</v>
      </c>
      <c r="AN165" s="367">
        <f t="shared" si="36"/>
        <v>3.7254392724433566E-2</v>
      </c>
      <c r="AO165" s="367">
        <f t="shared" si="36"/>
        <v>2.7524595875164863E-2</v>
      </c>
      <c r="AP165" s="367">
        <f t="shared" si="36"/>
        <v>1.549417056659169E-2</v>
      </c>
      <c r="AQ165" s="367">
        <f t="shared" si="36"/>
        <v>1.3851450409247559E-2</v>
      </c>
      <c r="AR165" s="367">
        <f t="shared" si="36"/>
        <v>3.8828042927172598E-3</v>
      </c>
      <c r="AS165" s="367">
        <f t="shared" si="36"/>
        <v>2.2720608515251033E-3</v>
      </c>
      <c r="AT165" s="367">
        <f t="shared" si="36"/>
        <v>5.6398086317744082E-4</v>
      </c>
      <c r="AW165" s="368"/>
      <c r="AX165" s="368"/>
    </row>
    <row r="166" spans="6:50" x14ac:dyDescent="0.3">
      <c r="J166" s="369" t="s">
        <v>1062</v>
      </c>
      <c r="Q166" s="370">
        <v>37259477</v>
      </c>
      <c r="R166" s="371"/>
      <c r="S166" s="371"/>
      <c r="T166" s="371"/>
      <c r="U166" s="371"/>
      <c r="V166" s="371"/>
    </row>
    <row r="167" spans="6:50" x14ac:dyDescent="0.3">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32"/>
      <c r="AQ167" s="332"/>
      <c r="AR167" s="332"/>
      <c r="AS167" s="332"/>
      <c r="AT167" s="332"/>
      <c r="AU167" s="332"/>
      <c r="AV167" s="332"/>
      <c r="AW167" s="332"/>
      <c r="AX167" s="332"/>
    </row>
    <row r="168" spans="6:50" x14ac:dyDescent="0.3">
      <c r="F168" s="372"/>
      <c r="J168" s="373"/>
      <c r="K168" s="374"/>
      <c r="L168" s="374"/>
      <c r="M168" s="374"/>
      <c r="N168" s="374"/>
      <c r="O168" s="374"/>
      <c r="P168" s="374"/>
      <c r="Q168" s="374"/>
      <c r="R168" s="332"/>
      <c r="S168" s="332"/>
      <c r="T168" s="332"/>
      <c r="U168" s="332"/>
      <c r="V168" s="332"/>
      <c r="W168" s="332"/>
      <c r="X168" s="332"/>
      <c r="Y168" s="332"/>
      <c r="Z168" s="332"/>
      <c r="AA168" s="332"/>
      <c r="AB168" s="332"/>
      <c r="AC168" s="332"/>
      <c r="AD168" s="332"/>
      <c r="AE168" s="332"/>
      <c r="AF168" s="332"/>
      <c r="AG168" s="332"/>
      <c r="AH168" s="332"/>
      <c r="AI168" s="332"/>
      <c r="AJ168" s="332"/>
      <c r="AK168" s="332"/>
      <c r="AL168" s="332"/>
      <c r="AM168" s="332"/>
      <c r="AN168" s="332"/>
      <c r="AO168" s="332"/>
      <c r="AP168" s="332"/>
      <c r="AQ168" s="332"/>
      <c r="AR168" s="332"/>
      <c r="AS168" s="332"/>
      <c r="AT168" s="332"/>
      <c r="AU168" s="332"/>
      <c r="AV168" s="332"/>
      <c r="AW168" s="332"/>
      <c r="AX168" s="332"/>
    </row>
    <row r="169" spans="6:50" x14ac:dyDescent="0.3">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row>
    <row r="170" spans="6:50" x14ac:dyDescent="0.3">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row>
    <row r="171" spans="6:50" x14ac:dyDescent="0.3">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row>
    <row r="172" spans="6:50" x14ac:dyDescent="0.3">
      <c r="Q172" s="375"/>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332"/>
      <c r="AW172" s="332"/>
      <c r="AX172" s="332"/>
    </row>
    <row r="173" spans="6:50" x14ac:dyDescent="0.3">
      <c r="R173" s="376"/>
      <c r="S173" s="376"/>
      <c r="T173" s="376"/>
      <c r="U173" s="376"/>
      <c r="V173" s="376"/>
      <c r="W173" s="376"/>
      <c r="X173" s="376"/>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2"/>
    </row>
    <row r="175" spans="6:50" x14ac:dyDescent="0.3">
      <c r="R175" s="236"/>
      <c r="S175" s="236"/>
      <c r="T175" s="236"/>
      <c r="U175" s="236"/>
      <c r="V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row>
    <row r="176" spans="6:50" x14ac:dyDescent="0.3">
      <c r="R176" s="236"/>
      <c r="S176" s="236"/>
      <c r="T176" s="236"/>
      <c r="U176" s="236"/>
      <c r="V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row>
    <row r="177" spans="18:52" x14ac:dyDescent="0.3">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row>
    <row r="178" spans="18:52" x14ac:dyDescent="0.3">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row>
    <row r="180" spans="18:52" x14ac:dyDescent="0.3">
      <c r="R180" s="377"/>
      <c r="S180" s="377"/>
      <c r="T180" s="377"/>
      <c r="U180" s="377"/>
      <c r="V180" s="377"/>
      <c r="W180" s="377"/>
      <c r="X180" s="377"/>
      <c r="Y180" s="377"/>
      <c r="Z180" s="377"/>
      <c r="AA180" s="377"/>
      <c r="AB180" s="377"/>
      <c r="AC180" s="377"/>
      <c r="AD180" s="377"/>
      <c r="AE180" s="377"/>
      <c r="AF180" s="377"/>
      <c r="AG180" s="377"/>
      <c r="AH180" s="377"/>
      <c r="AI180" s="377"/>
      <c r="AJ180" s="377"/>
      <c r="AK180" s="377"/>
      <c r="AL180" s="377"/>
      <c r="AM180" s="377"/>
      <c r="AN180" s="377"/>
      <c r="AO180" s="377"/>
      <c r="AP180" s="377"/>
      <c r="AQ180" s="377"/>
      <c r="AR180" s="377"/>
      <c r="AS180" s="377"/>
      <c r="AT180" s="377"/>
      <c r="AU180" s="377"/>
      <c r="AV180" s="377"/>
      <c r="AW180" s="377"/>
      <c r="AX180" s="377"/>
      <c r="AY180" s="377"/>
      <c r="AZ180" s="377"/>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2025.gada budzeta plans_apvieno</vt:lpstr>
      <vt:lpstr>Līgumu saraksts_29052025</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2025-05-16T10:15:25Z</dcterms:created>
  <dcterms:modified xsi:type="dcterms:W3CDTF">2025-06-01T13:22:44Z</dcterms:modified>
</cp:coreProperties>
</file>