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vs-adazi.namejs.lv/webdav/57e561e5-42d6-4e07-a10d-1b5db51b1e76/"/>
    </mc:Choice>
  </mc:AlternateContent>
  <xr:revisionPtr revIDLastSave="0" documentId="13_ncr:1_{707C5AA2-176E-41FA-91D5-EE8E8AF45C15}" xr6:coauthVersionLast="47" xr6:coauthVersionMax="47" xr10:uidLastSave="{00000000-0000-0000-0000-000000000000}"/>
  <bookViews>
    <workbookView xWindow="-108" yWindow="-108" windowWidth="23256" windowHeight="12456" xr2:uid="{947FA737-D7C8-4DCB-B473-596F972024DE}"/>
  </bookViews>
  <sheets>
    <sheet name="2025.gada budzeta plans_apvieno" sheetId="1" r:id="rId1"/>
  </sheets>
  <definedNames>
    <definedName name="_0812">#REF!</definedName>
    <definedName name="_xlnm._FilterDatabase" localSheetId="0" hidden="1">'2025.gada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plans_apvieno'!$A$1:$L$289</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7" i="1" l="1"/>
  <c r="J163" i="1"/>
  <c r="J272" i="1"/>
  <c r="J65" i="1"/>
  <c r="J153" i="1"/>
  <c r="J117" i="1"/>
  <c r="J47" i="1"/>
  <c r="G85" i="1"/>
  <c r="G287" i="1"/>
  <c r="H287" i="1" s="1"/>
  <c r="K285" i="1"/>
  <c r="H285" i="1"/>
  <c r="K284" i="1"/>
  <c r="H284" i="1"/>
  <c r="J283" i="1"/>
  <c r="G283" i="1"/>
  <c r="G282" i="1"/>
  <c r="G281" i="1"/>
  <c r="G279" i="1"/>
  <c r="G278" i="1"/>
  <c r="G277" i="1"/>
  <c r="G276" i="1"/>
  <c r="G275" i="1"/>
  <c r="G274" i="1"/>
  <c r="G273" i="1"/>
  <c r="G272" i="1"/>
  <c r="G271" i="1"/>
  <c r="H271" i="1" s="1"/>
  <c r="G270" i="1"/>
  <c r="G268" i="1"/>
  <c r="J268" i="1" s="1"/>
  <c r="K268" i="1" s="1"/>
  <c r="G267" i="1"/>
  <c r="G265" i="1"/>
  <c r="G264" i="1"/>
  <c r="J264" i="1" s="1"/>
  <c r="G263" i="1"/>
  <c r="G261" i="1"/>
  <c r="G260" i="1"/>
  <c r="H260" i="1" s="1"/>
  <c r="G259" i="1"/>
  <c r="G258" i="1"/>
  <c r="H258" i="1" s="1"/>
  <c r="G257" i="1"/>
  <c r="H257" i="1" s="1"/>
  <c r="G256" i="1"/>
  <c r="G255" i="1"/>
  <c r="G254" i="1"/>
  <c r="H254" i="1" s="1"/>
  <c r="G253" i="1"/>
  <c r="J253" i="1" s="1"/>
  <c r="K253" i="1" s="1"/>
  <c r="G252" i="1"/>
  <c r="J252" i="1" s="1"/>
  <c r="K252" i="1" s="1"/>
  <c r="G251" i="1"/>
  <c r="G250" i="1"/>
  <c r="J250" i="1" s="1"/>
  <c r="K250" i="1" s="1"/>
  <c r="G247" i="1"/>
  <c r="H247" i="1" s="1"/>
  <c r="G246" i="1"/>
  <c r="J246" i="1" s="1"/>
  <c r="K246" i="1" s="1"/>
  <c r="G245" i="1"/>
  <c r="J245" i="1" s="1"/>
  <c r="K245" i="1" s="1"/>
  <c r="G244" i="1"/>
  <c r="J244" i="1" s="1"/>
  <c r="K244" i="1" s="1"/>
  <c r="G243" i="1"/>
  <c r="J243" i="1" s="1"/>
  <c r="G242" i="1"/>
  <c r="G241" i="1"/>
  <c r="H241" i="1" s="1"/>
  <c r="G240" i="1"/>
  <c r="J240" i="1" s="1"/>
  <c r="K240" i="1" s="1"/>
  <c r="G239" i="1"/>
  <c r="G236" i="1"/>
  <c r="G235" i="1"/>
  <c r="G234" i="1"/>
  <c r="G232" i="1"/>
  <c r="G231" i="1"/>
  <c r="G230" i="1"/>
  <c r="G228" i="1"/>
  <c r="G227" i="1"/>
  <c r="G226" i="1"/>
  <c r="G224" i="1"/>
  <c r="H224" i="1" s="1"/>
  <c r="G223" i="1"/>
  <c r="G222" i="1"/>
  <c r="G220" i="1"/>
  <c r="G219" i="1"/>
  <c r="G218" i="1"/>
  <c r="J218" i="1" s="1"/>
  <c r="K218" i="1" s="1"/>
  <c r="G216" i="1"/>
  <c r="J216" i="1" s="1"/>
  <c r="K216" i="1" s="1"/>
  <c r="G214" i="1"/>
  <c r="J214" i="1" s="1"/>
  <c r="K214" i="1" s="1"/>
  <c r="G213" i="1"/>
  <c r="G212" i="1"/>
  <c r="J212" i="1" s="1"/>
  <c r="K212" i="1" s="1"/>
  <c r="G211" i="1"/>
  <c r="G210" i="1"/>
  <c r="H210" i="1" s="1"/>
  <c r="G209" i="1"/>
  <c r="H209" i="1" s="1"/>
  <c r="G208" i="1"/>
  <c r="H208" i="1" s="1"/>
  <c r="G207" i="1"/>
  <c r="H207" i="1" s="1"/>
  <c r="G206" i="1"/>
  <c r="J206" i="1" s="1"/>
  <c r="K206" i="1" s="1"/>
  <c r="G204" i="1"/>
  <c r="J204" i="1" s="1"/>
  <c r="K204" i="1" s="1"/>
  <c r="G203" i="1"/>
  <c r="G201" i="1"/>
  <c r="G200" i="1"/>
  <c r="G199" i="1"/>
  <c r="J199" i="1" s="1"/>
  <c r="K199" i="1" s="1"/>
  <c r="G198" i="1"/>
  <c r="H198" i="1" s="1"/>
  <c r="G197" i="1"/>
  <c r="J197" i="1" s="1"/>
  <c r="G194" i="1"/>
  <c r="J194" i="1" s="1"/>
  <c r="K194" i="1" s="1"/>
  <c r="G193" i="1"/>
  <c r="G192" i="1"/>
  <c r="G191" i="1"/>
  <c r="H191" i="1" s="1"/>
  <c r="G189" i="1"/>
  <c r="H189" i="1" s="1"/>
  <c r="G188" i="1"/>
  <c r="J188" i="1" s="1"/>
  <c r="K188" i="1" s="1"/>
  <c r="G187" i="1"/>
  <c r="H187" i="1" s="1"/>
  <c r="G186" i="1"/>
  <c r="G185" i="1"/>
  <c r="G184" i="1"/>
  <c r="H184" i="1" s="1"/>
  <c r="G183" i="1"/>
  <c r="G182" i="1"/>
  <c r="L181" i="1"/>
  <c r="I181" i="1"/>
  <c r="G179" i="1"/>
  <c r="G178" i="1"/>
  <c r="G177" i="1"/>
  <c r="G176" i="1"/>
  <c r="G175" i="1"/>
  <c r="G174" i="1"/>
  <c r="G173" i="1"/>
  <c r="H173" i="1" s="1"/>
  <c r="J173" i="1" s="1"/>
  <c r="K173" i="1" s="1"/>
  <c r="G172" i="1"/>
  <c r="H172" i="1" s="1"/>
  <c r="G171" i="1"/>
  <c r="H171" i="1" s="1"/>
  <c r="G170" i="1"/>
  <c r="J170" i="1" s="1"/>
  <c r="K170" i="1" s="1"/>
  <c r="G169" i="1"/>
  <c r="H169" i="1" s="1"/>
  <c r="G168" i="1"/>
  <c r="J168" i="1" s="1"/>
  <c r="K168" i="1" s="1"/>
  <c r="G167" i="1"/>
  <c r="H167" i="1" s="1"/>
  <c r="G165" i="1"/>
  <c r="G164" i="1"/>
  <c r="G163" i="1"/>
  <c r="G161" i="1"/>
  <c r="H161" i="1" s="1"/>
  <c r="G160" i="1"/>
  <c r="G159" i="1"/>
  <c r="G158" i="1"/>
  <c r="G157" i="1"/>
  <c r="H157" i="1" s="1"/>
  <c r="G156" i="1"/>
  <c r="G155" i="1"/>
  <c r="G154" i="1"/>
  <c r="G153" i="1"/>
  <c r="H153" i="1" s="1"/>
  <c r="G152" i="1"/>
  <c r="G151" i="1"/>
  <c r="H151" i="1" s="1"/>
  <c r="G150" i="1"/>
  <c r="G149" i="1"/>
  <c r="H149" i="1" s="1"/>
  <c r="G147" i="1"/>
  <c r="H147" i="1" s="1"/>
  <c r="G146" i="1"/>
  <c r="H146" i="1" s="1"/>
  <c r="G145" i="1"/>
  <c r="J145" i="1" s="1"/>
  <c r="K145" i="1" s="1"/>
  <c r="G144" i="1"/>
  <c r="H144" i="1" s="1"/>
  <c r="G142" i="1"/>
  <c r="G140" i="1"/>
  <c r="G139" i="1"/>
  <c r="H139" i="1" s="1"/>
  <c r="G138" i="1"/>
  <c r="H138" i="1" s="1"/>
  <c r="G135" i="1"/>
  <c r="G134" i="1"/>
  <c r="H134" i="1" s="1"/>
  <c r="G133" i="1"/>
  <c r="H133" i="1" s="1"/>
  <c r="G132" i="1"/>
  <c r="H132" i="1" s="1"/>
  <c r="G131" i="1"/>
  <c r="J131" i="1" s="1"/>
  <c r="K131" i="1" s="1"/>
  <c r="G130" i="1"/>
  <c r="G129" i="1"/>
  <c r="G128" i="1"/>
  <c r="G127" i="1"/>
  <c r="G126" i="1"/>
  <c r="J126" i="1" s="1"/>
  <c r="K124" i="1"/>
  <c r="J124" i="1"/>
  <c r="G124" i="1"/>
  <c r="G118" i="1"/>
  <c r="H118" i="1" s="1"/>
  <c r="G117" i="1"/>
  <c r="G116" i="1"/>
  <c r="H116" i="1" s="1"/>
  <c r="G115" i="1"/>
  <c r="G114" i="1"/>
  <c r="G113" i="1"/>
  <c r="J113" i="1" s="1"/>
  <c r="K113" i="1" s="1"/>
  <c r="G112" i="1"/>
  <c r="H112" i="1" s="1"/>
  <c r="G111" i="1"/>
  <c r="G110" i="1"/>
  <c r="H110" i="1" s="1"/>
  <c r="G109" i="1"/>
  <c r="G107" i="1"/>
  <c r="G106" i="1"/>
  <c r="J106" i="1" s="1"/>
  <c r="G103" i="1"/>
  <c r="G102" i="1"/>
  <c r="J102" i="1" s="1"/>
  <c r="K102" i="1" s="1"/>
  <c r="G101" i="1"/>
  <c r="H101" i="1" s="1"/>
  <c r="G99" i="1"/>
  <c r="H99" i="1" s="1"/>
  <c r="G98" i="1"/>
  <c r="H98" i="1" s="1"/>
  <c r="G97" i="1"/>
  <c r="J97" i="1" s="1"/>
  <c r="K97" i="1" s="1"/>
  <c r="G95" i="1"/>
  <c r="H95" i="1" s="1"/>
  <c r="G94" i="1"/>
  <c r="G92" i="1"/>
  <c r="G91" i="1"/>
  <c r="J91" i="1" s="1"/>
  <c r="K91" i="1" s="1"/>
  <c r="G88" i="1"/>
  <c r="J88" i="1" s="1"/>
  <c r="K88" i="1" s="1"/>
  <c r="G87" i="1"/>
  <c r="J85" i="1"/>
  <c r="K85" i="1" s="1"/>
  <c r="G84" i="1"/>
  <c r="J84" i="1" s="1"/>
  <c r="K84" i="1" s="1"/>
  <c r="G83" i="1"/>
  <c r="G82" i="1"/>
  <c r="G81" i="1"/>
  <c r="H81" i="1" s="1"/>
  <c r="G80" i="1"/>
  <c r="J80" i="1" s="1"/>
  <c r="K80" i="1" s="1"/>
  <c r="G79" i="1"/>
  <c r="J79" i="1" s="1"/>
  <c r="K79" i="1" s="1"/>
  <c r="G78" i="1"/>
  <c r="G77" i="1"/>
  <c r="G76" i="1"/>
  <c r="J76" i="1" s="1"/>
  <c r="K76" i="1" s="1"/>
  <c r="G75" i="1"/>
  <c r="G74" i="1"/>
  <c r="G73" i="1"/>
  <c r="J73" i="1" s="1"/>
  <c r="K73" i="1" s="1"/>
  <c r="G72" i="1"/>
  <c r="H72" i="1" s="1"/>
  <c r="G71" i="1"/>
  <c r="J71" i="1" s="1"/>
  <c r="K71" i="1" s="1"/>
  <c r="G70" i="1"/>
  <c r="J70" i="1" s="1"/>
  <c r="K70" i="1" s="1"/>
  <c r="G69" i="1"/>
  <c r="H69" i="1" s="1"/>
  <c r="G68" i="1"/>
  <c r="J68" i="1" s="1"/>
  <c r="K68" i="1" s="1"/>
  <c r="G67" i="1"/>
  <c r="H67" i="1" s="1"/>
  <c r="G65" i="1"/>
  <c r="K65" i="1" s="1"/>
  <c r="G64" i="1"/>
  <c r="G63" i="1"/>
  <c r="J63" i="1" s="1"/>
  <c r="K63" i="1" s="1"/>
  <c r="G62" i="1"/>
  <c r="G61" i="1"/>
  <c r="J61" i="1" s="1"/>
  <c r="K61" i="1" s="1"/>
  <c r="G60" i="1"/>
  <c r="G59" i="1"/>
  <c r="J59" i="1" s="1"/>
  <c r="K59" i="1" s="1"/>
  <c r="G58" i="1"/>
  <c r="J58" i="1" s="1"/>
  <c r="K58" i="1" s="1"/>
  <c r="G57" i="1"/>
  <c r="G56" i="1"/>
  <c r="G55" i="1"/>
  <c r="G54" i="1"/>
  <c r="G53" i="1"/>
  <c r="G52" i="1"/>
  <c r="G51" i="1"/>
  <c r="H51" i="1" s="1"/>
  <c r="G49" i="1"/>
  <c r="J49" i="1" s="1"/>
  <c r="K49" i="1" s="1"/>
  <c r="G48" i="1"/>
  <c r="J48" i="1" s="1"/>
  <c r="K48" i="1" s="1"/>
  <c r="G46" i="1"/>
  <c r="J46" i="1" s="1"/>
  <c r="K46" i="1" s="1"/>
  <c r="G45" i="1"/>
  <c r="G44" i="1"/>
  <c r="H44" i="1" s="1"/>
  <c r="G41" i="1"/>
  <c r="G40" i="1"/>
  <c r="G39" i="1"/>
  <c r="H39" i="1" s="1"/>
  <c r="G38" i="1"/>
  <c r="H38" i="1" s="1"/>
  <c r="G36" i="1"/>
  <c r="G35" i="1"/>
  <c r="G33" i="1"/>
  <c r="J33" i="1" s="1"/>
  <c r="K33" i="1" s="1"/>
  <c r="G32" i="1"/>
  <c r="J32" i="1" s="1"/>
  <c r="K32" i="1" s="1"/>
  <c r="G31" i="1"/>
  <c r="J31" i="1" s="1"/>
  <c r="K31" i="1" s="1"/>
  <c r="G30" i="1"/>
  <c r="J30" i="1" s="1"/>
  <c r="K30" i="1" s="1"/>
  <c r="G29" i="1"/>
  <c r="H29" i="1" s="1"/>
  <c r="G28" i="1"/>
  <c r="J28" i="1" s="1"/>
  <c r="G26" i="1"/>
  <c r="G25" i="1"/>
  <c r="H25" i="1" s="1"/>
  <c r="G24" i="1"/>
  <c r="J24" i="1" s="1"/>
  <c r="G21" i="1"/>
  <c r="G20" i="1"/>
  <c r="J20" i="1" s="1"/>
  <c r="G18" i="1"/>
  <c r="G17" i="1"/>
  <c r="G15" i="1"/>
  <c r="J15" i="1" s="1"/>
  <c r="K15" i="1" s="1"/>
  <c r="G14" i="1"/>
  <c r="G12" i="1"/>
  <c r="G11" i="1"/>
  <c r="J11" i="1" s="1"/>
  <c r="G8" i="1"/>
  <c r="J8" i="1" s="1"/>
  <c r="J7" i="1" s="1"/>
  <c r="K117" i="1" l="1"/>
  <c r="G16" i="1"/>
  <c r="H16" i="1" s="1"/>
  <c r="H63" i="1"/>
  <c r="G13" i="1"/>
  <c r="H13" i="1" s="1"/>
  <c r="H253" i="1"/>
  <c r="H20" i="1"/>
  <c r="H252" i="1"/>
  <c r="J54" i="1"/>
  <c r="K54" i="1" s="1"/>
  <c r="J139" i="1"/>
  <c r="K139" i="1" s="1"/>
  <c r="J98" i="1"/>
  <c r="K98" i="1" s="1"/>
  <c r="H88" i="1"/>
  <c r="J201" i="1"/>
  <c r="K201" i="1" s="1"/>
  <c r="G202" i="1"/>
  <c r="H202" i="1" s="1"/>
  <c r="G269" i="1"/>
  <c r="H269" i="1" s="1"/>
  <c r="J192" i="1"/>
  <c r="K192" i="1" s="1"/>
  <c r="G7" i="1"/>
  <c r="K7" i="1" s="1"/>
  <c r="J72" i="1"/>
  <c r="K72" i="1" s="1"/>
  <c r="J151" i="1"/>
  <c r="K151" i="1" s="1"/>
  <c r="J161" i="1"/>
  <c r="K161" i="1" s="1"/>
  <c r="J247" i="1"/>
  <c r="K247" i="1" s="1"/>
  <c r="J95" i="1"/>
  <c r="K95" i="1" s="1"/>
  <c r="H230" i="1"/>
  <c r="H62" i="1"/>
  <c r="J230" i="1"/>
  <c r="K230" i="1" s="1"/>
  <c r="J44" i="1"/>
  <c r="K44" i="1" s="1"/>
  <c r="J62" i="1"/>
  <c r="K62" i="1" s="1"/>
  <c r="H70" i="1"/>
  <c r="G137" i="1"/>
  <c r="G136" i="1" s="1"/>
  <c r="H136" i="1" s="1"/>
  <c r="J220" i="1"/>
  <c r="K220" i="1" s="1"/>
  <c r="G229" i="1"/>
  <c r="G96" i="1"/>
  <c r="H96" i="1" s="1"/>
  <c r="H54" i="1"/>
  <c r="H83" i="1"/>
  <c r="J69" i="1"/>
  <c r="K69" i="1" s="1"/>
  <c r="J83" i="1"/>
  <c r="K83" i="1" s="1"/>
  <c r="J110" i="1"/>
  <c r="K110" i="1" s="1"/>
  <c r="H135" i="1"/>
  <c r="J140" i="1"/>
  <c r="K140" i="1" s="1"/>
  <c r="J255" i="1"/>
  <c r="K255" i="1" s="1"/>
  <c r="G50" i="1"/>
  <c r="G90" i="1"/>
  <c r="H90" i="1" s="1"/>
  <c r="H128" i="1"/>
  <c r="J135" i="1"/>
  <c r="K135" i="1" s="1"/>
  <c r="J209" i="1"/>
  <c r="K209" i="1" s="1"/>
  <c r="H235" i="1"/>
  <c r="H250" i="1"/>
  <c r="G262" i="1"/>
  <c r="H262" i="1" s="1"/>
  <c r="H264" i="1"/>
  <c r="J25" i="1"/>
  <c r="K25" i="1" s="1"/>
  <c r="H12" i="1"/>
  <c r="J128" i="1"/>
  <c r="K128" i="1" s="1"/>
  <c r="J235" i="1"/>
  <c r="K235" i="1" s="1"/>
  <c r="G266" i="1"/>
  <c r="H266" i="1" s="1"/>
  <c r="H57" i="1"/>
  <c r="J198" i="1"/>
  <c r="K198" i="1" s="1"/>
  <c r="H273" i="1"/>
  <c r="H53" i="1"/>
  <c r="J53" i="1"/>
  <c r="K53" i="1" s="1"/>
  <c r="J99" i="1"/>
  <c r="K99" i="1" s="1"/>
  <c r="H206" i="1"/>
  <c r="H268" i="1"/>
  <c r="J273" i="1"/>
  <c r="K273" i="1" s="1"/>
  <c r="J29" i="1"/>
  <c r="K29" i="1" s="1"/>
  <c r="G47" i="1"/>
  <c r="H192" i="1"/>
  <c r="G100" i="1"/>
  <c r="H100" i="1" s="1"/>
  <c r="H60" i="1"/>
  <c r="J75" i="1"/>
  <c r="K75" i="1" s="1"/>
  <c r="H75" i="1"/>
  <c r="J107" i="1"/>
  <c r="K107" i="1" s="1"/>
  <c r="H107" i="1"/>
  <c r="H114" i="1"/>
  <c r="J228" i="1"/>
  <c r="K228" i="1" s="1"/>
  <c r="H228" i="1"/>
  <c r="H276" i="1"/>
  <c r="H71" i="1"/>
  <c r="H77" i="1"/>
  <c r="J114" i="1"/>
  <c r="K114" i="1" s="1"/>
  <c r="J152" i="1"/>
  <c r="K152" i="1" s="1"/>
  <c r="H222" i="1"/>
  <c r="J276" i="1"/>
  <c r="K276" i="1" s="1"/>
  <c r="H26" i="1"/>
  <c r="G23" i="1"/>
  <c r="H23" i="1" s="1"/>
  <c r="J55" i="1"/>
  <c r="K55" i="1" s="1"/>
  <c r="H55" i="1"/>
  <c r="J77" i="1"/>
  <c r="K77" i="1" s="1"/>
  <c r="G86" i="1"/>
  <c r="H97" i="1"/>
  <c r="J222" i="1"/>
  <c r="K222" i="1" s="1"/>
  <c r="J258" i="1"/>
  <c r="K258" i="1" s="1"/>
  <c r="J270" i="1"/>
  <c r="G19" i="1"/>
  <c r="J26" i="1"/>
  <c r="K26" i="1" s="1"/>
  <c r="J51" i="1"/>
  <c r="K51" i="1" s="1"/>
  <c r="H68" i="1"/>
  <c r="J223" i="1"/>
  <c r="K223" i="1" s="1"/>
  <c r="H223" i="1"/>
  <c r="J241" i="1"/>
  <c r="K241" i="1" s="1"/>
  <c r="J277" i="1"/>
  <c r="K277" i="1" s="1"/>
  <c r="G10" i="1"/>
  <c r="G9" i="1" s="1"/>
  <c r="H21" i="1"/>
  <c r="J92" i="1"/>
  <c r="K92" i="1" s="1"/>
  <c r="H92" i="1"/>
  <c r="J115" i="1"/>
  <c r="K115" i="1" s="1"/>
  <c r="H115" i="1"/>
  <c r="H140" i="1"/>
  <c r="H168" i="1"/>
  <c r="H183" i="1"/>
  <c r="H242" i="1"/>
  <c r="J242" i="1"/>
  <c r="K242" i="1" s="1"/>
  <c r="H36" i="1"/>
  <c r="H87" i="1"/>
  <c r="H236" i="1"/>
  <c r="J81" i="1"/>
  <c r="K81" i="1" s="1"/>
  <c r="J87" i="1"/>
  <c r="H78" i="1"/>
  <c r="J78" i="1"/>
  <c r="K78" i="1" s="1"/>
  <c r="H226" i="1"/>
  <c r="G225" i="1"/>
  <c r="H232" i="1"/>
  <c r="H244" i="1"/>
  <c r="J254" i="1"/>
  <c r="K254" i="1" s="1"/>
  <c r="J36" i="1"/>
  <c r="K36" i="1" s="1"/>
  <c r="H188" i="1"/>
  <c r="J213" i="1"/>
  <c r="K213" i="1" s="1"/>
  <c r="H213" i="1"/>
  <c r="H245" i="1"/>
  <c r="H283" i="1"/>
  <c r="H30" i="1"/>
  <c r="H152" i="1"/>
  <c r="K283" i="1"/>
  <c r="H8" i="1"/>
  <c r="H175" i="1"/>
  <c r="J175" i="1" s="1"/>
  <c r="K175" i="1" s="1"/>
  <c r="H218" i="1"/>
  <c r="K243" i="1"/>
  <c r="J260" i="1"/>
  <c r="K260" i="1" s="1"/>
  <c r="J39" i="1"/>
  <c r="K39" i="1" s="1"/>
  <c r="H11" i="1"/>
  <c r="J40" i="1"/>
  <c r="K40" i="1" s="1"/>
  <c r="H74" i="1"/>
  <c r="H84" i="1"/>
  <c r="J236" i="1"/>
  <c r="K236" i="1" s="1"/>
  <c r="J18" i="1"/>
  <c r="K18" i="1" s="1"/>
  <c r="H40" i="1"/>
  <c r="H64" i="1"/>
  <c r="J64" i="1"/>
  <c r="K64" i="1" s="1"/>
  <c r="J74" i="1"/>
  <c r="K74" i="1" s="1"/>
  <c r="H80" i="1"/>
  <c r="H117" i="1"/>
  <c r="G125" i="1"/>
  <c r="H125" i="1" s="1"/>
  <c r="H156" i="1"/>
  <c r="H18" i="1"/>
  <c r="H35" i="1"/>
  <c r="H59" i="1"/>
  <c r="J132" i="1"/>
  <c r="K132" i="1" s="1"/>
  <c r="J156" i="1"/>
  <c r="K156" i="1" s="1"/>
  <c r="H164" i="1"/>
  <c r="J164" i="1"/>
  <c r="K164" i="1" s="1"/>
  <c r="J232" i="1"/>
  <c r="K232" i="1" s="1"/>
  <c r="H52" i="1"/>
  <c r="H85" i="1"/>
  <c r="J149" i="1"/>
  <c r="K149" i="1" s="1"/>
  <c r="K153" i="1"/>
  <c r="J159" i="1"/>
  <c r="K159" i="1" s="1"/>
  <c r="J169" i="1"/>
  <c r="K169" i="1" s="1"/>
  <c r="J189" i="1"/>
  <c r="K189" i="1" s="1"/>
  <c r="H200" i="1"/>
  <c r="H203" i="1"/>
  <c r="H256" i="1"/>
  <c r="J267" i="1"/>
  <c r="J266" i="1" s="1"/>
  <c r="H28" i="1"/>
  <c r="G37" i="1"/>
  <c r="H37" i="1" s="1"/>
  <c r="H113" i="1"/>
  <c r="J134" i="1"/>
  <c r="K134" i="1" s="1"/>
  <c r="J138" i="1"/>
  <c r="H165" i="1"/>
  <c r="H185" i="1"/>
  <c r="J200" i="1"/>
  <c r="K200" i="1" s="1"/>
  <c r="J203" i="1"/>
  <c r="K203" i="1" s="1"/>
  <c r="G233" i="1"/>
  <c r="H233" i="1" s="1"/>
  <c r="H246" i="1"/>
  <c r="J256" i="1"/>
  <c r="K256" i="1" s="1"/>
  <c r="G108" i="1"/>
  <c r="H108" i="1" s="1"/>
  <c r="J165" i="1"/>
  <c r="K165" i="1" s="1"/>
  <c r="J185" i="1"/>
  <c r="K185" i="1" s="1"/>
  <c r="G238" i="1"/>
  <c r="G237" i="1" s="1"/>
  <c r="H237" i="1" s="1"/>
  <c r="H14" i="1"/>
  <c r="H49" i="1"/>
  <c r="H65" i="1"/>
  <c r="H76" i="1"/>
  <c r="H79" i="1"/>
  <c r="H102" i="1"/>
  <c r="H109" i="1"/>
  <c r="J116" i="1"/>
  <c r="K116" i="1" s="1"/>
  <c r="J150" i="1"/>
  <c r="K150" i="1" s="1"/>
  <c r="J160" i="1"/>
  <c r="K160" i="1" s="1"/>
  <c r="H204" i="1"/>
  <c r="H214" i="1"/>
  <c r="H239" i="1"/>
  <c r="J257" i="1"/>
  <c r="K257" i="1" s="1"/>
  <c r="J38" i="1"/>
  <c r="K38" i="1" s="1"/>
  <c r="H86" i="1"/>
  <c r="J109" i="1"/>
  <c r="K109" i="1" s="1"/>
  <c r="H201" i="1"/>
  <c r="H220" i="1"/>
  <c r="J239" i="1"/>
  <c r="H179" i="1"/>
  <c r="J179" i="1" s="1"/>
  <c r="K179" i="1" s="1"/>
  <c r="K20" i="1"/>
  <c r="K24" i="1"/>
  <c r="K11" i="1"/>
  <c r="H41" i="1"/>
  <c r="J41" i="1"/>
  <c r="K41" i="1" s="1"/>
  <c r="K126" i="1"/>
  <c r="K28" i="1"/>
  <c r="H103" i="1"/>
  <c r="H106" i="1"/>
  <c r="J112" i="1"/>
  <c r="K112" i="1" s="1"/>
  <c r="H130" i="1"/>
  <c r="H145" i="1"/>
  <c r="G27" i="1"/>
  <c r="G66" i="1"/>
  <c r="K8" i="1"/>
  <c r="H15" i="1"/>
  <c r="H17" i="1"/>
  <c r="H32" i="1"/>
  <c r="J45" i="1"/>
  <c r="K45" i="1" s="1"/>
  <c r="H56" i="1"/>
  <c r="H94" i="1"/>
  <c r="G93" i="1"/>
  <c r="H93" i="1" s="1"/>
  <c r="J103" i="1"/>
  <c r="K103" i="1" s="1"/>
  <c r="K106" i="1"/>
  <c r="J130" i="1"/>
  <c r="K130" i="1" s="1"/>
  <c r="J158" i="1"/>
  <c r="K158" i="1" s="1"/>
  <c r="H158" i="1"/>
  <c r="J172" i="1"/>
  <c r="K172" i="1" s="1"/>
  <c r="J17" i="1"/>
  <c r="J56" i="1"/>
  <c r="K56" i="1" s="1"/>
  <c r="H58" i="1"/>
  <c r="J60" i="1"/>
  <c r="K60" i="1" s="1"/>
  <c r="J94" i="1"/>
  <c r="H127" i="1"/>
  <c r="H19" i="1"/>
  <c r="H45" i="1"/>
  <c r="G105" i="1"/>
  <c r="H105" i="1" s="1"/>
  <c r="J127" i="1"/>
  <c r="K127" i="1" s="1"/>
  <c r="G166" i="1"/>
  <c r="H182" i="1"/>
  <c r="J182" i="1"/>
  <c r="H111" i="1"/>
  <c r="J118" i="1"/>
  <c r="K118" i="1" s="1"/>
  <c r="H129" i="1"/>
  <c r="H177" i="1"/>
  <c r="J177" i="1" s="1"/>
  <c r="K177" i="1" s="1"/>
  <c r="J12" i="1"/>
  <c r="K12" i="1" s="1"/>
  <c r="J14" i="1"/>
  <c r="J21" i="1"/>
  <c r="K21" i="1" s="1"/>
  <c r="H31" i="1"/>
  <c r="H48" i="1"/>
  <c r="H82" i="1"/>
  <c r="J111" i="1"/>
  <c r="K111" i="1" s="1"/>
  <c r="J129" i="1"/>
  <c r="K129" i="1" s="1"/>
  <c r="K163" i="1"/>
  <c r="H126" i="1"/>
  <c r="H131" i="1"/>
  <c r="J133" i="1"/>
  <c r="K133" i="1" s="1"/>
  <c r="H137" i="1"/>
  <c r="J142" i="1"/>
  <c r="G141" i="1"/>
  <c r="H141" i="1" s="1"/>
  <c r="J154" i="1"/>
  <c r="K154" i="1" s="1"/>
  <c r="H154" i="1"/>
  <c r="J82" i="1"/>
  <c r="K82" i="1" s="1"/>
  <c r="H24" i="1"/>
  <c r="H33" i="1"/>
  <c r="J35" i="1"/>
  <c r="H46" i="1"/>
  <c r="J52" i="1"/>
  <c r="K52" i="1" s="1"/>
  <c r="J57" i="1"/>
  <c r="K57" i="1" s="1"/>
  <c r="H61" i="1"/>
  <c r="H73" i="1"/>
  <c r="H91" i="1"/>
  <c r="J101" i="1"/>
  <c r="H142" i="1"/>
  <c r="J144" i="1"/>
  <c r="J147" i="1"/>
  <c r="K147" i="1" s="1"/>
  <c r="G181" i="1"/>
  <c r="G34" i="1"/>
  <c r="J67" i="1"/>
  <c r="J155" i="1"/>
  <c r="K155" i="1" s="1"/>
  <c r="H155" i="1"/>
  <c r="J146" i="1"/>
  <c r="K146" i="1" s="1"/>
  <c r="J157" i="1"/>
  <c r="K157" i="1" s="1"/>
  <c r="J171" i="1"/>
  <c r="K171" i="1" s="1"/>
  <c r="H186" i="1"/>
  <c r="H194" i="1"/>
  <c r="H160" i="1"/>
  <c r="H178" i="1"/>
  <c r="J178" i="1" s="1"/>
  <c r="K178" i="1" s="1"/>
  <c r="K186" i="1"/>
  <c r="J191" i="1"/>
  <c r="G190" i="1"/>
  <c r="H190" i="1" s="1"/>
  <c r="G196" i="1"/>
  <c r="H199" i="1"/>
  <c r="G205" i="1"/>
  <c r="H205" i="1" s="1"/>
  <c r="K264" i="1"/>
  <c r="H176" i="1"/>
  <c r="J176" i="1" s="1"/>
  <c r="K176" i="1" s="1"/>
  <c r="J224" i="1"/>
  <c r="K224" i="1" s="1"/>
  <c r="J227" i="1"/>
  <c r="H227" i="1"/>
  <c r="H240" i="1"/>
  <c r="K270" i="1"/>
  <c r="J193" i="1"/>
  <c r="H150" i="1"/>
  <c r="H159" i="1"/>
  <c r="H163" i="1"/>
  <c r="H170" i="1"/>
  <c r="H174" i="1"/>
  <c r="J174" i="1" s="1"/>
  <c r="K174" i="1" s="1"/>
  <c r="J183" i="1"/>
  <c r="K183" i="1" s="1"/>
  <c r="K187" i="1"/>
  <c r="H193" i="1"/>
  <c r="J208" i="1"/>
  <c r="K208" i="1" s="1"/>
  <c r="J210" i="1"/>
  <c r="K210" i="1" s="1"/>
  <c r="H212" i="1"/>
  <c r="G221" i="1"/>
  <c r="H234" i="1"/>
  <c r="H243" i="1"/>
  <c r="J234" i="1"/>
  <c r="J265" i="1"/>
  <c r="K265" i="1" s="1"/>
  <c r="H265" i="1"/>
  <c r="K272" i="1"/>
  <c r="G148" i="1"/>
  <c r="H148" i="1" s="1"/>
  <c r="H197" i="1"/>
  <c r="J207" i="1"/>
  <c r="H229" i="1"/>
  <c r="J251" i="1"/>
  <c r="K251" i="1" s="1"/>
  <c r="H251" i="1"/>
  <c r="H261" i="1"/>
  <c r="J261" i="1"/>
  <c r="K261" i="1" s="1"/>
  <c r="K267" i="1"/>
  <c r="K197" i="1"/>
  <c r="J211" i="1"/>
  <c r="K211" i="1" s="1"/>
  <c r="H211" i="1"/>
  <c r="H216" i="1"/>
  <c r="G217" i="1"/>
  <c r="J226" i="1"/>
  <c r="H231" i="1"/>
  <c r="J259" i="1"/>
  <c r="H259" i="1"/>
  <c r="J184" i="1"/>
  <c r="K184" i="1" s="1"/>
  <c r="J219" i="1"/>
  <c r="H219" i="1"/>
  <c r="J231" i="1"/>
  <c r="H263" i="1"/>
  <c r="J263" i="1"/>
  <c r="J271" i="1"/>
  <c r="K271" i="1" s="1"/>
  <c r="H274" i="1"/>
  <c r="H278" i="1"/>
  <c r="H282" i="1"/>
  <c r="J282" i="1" s="1"/>
  <c r="K282" i="1" s="1"/>
  <c r="J287" i="1"/>
  <c r="K287" i="1" s="1"/>
  <c r="J274" i="1"/>
  <c r="K274" i="1" s="1"/>
  <c r="J278" i="1"/>
  <c r="K278" i="1" s="1"/>
  <c r="H270" i="1"/>
  <c r="H277" i="1"/>
  <c r="H255" i="1"/>
  <c r="H267" i="1"/>
  <c r="H281" i="1"/>
  <c r="J281" i="1" s="1"/>
  <c r="H279" i="1"/>
  <c r="H272" i="1"/>
  <c r="H275" i="1"/>
  <c r="J279" i="1"/>
  <c r="K279" i="1" s="1"/>
  <c r="J275" i="1"/>
  <c r="K275" i="1" s="1"/>
  <c r="G280" i="1"/>
  <c r="G249" i="1"/>
  <c r="J238" i="1" l="1"/>
  <c r="K238" i="1" s="1"/>
  <c r="K266" i="1"/>
  <c r="H50" i="1"/>
  <c r="G43" i="1"/>
  <c r="H43" i="1" s="1"/>
  <c r="J229" i="1"/>
  <c r="K229" i="1" s="1"/>
  <c r="J23" i="1"/>
  <c r="J22" i="1" s="1"/>
  <c r="J90" i="1"/>
  <c r="K90" i="1" s="1"/>
  <c r="H7" i="1"/>
  <c r="H225" i="1"/>
  <c r="J27" i="1"/>
  <c r="K27" i="1" s="1"/>
  <c r="K47" i="1"/>
  <c r="H47" i="1"/>
  <c r="J96" i="1"/>
  <c r="K96" i="1" s="1"/>
  <c r="J148" i="1"/>
  <c r="K148" i="1" s="1"/>
  <c r="J269" i="1"/>
  <c r="K269" i="1" s="1"/>
  <c r="H9" i="1"/>
  <c r="K239" i="1"/>
  <c r="G89" i="1"/>
  <c r="H89" i="1" s="1"/>
  <c r="J196" i="1"/>
  <c r="K196" i="1" s="1"/>
  <c r="H238" i="1"/>
  <c r="H10" i="1"/>
  <c r="J137" i="1"/>
  <c r="K138" i="1"/>
  <c r="J86" i="1"/>
  <c r="K86" i="1" s="1"/>
  <c r="K87" i="1"/>
  <c r="G6" i="1"/>
  <c r="H6" i="1" s="1"/>
  <c r="J202" i="1"/>
  <c r="K202" i="1" s="1"/>
  <c r="J105" i="1"/>
  <c r="K105" i="1" s="1"/>
  <c r="J37" i="1"/>
  <c r="K37" i="1" s="1"/>
  <c r="J181" i="1"/>
  <c r="K181" i="1" s="1"/>
  <c r="K182" i="1"/>
  <c r="H166" i="1"/>
  <c r="H181" i="1"/>
  <c r="J50" i="1"/>
  <c r="J19" i="1"/>
  <c r="K19" i="1" s="1"/>
  <c r="K259" i="1"/>
  <c r="K35" i="1"/>
  <c r="J34" i="1"/>
  <c r="K34" i="1" s="1"/>
  <c r="J16" i="1"/>
  <c r="K16" i="1" s="1"/>
  <c r="K17" i="1"/>
  <c r="H66" i="1"/>
  <c r="H249" i="1"/>
  <c r="G248" i="1"/>
  <c r="H248" i="1" s="1"/>
  <c r="K231" i="1"/>
  <c r="J249" i="1"/>
  <c r="K207" i="1"/>
  <c r="J205" i="1"/>
  <c r="K205" i="1" s="1"/>
  <c r="J233" i="1"/>
  <c r="K233" i="1" s="1"/>
  <c r="K234" i="1"/>
  <c r="H221" i="1"/>
  <c r="J66" i="1"/>
  <c r="K67" i="1"/>
  <c r="K101" i="1"/>
  <c r="J100" i="1"/>
  <c r="K100" i="1" s="1"/>
  <c r="G162" i="1"/>
  <c r="G143" i="1" s="1"/>
  <c r="H143" i="1" s="1"/>
  <c r="H27" i="1"/>
  <c r="J10" i="1"/>
  <c r="K226" i="1"/>
  <c r="J225" i="1"/>
  <c r="K225" i="1" s="1"/>
  <c r="H217" i="1"/>
  <c r="H280" i="1"/>
  <c r="J221" i="1"/>
  <c r="K221" i="1" s="1"/>
  <c r="K193" i="1"/>
  <c r="K219" i="1"/>
  <c r="J217" i="1"/>
  <c r="K227" i="1"/>
  <c r="G195" i="1"/>
  <c r="H195" i="1" s="1"/>
  <c r="H196" i="1"/>
  <c r="H34" i="1"/>
  <c r="J93" i="1"/>
  <c r="K93" i="1" s="1"/>
  <c r="K94" i="1"/>
  <c r="J262" i="1"/>
  <c r="K262" i="1" s="1"/>
  <c r="K263" i="1"/>
  <c r="J141" i="1"/>
  <c r="K141" i="1" s="1"/>
  <c r="K142" i="1"/>
  <c r="J13" i="1"/>
  <c r="K13" i="1" s="1"/>
  <c r="K14" i="1"/>
  <c r="K144" i="1"/>
  <c r="J125" i="1"/>
  <c r="G180" i="1"/>
  <c r="K191" i="1"/>
  <c r="J190" i="1"/>
  <c r="K190" i="1" s="1"/>
  <c r="G22" i="1"/>
  <c r="J280" i="1"/>
  <c r="K280" i="1" s="1"/>
  <c r="K281" i="1"/>
  <c r="K167" i="1"/>
  <c r="J166" i="1"/>
  <c r="J108" i="1"/>
  <c r="K108" i="1" s="1"/>
  <c r="G42" i="1" l="1"/>
  <c r="H42" i="1" s="1"/>
  <c r="J237" i="1"/>
  <c r="K237" i="1" s="1"/>
  <c r="K23" i="1"/>
  <c r="K22" i="1"/>
  <c r="G215" i="1"/>
  <c r="H215" i="1" s="1"/>
  <c r="J136" i="1"/>
  <c r="K136" i="1" s="1"/>
  <c r="K137" i="1"/>
  <c r="J195" i="1"/>
  <c r="K195" i="1" s="1"/>
  <c r="J89" i="1"/>
  <c r="K89" i="1" s="1"/>
  <c r="K217" i="1"/>
  <c r="H162" i="1"/>
  <c r="J180" i="1"/>
  <c r="K180" i="1" s="1"/>
  <c r="K125" i="1"/>
  <c r="J248" i="1"/>
  <c r="K248" i="1" s="1"/>
  <c r="K249" i="1"/>
  <c r="J43" i="1"/>
  <c r="K50" i="1"/>
  <c r="J9" i="1"/>
  <c r="K9" i="1" s="1"/>
  <c r="K10" i="1"/>
  <c r="J6" i="1"/>
  <c r="K6" i="1" s="1"/>
  <c r="K66" i="1"/>
  <c r="K166" i="1"/>
  <c r="J162" i="1"/>
  <c r="H22" i="1"/>
  <c r="G104" i="1"/>
  <c r="G3" i="1" s="1"/>
  <c r="H180" i="1"/>
  <c r="J215" i="1" l="1"/>
  <c r="K215" i="1" s="1"/>
  <c r="G286" i="1"/>
  <c r="G119" i="1"/>
  <c r="H104" i="1"/>
  <c r="K162" i="1"/>
  <c r="J143" i="1"/>
  <c r="K43" i="1"/>
  <c r="J42" i="1"/>
  <c r="G288" i="1" l="1"/>
  <c r="H288" i="1" s="1"/>
  <c r="H286" i="1"/>
  <c r="H119" i="1"/>
  <c r="K42" i="1"/>
  <c r="J104" i="1"/>
  <c r="J3" i="1" s="1"/>
  <c r="K143" i="1"/>
  <c r="J286" i="1"/>
  <c r="G289" i="1" l="1"/>
  <c r="H289" i="1" s="1"/>
  <c r="K286" i="1"/>
  <c r="J288" i="1"/>
  <c r="K288" i="1" s="1"/>
  <c r="K104" i="1"/>
  <c r="J119" i="1"/>
  <c r="J289" i="1" l="1"/>
  <c r="K289" i="1" s="1"/>
  <c r="K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65" authorId="0" shapeId="0" xr:uid="{3F243224-742D-464B-AD24-0C5D0F1D9F7B}">
      <text>
        <r>
          <rPr>
            <b/>
            <sz val="9"/>
            <color indexed="81"/>
            <rFont val="Tahoma"/>
            <family val="2"/>
            <charset val="186"/>
          </rPr>
          <t>Sarmīte Mūze:</t>
        </r>
        <r>
          <rPr>
            <sz val="9"/>
            <color indexed="81"/>
            <rFont val="Tahoma"/>
            <family val="2"/>
            <charset val="186"/>
          </rPr>
          <t xml:space="preserve">
1010 supervizijas EKK 18.6.3.</t>
        </r>
      </text>
    </comment>
    <comment ref="E276" authorId="0" shapeId="0" xr:uid="{363BEA21-9701-40E7-9052-ABA715F2F28D}">
      <text>
        <r>
          <rPr>
            <b/>
            <sz val="9"/>
            <color indexed="81"/>
            <rFont val="Tahoma"/>
            <family val="2"/>
            <charset val="186"/>
          </rPr>
          <t>Sarmīte Mūze:</t>
        </r>
        <r>
          <rPr>
            <sz val="9"/>
            <color indexed="81"/>
            <rFont val="Tahoma"/>
            <family val="2"/>
            <charset val="186"/>
          </rPr>
          <t xml:space="preserve">
Šis ir jāizņem no 0930 un jāliek 0982 algā.
</t>
        </r>
      </text>
    </comment>
    <comment ref="F276" authorId="0" shapeId="0" xr:uid="{CF8ABBD2-0F41-4E89-BF6E-ABCDFD881B92}">
      <text>
        <r>
          <rPr>
            <b/>
            <sz val="9"/>
            <color indexed="81"/>
            <rFont val="Tahoma"/>
            <family val="2"/>
            <charset val="186"/>
          </rPr>
          <t>Sarmīte Mūze:</t>
        </r>
        <r>
          <rPr>
            <sz val="9"/>
            <color indexed="81"/>
            <rFont val="Tahoma"/>
            <family val="2"/>
            <charset val="186"/>
          </rPr>
          <t xml:space="preserve">
Šis ir jāizņem no 0930 un jāliek 0982 algā.
</t>
        </r>
      </text>
    </comment>
    <comment ref="G276" authorId="0" shapeId="0" xr:uid="{BB163FB4-993B-4CD5-80E8-15E437D83CE2}">
      <text>
        <r>
          <rPr>
            <b/>
            <sz val="9"/>
            <color indexed="81"/>
            <rFont val="Tahoma"/>
            <family val="2"/>
            <charset val="186"/>
          </rPr>
          <t>Sarmīte Mūze:</t>
        </r>
        <r>
          <rPr>
            <sz val="9"/>
            <color indexed="81"/>
            <rFont val="Tahoma"/>
            <family val="2"/>
            <charset val="186"/>
          </rPr>
          <t xml:space="preserve">
Šis ir jāizņem no 0930 un jāliek 0982 algā.
</t>
        </r>
      </text>
    </comment>
    <comment ref="J276" authorId="0" shapeId="0" xr:uid="{30C0DB6F-7DBB-40F9-8519-A102D8EC1E6F}">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<sst xmlns="http://schemas.openxmlformats.org/spreadsheetml/2006/main" count="843" uniqueCount="671">
  <si>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</si>
  <si>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</si>
  <si>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</si>
  <si>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</si>
  <si>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</si>
  <si>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</si>
  <si>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</si>
  <si>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</si>
  <si>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</si>
  <si>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</si>
  <si>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29.05.2025. grozījumi</t>
  </si>
  <si>
    <t>Izmaiņa 29.05.2025. - 27.03.2025.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</si>
  <si>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</si>
  <si>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</si>
  <si>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</si>
  <si>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</si>
  <si>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</si>
  <si>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</si>
  <si>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</si>
  <si>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</si>
  <si>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</si>
  <si>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</si>
  <si>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</si>
  <si>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</si>
  <si>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</si>
  <si>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</si>
  <si>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</si>
  <si>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</si>
  <si>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</si>
  <si>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</si>
  <si>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</si>
  <si>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</si>
  <si>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</si>
  <si>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</si>
  <si>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</si>
  <si>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</si>
  <si>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</si>
  <si>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</si>
  <si>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</si>
  <si>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</si>
  <si>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</si>
  <si>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</si>
  <si>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</si>
  <si>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</si>
  <si>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</si>
  <si>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</si>
  <si>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</si>
  <si>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</si>
  <si>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</si>
  <si>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</si>
  <si>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</si>
  <si>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</si>
  <si>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</si>
  <si>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</si>
  <si>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</si>
  <si>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</si>
  <si>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</si>
  <si>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</si>
  <si>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</si>
  <si>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</si>
  <si>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</si>
  <si>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</si>
  <si>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</si>
  <si>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</si>
  <si>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</si>
  <si>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</si>
  <si>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</si>
  <si>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</si>
  <si>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</si>
  <si>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</si>
  <si>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</si>
  <si>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</si>
  <si>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</si>
  <si>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</si>
  <si>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</si>
  <si>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</si>
  <si>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</si>
  <si>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</si>
  <si>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</si>
  <si>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</si>
  <si>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</si>
  <si>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</si>
  <si>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</si>
  <si>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</si>
  <si>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</si>
  <si>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</si>
  <si>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</si>
  <si>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</si>
  <si>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</si>
  <si>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</si>
  <si>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</si>
  <si>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</si>
  <si>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</si>
  <si>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</si>
  <si>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</si>
  <si>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</si>
  <si>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</si>
  <si>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</si>
  <si>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</si>
  <si>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</si>
  <si>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</si>
  <si>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</si>
  <si>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</si>
  <si>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</si>
  <si>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</si>
  <si>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</si>
  <si>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</si>
  <si>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</si>
  <si>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</si>
  <si>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</si>
  <si>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</si>
  <si>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</si>
  <si>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</si>
  <si>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</si>
  <si>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</si>
  <si>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</si>
  <si>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</si>
  <si>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</si>
  <si>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</si>
  <si>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</si>
  <si>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</si>
  <si>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</si>
  <si>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</si>
  <si>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</si>
  <si>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</si>
  <si>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</si>
  <si>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</si>
  <si>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</si>
  <si>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</si>
  <si>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</si>
  <si>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</si>
  <si>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</si>
  <si>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</si>
  <si>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</si>
  <si>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</si>
  <si>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</si>
  <si>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</si>
  <si>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</si>
  <si>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</si>
  <si>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</si>
  <si>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</si>
  <si>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</si>
  <si>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</si>
  <si>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</si>
  <si>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</si>
  <si>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</si>
  <si>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</si>
  <si>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</si>
  <si>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</si>
  <si>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</si>
  <si>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</si>
  <si>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</si>
  <si>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</si>
  <si>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</si>
  <si>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</si>
  <si>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</si>
  <si>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</si>
  <si>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</si>
  <si>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</si>
  <si>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</si>
  <si>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</si>
  <si>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</si>
  <si>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</si>
  <si>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</si>
  <si>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Valsts finansējums projektu konkursā "Atbalsts jaunatnes politikas īstenošanai vietējā līmenī" Projekts "Mobilais darbs ar jaunatni Ādažu novadā"</t>
  </si>
  <si>
    <t>18.6.2.20.</t>
  </si>
  <si>
    <t>10.1.12.</t>
  </si>
  <si>
    <t>Dotācijas Ukrainas pilsoņu atbalstam</t>
  </si>
  <si>
    <t>10.1.13.</t>
  </si>
  <si>
    <t>Dotācijas "Energoresursu atbalsts"</t>
  </si>
  <si>
    <t>18.6.2.6.1.</t>
  </si>
  <si>
    <t>10.1.14.</t>
  </si>
  <si>
    <t>Dotācija nodarbinātības pasākumiem</t>
  </si>
  <si>
    <t>0630</t>
  </si>
  <si>
    <t>18.6.2.9.; 18.6.2.6.1.</t>
  </si>
  <si>
    <t>10.1.15.</t>
  </si>
  <si>
    <t>pārējās dotācijas</t>
  </si>
  <si>
    <t>Projekts "Labklājības nozares un pašvaldību sociālās sfēras platformas "DigiSoc" izstrāde un ieviešana</t>
  </si>
  <si>
    <t>Dalība Zivju fonda projektā par videonovērošanas kameru iegādi. Realizē pašvaldības policija.</t>
  </si>
  <si>
    <t>10.2.</t>
  </si>
  <si>
    <t>ES struktūrfondu līdzekļi un aktivitāšu līdzfinansējumi</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</si>
  <si>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</si>
  <si>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</si>
  <si>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</si>
  <si>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</si>
  <si>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</si>
  <si>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</si>
  <si>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</si>
  <si>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</si>
  <si>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</si>
  <si>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</si>
  <si>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</si>
  <si>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</si>
  <si>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</si>
  <si>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</si>
  <si>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</si>
  <si>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</si>
  <si>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</si>
  <si>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</si>
  <si>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</si>
  <si>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</si>
  <si>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</si>
  <si>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</si>
  <si>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</si>
  <si>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</si>
  <si>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</si>
  <si>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</si>
  <si>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</si>
  <si>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10.2.11.</t>
  </si>
  <si>
    <t>Jaunais plūdu projekts - 2.1.3.2. "Nacionālas nozīmes plūdu un krasta erozijas pasākumi" 1.daļa</t>
  </si>
  <si>
    <t>0631.2</t>
  </si>
  <si>
    <t>10.2.12.</t>
  </si>
  <si>
    <t>Krastupes ielas projekts</t>
  </si>
  <si>
    <t>10.2.13.</t>
  </si>
  <si>
    <t>EKII</t>
  </si>
  <si>
    <t>0903</t>
  </si>
  <si>
    <t>10.2.14.</t>
  </si>
  <si>
    <t>Jaunas pirmsskolas izglītības iestādes Podniekos būvniecība</t>
  </si>
  <si>
    <t>0932</t>
  </si>
  <si>
    <t>10.2.16.</t>
  </si>
  <si>
    <t>Projekts “Digitālā darba ar jaunatni sistēmas attīstība pašvaldībās”</t>
  </si>
  <si>
    <t>EUR 30'428 projekta “Digitālā darba ar jaunatni sistēmas attīstība pašvaldībās” ārfinansējums (0932).</t>
  </si>
  <si>
    <t xml:space="preserve">0633.1 </t>
  </si>
  <si>
    <t>10.2.17.</t>
  </si>
  <si>
    <t xml:space="preserve"> ”Mobilitātes punkta infrastruktūras izveidošana Rīgas metropoles areālā – “Carnikava””</t>
  </si>
  <si>
    <t>0633.2</t>
  </si>
  <si>
    <t>10.2.18.</t>
  </si>
  <si>
    <t>Maģistrālā  veloceļa izbūve Rīga-Carnikava</t>
  </si>
  <si>
    <t>10.2.20.</t>
  </si>
  <si>
    <t>"Blusu" kroga pārbūves tehniskā projekta izstrāde</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</si>
  <si>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</si>
  <si>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</si>
  <si>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</si>
  <si>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</si>
  <si>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</si>
  <si>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</si>
  <si>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</si>
  <si>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</si>
  <si>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</si>
  <si>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</si>
  <si>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</si>
  <si>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</si>
  <si>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</si>
  <si>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</si>
  <si>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</si>
  <si>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</si>
  <si>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</si>
  <si>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</si>
  <si>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</si>
  <si>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</si>
  <si>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</si>
  <si>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</si>
  <si>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</si>
  <si>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</si>
  <si>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</si>
  <si>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</si>
  <si>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</si>
  <si>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</si>
  <si>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</si>
  <si>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</si>
  <si>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</si>
  <si>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</si>
  <si>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</si>
  <si>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</si>
  <si>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</si>
  <si>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</si>
  <si>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</si>
  <si>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</si>
  <si>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</si>
  <si>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</si>
  <si>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</si>
  <si>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</si>
  <si>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</si>
  <si>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</si>
  <si>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</si>
  <si>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</si>
  <si>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</si>
  <si>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</si>
  <si>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</si>
  <si>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</si>
  <si>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</si>
  <si>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</si>
  <si>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</si>
  <si>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</si>
  <si>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</si>
  <si>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</si>
  <si>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</si>
  <si>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</si>
  <si>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</si>
  <si>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</si>
  <si>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</si>
  <si>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</si>
  <si>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</si>
  <si>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</si>
  <si>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</si>
  <si>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</si>
  <si>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</si>
  <si>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</si>
  <si>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</si>
  <si>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</si>
  <si>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</si>
  <si>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</si>
  <si>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</si>
  <si>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 xml:space="preserve">Dzirnupes ielas tilta pārbūve I kārta </t>
  </si>
  <si>
    <t>14.10.</t>
  </si>
  <si>
    <t>14.11.</t>
  </si>
  <si>
    <t>14.12.</t>
  </si>
  <si>
    <t>14.13.</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</si>
  <si>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</si>
  <si>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</si>
  <si>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</si>
  <si>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</si>
  <si>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</si>
  <si>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</si>
  <si>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</si>
  <si>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</si>
  <si>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</si>
  <si>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</si>
  <si>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</si>
  <si>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</si>
  <si>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</si>
  <si>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</si>
  <si>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</si>
  <si>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</si>
  <si>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</si>
  <si>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</si>
  <si>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</si>
  <si>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</si>
  <si>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</si>
  <si>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</si>
  <si>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</si>
  <si>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</si>
  <si>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</si>
  <si>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</si>
  <si>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</si>
  <si>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</si>
  <si>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0170</t>
  </si>
  <si>
    <t>1.9.</t>
  </si>
  <si>
    <t>Informācijas tehnoloģiju nodaļa, vispārējas nozīmes dienestu darbība un pakalpojumi - datortīkla uzturēšana ©</t>
  </si>
  <si>
    <t>0340</t>
  </si>
  <si>
    <t>Sabiedriskā kārtība un drošība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</si>
  <si>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</si>
  <si>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</si>
  <si>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</si>
  <si>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</si>
  <si>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</si>
  <si>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</si>
  <si>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</si>
  <si>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</si>
  <si>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</si>
  <si>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</si>
  <si>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</si>
  <si>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</si>
  <si>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</si>
  <si>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</si>
  <si>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</si>
  <si>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</si>
  <si>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</si>
  <si>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</si>
  <si>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</si>
  <si>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</si>
  <si>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</si>
  <si>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</si>
  <si>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</si>
  <si>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</si>
  <si>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</si>
  <si>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</si>
  <si>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</si>
  <si>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</si>
  <si>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</si>
  <si>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EUR 2'000 no ekonomijas plānošanas programmas iegādei iniciatīvu projektu finansējuma palielinājumam.</t>
  </si>
  <si>
    <t>0630.1</t>
  </si>
  <si>
    <t>5.5.2.</t>
  </si>
  <si>
    <t>Projekts "Sabiedrība ar dvēseli"</t>
  </si>
  <si>
    <t>5.5.3.</t>
  </si>
  <si>
    <t>Iedzīvotāju iniciatīvas un konkursi.</t>
  </si>
  <si>
    <t>5.5.4.</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</si>
  <si>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</si>
  <si>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</si>
  <si>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</si>
  <si>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</si>
  <si>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</si>
  <si>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</si>
  <si>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</si>
  <si>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</si>
  <si>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</si>
  <si>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</si>
  <si>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</si>
  <si>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0631.5</t>
  </si>
  <si>
    <t>5.5.12.</t>
  </si>
  <si>
    <t>"Blusu" kroga pārbūves tehniskā projekta izstrāde.</t>
  </si>
  <si>
    <t>5.5.13.</t>
  </si>
  <si>
    <t>5.6.</t>
  </si>
  <si>
    <t>Objektu un teritorijas apsaimniekošana un uzturēšana</t>
  </si>
  <si>
    <t>0670</t>
  </si>
  <si>
    <t>5.6.1.</t>
  </si>
  <si>
    <t xml:space="preserve">Nekustamā īpašuma nodaļa </t>
  </si>
  <si>
    <t>5.6.2.</t>
  </si>
  <si>
    <t>SAM 5.1.1. Pretplūdu pasākumi Ādažu centra polderī, Ādažu novadā</t>
  </si>
  <si>
    <t>Pēdējais maksājums no KA izņemtais VK aizņēmums. Garantija netika saņemta, līdz ar to maksājums garantijas termiņa beigās.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</si>
  <si>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</si>
  <si>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</si>
  <si>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</si>
  <si>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</si>
  <si>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</si>
  <si>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</si>
  <si>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EUR 5'070 no CKS plānotās dotācijas īpašumu apsaimniekošanai uz Teritorijas uzturēšanu (Dome) arboristu čempionāta līguma apmaksai, kas noslēgts ar Domi).</t>
  </si>
  <si>
    <t>5.6.4.2.</t>
  </si>
  <si>
    <t>Dotācija CKS ceļu uzturēšanai</t>
  </si>
  <si>
    <t>5.6.4.3.</t>
  </si>
  <si>
    <t>Teritorijas uzturēšana (Dome)</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</si>
  <si>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</si>
  <si>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</si>
  <si>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</si>
  <si>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</si>
  <si>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</si>
  <si>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</si>
  <si>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</si>
  <si>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</si>
  <si>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</si>
  <si>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</si>
  <si>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</si>
  <si>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</si>
  <si>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</si>
  <si>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</si>
  <si>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</si>
  <si>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</si>
  <si>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</si>
  <si>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</si>
  <si>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</si>
  <si>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</si>
  <si>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</si>
  <si>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</si>
  <si>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</si>
  <si>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</si>
  <si>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</si>
  <si>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</si>
  <si>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</si>
  <si>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0841.2</t>
  </si>
  <si>
    <t>Tautas nams "Ozolaine" ©</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</si>
  <si>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</si>
  <si>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</si>
  <si>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</si>
  <si>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</si>
  <si>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</si>
  <si>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</si>
  <si>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</si>
  <si>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</si>
  <si>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</si>
  <si>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</si>
  <si>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</si>
  <si>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</si>
  <si>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</si>
  <si>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</si>
  <si>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</si>
  <si>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</si>
  <si>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</si>
  <si>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</si>
  <si>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</si>
  <si>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</si>
  <si>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</si>
  <si>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</si>
  <si>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</si>
  <si>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</si>
  <si>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</si>
  <si>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</si>
  <si>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</si>
  <si>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</si>
  <si>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</si>
  <si>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</si>
  <si>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</si>
  <si>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</si>
  <si>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</si>
  <si>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</si>
  <si>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</si>
  <si>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</si>
  <si>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</si>
  <si>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</si>
  <si>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</si>
  <si>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</si>
  <si>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</si>
  <si>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</si>
  <si>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</si>
  <si>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</si>
  <si>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</si>
  <si>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</si>
  <si>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</si>
  <si>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</si>
  <si>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</si>
  <si>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</si>
  <si>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</si>
  <si>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</si>
  <si>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</si>
  <si>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</si>
  <si>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</si>
  <si>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</si>
  <si>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</si>
  <si>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</si>
  <si>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</si>
  <si>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</si>
  <si>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</si>
  <si>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</si>
  <si>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</si>
  <si>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</si>
  <si>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</si>
  <si>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</si>
  <si>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</si>
  <si>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</si>
  <si>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</si>
  <si>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</si>
  <si>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</si>
  <si>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</si>
  <si>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</si>
  <si>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</si>
  <si>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</si>
  <si>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</si>
  <si>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</si>
  <si>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</si>
  <si>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</si>
  <si>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</si>
  <si>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</si>
  <si>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</si>
  <si>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</si>
  <si>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</si>
  <si>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</si>
  <si>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</si>
  <si>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</si>
  <si>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</si>
  <si>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</si>
  <si>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</si>
  <si>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</si>
  <si>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</si>
  <si>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</si>
  <si>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</si>
  <si>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</si>
  <si>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</si>
  <si>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</si>
  <si>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</si>
  <si>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</si>
  <si>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</si>
  <si>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</si>
  <si>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</si>
  <si>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</si>
  <si>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</si>
  <si>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</si>
  <si>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</si>
  <si>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</si>
  <si>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</si>
  <si>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</si>
  <si>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</si>
  <si>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</si>
  <si>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</si>
  <si>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</si>
  <si>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</si>
  <si>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</si>
  <si>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</si>
  <si>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</si>
  <si>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</si>
  <si>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</si>
  <si>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</si>
  <si>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</si>
  <si>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8.7.1.3.</t>
  </si>
  <si>
    <t>MD mācību līdzekļiem</t>
  </si>
  <si>
    <t>8.7.2.</t>
  </si>
  <si>
    <t>ēdināšana (mērķdotācija)</t>
  </si>
  <si>
    <t>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</si>
  <si>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</si>
  <si>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</si>
  <si>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</si>
  <si>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</si>
  <si>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</si>
  <si>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</si>
  <si>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</si>
  <si>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</si>
  <si>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</si>
  <si>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8.7.7.</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</si>
  <si>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</si>
  <si>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</si>
  <si>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</si>
  <si>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</si>
  <si>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</si>
  <si>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</si>
  <si>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</si>
  <si>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</si>
  <si>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</si>
  <si>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</si>
  <si>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</si>
  <si>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</si>
  <si>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</si>
  <si>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8.8.3.</t>
  </si>
  <si>
    <t>EUR 1'321 no ekonomijas Sporta centra ventilācijas sistēmu tīrīšanai uz Ādažu vidusskolu (karstā cirkulācijas sūkņa nomaiņai)</t>
  </si>
  <si>
    <t>0957</t>
  </si>
  <si>
    <t>8.8.4.</t>
  </si>
  <si>
    <t>projekts Erasmus+</t>
  </si>
  <si>
    <t>0951</t>
  </si>
  <si>
    <t>8.8.5.</t>
  </si>
  <si>
    <t>8.8.6.</t>
  </si>
  <si>
    <t>8.8.7.</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</si>
  <si>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</si>
  <si>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</si>
  <si>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</si>
  <si>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8.8.8.</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</si>
  <si>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</si>
  <si>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</si>
  <si>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</si>
  <si>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</si>
  <si>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</si>
  <si>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</si>
  <si>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</si>
  <si>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</si>
  <si>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</si>
  <si>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</si>
  <si>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</si>
  <si>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</si>
  <si>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</si>
  <si>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</si>
  <si>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</si>
  <si>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</si>
  <si>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</si>
  <si>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</si>
  <si>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</si>
  <si>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</si>
  <si>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</si>
  <si>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</si>
  <si>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</si>
  <si>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</si>
  <si>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</si>
  <si>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</si>
  <si>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</si>
  <si>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</si>
  <si>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</si>
  <si>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</si>
  <si>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</si>
  <si>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</si>
  <si>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</si>
  <si>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</si>
  <si>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</si>
  <si>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</si>
  <si>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</si>
  <si>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</si>
  <si>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</si>
  <si>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</si>
  <si>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</si>
  <si>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</si>
  <si>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</si>
  <si>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</si>
  <si>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</si>
  <si>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</si>
  <si>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</si>
  <si>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</si>
  <si>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</si>
  <si>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</si>
  <si>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</si>
  <si>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</si>
  <si>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</si>
  <si>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</si>
  <si>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</si>
  <si>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</si>
  <si>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</si>
  <si>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</si>
  <si>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</si>
  <si>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</si>
  <si>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</si>
  <si>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</si>
  <si>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</si>
  <si>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Precizēts pēc projekta naudas plūsmas</t>
  </si>
  <si>
    <t>Pēdējais maksājums no KA izņemtais VK aizņēmums. Garantija netika saņemta, līdz ar to maksājums garantijas termiņa beigās (2029.gadā). Novirzīts VK aizņēmuma atmaksai.</t>
  </si>
  <si>
    <t>1) Dalība Zivju fonda projektā par videonovērošanas kameru iegādi. Realizē pašvaldības policija.
2) Atbalsts Ukrainas un Latvijas bērnu nometnēm EUR 4'455</t>
  </si>
  <si>
    <t>Atbalsts Ukrainas un Latvijas bērnu nometnēm EUR 4'455</t>
  </si>
  <si>
    <t>EUR 8'000 pārcelts uz CKS ēkas nojaukšanai  Kalmju ielā 2</t>
  </si>
  <si>
    <t>1) EUR 5'070 no CKS plānotās dotācijas īpašumu apsaimniekošanai uz Teritorijas uzturēšanu (Dome) arboristu čempionāta līguma apmaksai, kas noslēgts ar Domi).
2) EUR 8'000 pārcelts uz CKS ēkas nojaukšanai  Kalmju ielā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</si>
</sst>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theme="9" tint="-0.249977111117893"/>
      <name val="Times New Roman"/>
      <family val="1"/>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9" tint="-0.24997711111789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theme="9" tint="-0.249977111117893"/>
      <name val="Times New Roman"/>
      <family val="1"/>
      <charset val="186"/>
    </font>
    <font>
      <sz val="11"/>
      <color rgb="FF7030A0"/>
      <name val="Times New Roman"/>
      <family val="1"/>
      <charset val="186"/>
    </font>
    <font>
      <sz val="11"/>
      <color indexed="10"/>
      <name val="Times New Roman"/>
      <family val="1"/>
      <charset val="186"/>
    </font>
    <font>
      <i/>
      <sz val="11"/>
      <name val="Times New Roman"/>
      <family val="1"/>
      <charset val="186"/>
    </font>
    <font>
      <i/>
      <sz val="11"/>
      <color theme="9" tint="-0.249977111117893"/>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s>
  <fills count="14">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9">
    <xf numFmtId="0" fontId="0" fillId="0" borderId="0"/>
    <xf numFmtId="43" fontId="5"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xf numFmtId="0" fontId="13" fillId="0" borderId="0"/>
    <xf numFmtId="9" fontId="7" fillId="0" borderId="0" applyFont="0" applyFill="0" applyBorder="0" applyAlignment="0" applyProtection="0"/>
  </cellStyleXfs>
  <cellXfs count="239">
    <xf numFmtId="0" fontId="0" fillId="0" borderId="0" xfId="0"/>
    <xf numFmtId="0" fontId="2" fillId="0" borderId="0" xfId="2" applyFont="1"/>
    <xf numFmtId="0" fontId="3" fillId="0" borderId="0" xfId="3" applyFont="1"/>
    <xf numFmtId="0" fontId="4" fillId="0" borderId="0" xfId="3" applyFont="1"/>
    <xf numFmtId="0" fontId="2" fillId="0" borderId="0" xfId="2" applyFont="1" applyAlignment="1">
      <alignment wrapText="1"/>
    </xf>
    <xf numFmtId="3" fontId="2" fillId="0" borderId="0" xfId="2" applyNumberFormat="1" applyFont="1"/>
    <xf numFmtId="164" fontId="2" fillId="0" borderId="0" xfId="1" applyNumberFormat="1" applyFont="1" applyAlignment="1">
      <alignment wrapText="1"/>
    </xf>
    <xf numFmtId="164" fontId="6" fillId="0" borderId="0" xfId="1" applyNumberFormat="1" applyFont="1" applyAlignment="1">
      <alignment wrapText="1"/>
    </xf>
    <xf numFmtId="9" fontId="2" fillId="0" borderId="0" xfId="4" applyFont="1" applyAlignment="1">
      <alignment wrapText="1"/>
    </xf>
    <xf numFmtId="164" fontId="2" fillId="0" borderId="0" xfId="1" applyNumberFormat="1" applyFont="1"/>
    <xf numFmtId="164" fontId="6" fillId="0" borderId="0" xfId="1" applyNumberFormat="1" applyFont="1"/>
    <xf numFmtId="1" fontId="2" fillId="0" borderId="0" xfId="4" applyNumberFormat="1" applyFont="1" applyFill="1"/>
    <xf numFmtId="164" fontId="10" fillId="0" borderId="0" xfId="5" applyNumberFormat="1" applyFont="1"/>
    <xf numFmtId="164" fontId="10" fillId="0" borderId="0" xfId="1" applyNumberFormat="1" applyFont="1"/>
    <xf numFmtId="164" fontId="11" fillId="0" borderId="0" xfId="1" applyNumberFormat="1" applyFont="1"/>
    <xf numFmtId="9" fontId="2" fillId="0" borderId="0" xfId="4" applyFont="1"/>
    <xf numFmtId="0" fontId="12" fillId="0" borderId="0" xfId="6"/>
    <xf numFmtId="0" fontId="10" fillId="0" borderId="1" xfId="2" applyFont="1" applyBorder="1" applyAlignment="1">
      <alignment horizontal="center" vertical="center"/>
    </xf>
    <xf numFmtId="0" fontId="10" fillId="0" borderId="2" xfId="2" applyFont="1" applyBorder="1" applyAlignment="1">
      <alignment horizontal="center" vertical="center" wrapText="1"/>
    </xf>
    <xf numFmtId="0" fontId="10" fillId="0" borderId="3" xfId="7" applyFont="1" applyBorder="1" applyAlignment="1">
      <alignment horizontal="center" vertical="center" wrapText="1"/>
    </xf>
    <xf numFmtId="164" fontId="10" fillId="0" borderId="3" xfId="1" applyNumberFormat="1" applyFont="1" applyBorder="1" applyAlignment="1">
      <alignment horizontal="center" vertical="center" wrapText="1"/>
    </xf>
    <xf numFmtId="164" fontId="11" fillId="0" borderId="3" xfId="1" applyNumberFormat="1" applyFont="1" applyBorder="1" applyAlignment="1">
      <alignment horizontal="center" vertical="center" wrapText="1"/>
    </xf>
    <xf numFmtId="9" fontId="10" fillId="0" borderId="3" xfId="4" applyFont="1" applyBorder="1" applyAlignment="1">
      <alignment horizontal="center" vertical="center" wrapText="1"/>
    </xf>
    <xf numFmtId="0" fontId="10" fillId="2" borderId="4" xfId="2" applyFont="1" applyFill="1" applyBorder="1"/>
    <xf numFmtId="0" fontId="10" fillId="2" borderId="5" xfId="2" applyFont="1" applyFill="1" applyBorder="1" applyAlignment="1">
      <alignment wrapText="1"/>
    </xf>
    <xf numFmtId="164" fontId="10" fillId="2" borderId="6" xfId="1" applyNumberFormat="1" applyFont="1" applyFill="1" applyBorder="1"/>
    <xf numFmtId="164" fontId="11" fillId="2" borderId="6" xfId="1" applyNumberFormat="1" applyFont="1" applyFill="1" applyBorder="1"/>
    <xf numFmtId="3" fontId="10" fillId="2" borderId="6" xfId="2" applyNumberFormat="1" applyFont="1" applyFill="1" applyBorder="1"/>
    <xf numFmtId="9" fontId="2" fillId="2" borderId="6" xfId="4" applyFont="1" applyFill="1" applyBorder="1" applyAlignment="1">
      <alignment wrapText="1"/>
    </xf>
    <xf numFmtId="0" fontId="10" fillId="3" borderId="4" xfId="2" quotePrefix="1" applyFont="1" applyFill="1" applyBorder="1"/>
    <xf numFmtId="0" fontId="10" fillId="3" borderId="5" xfId="2" applyFont="1" applyFill="1" applyBorder="1" applyAlignment="1">
      <alignment wrapText="1"/>
    </xf>
    <xf numFmtId="3" fontId="10" fillId="3" borderId="6" xfId="2" applyNumberFormat="1" applyFont="1" applyFill="1" applyBorder="1"/>
    <xf numFmtId="164" fontId="10" fillId="3" borderId="6" xfId="1" applyNumberFormat="1" applyFont="1" applyFill="1" applyBorder="1"/>
    <xf numFmtId="164" fontId="11" fillId="3" borderId="6" xfId="1" applyNumberFormat="1" applyFont="1" applyFill="1" applyBorder="1"/>
    <xf numFmtId="9" fontId="10" fillId="3" borderId="6" xfId="4" applyFont="1" applyFill="1" applyBorder="1"/>
    <xf numFmtId="0" fontId="14" fillId="0" borderId="0" xfId="2" applyFont="1"/>
    <xf numFmtId="0" fontId="2" fillId="0" borderId="7" xfId="2" applyFont="1" applyBorder="1" applyAlignment="1">
      <alignment horizontal="left" indent="1"/>
    </xf>
    <xf numFmtId="0" fontId="2" fillId="0" borderId="8" xfId="2" applyFont="1" applyBorder="1" applyAlignment="1">
      <alignment horizontal="left" wrapText="1" indent="2"/>
    </xf>
    <xf numFmtId="3" fontId="2" fillId="0" borderId="9" xfId="2" applyNumberFormat="1" applyFont="1" applyBorder="1"/>
    <xf numFmtId="164" fontId="2" fillId="0" borderId="9" xfId="1" applyNumberFormat="1" applyFont="1" applyBorder="1"/>
    <xf numFmtId="9" fontId="2" fillId="0" borderId="9" xfId="4" applyFont="1" applyFill="1" applyBorder="1"/>
    <xf numFmtId="9" fontId="2" fillId="0" borderId="9" xfId="4" applyFont="1" applyFill="1" applyBorder="1" applyAlignment="1">
      <alignment wrapText="1"/>
    </xf>
    <xf numFmtId="0" fontId="10" fillId="3" borderId="7" xfId="2" applyFont="1" applyFill="1" applyBorder="1"/>
    <xf numFmtId="0" fontId="10" fillId="3" borderId="8" xfId="2" applyFont="1" applyFill="1" applyBorder="1" applyAlignment="1">
      <alignment wrapText="1"/>
    </xf>
    <xf numFmtId="3" fontId="10" fillId="3" borderId="9" xfId="2" applyNumberFormat="1" applyFont="1" applyFill="1" applyBorder="1"/>
    <xf numFmtId="164" fontId="10" fillId="3" borderId="9" xfId="1" applyNumberFormat="1" applyFont="1" applyFill="1" applyBorder="1"/>
    <xf numFmtId="164" fontId="11" fillId="3" borderId="9" xfId="1" applyNumberFormat="1" applyFont="1" applyFill="1" applyBorder="1"/>
    <xf numFmtId="9" fontId="10" fillId="3" borderId="9" xfId="4" applyFont="1" applyFill="1" applyBorder="1"/>
    <xf numFmtId="164" fontId="6" fillId="0" borderId="9" xfId="1" applyNumberFormat="1" applyFont="1" applyBorder="1"/>
    <xf numFmtId="9" fontId="2" fillId="0" borderId="9" xfId="4" applyFont="1" applyBorder="1"/>
    <xf numFmtId="9" fontId="2" fillId="0" borderId="10" xfId="4" applyFont="1" applyFill="1" applyBorder="1"/>
    <xf numFmtId="0" fontId="1" fillId="0" borderId="0" xfId="2"/>
    <xf numFmtId="9" fontId="2" fillId="0" borderId="10" xfId="4" applyFont="1" applyFill="1" applyBorder="1" applyAlignment="1">
      <alignment wrapText="1"/>
    </xf>
    <xf numFmtId="0" fontId="15" fillId="0" borderId="7" xfId="2" applyFont="1" applyBorder="1" applyAlignment="1">
      <alignment horizontal="left" indent="2"/>
    </xf>
    <xf numFmtId="0" fontId="15" fillId="0" borderId="8" xfId="2" applyFont="1" applyBorder="1" applyAlignment="1">
      <alignment horizontal="left" wrapText="1" indent="3"/>
    </xf>
    <xf numFmtId="0" fontId="14" fillId="0" borderId="0" xfId="2" quotePrefix="1" applyFont="1"/>
    <xf numFmtId="9" fontId="2" fillId="3" borderId="9" xfId="4" applyFont="1" applyFill="1" applyBorder="1" applyAlignment="1">
      <alignment wrapText="1"/>
    </xf>
    <xf numFmtId="0" fontId="2" fillId="4" borderId="8" xfId="2" applyFont="1" applyFill="1" applyBorder="1" applyAlignment="1">
      <alignment horizontal="left" wrapText="1" indent="2"/>
    </xf>
    <xf numFmtId="0" fontId="10" fillId="3" borderId="7" xfId="2" quotePrefix="1" applyFont="1" applyFill="1" applyBorder="1"/>
    <xf numFmtId="0" fontId="2" fillId="2" borderId="7" xfId="2" applyFont="1" applyFill="1" applyBorder="1" applyAlignment="1">
      <alignment horizontal="left" indent="1"/>
    </xf>
    <xf numFmtId="0" fontId="2" fillId="2" borderId="8" xfId="2" applyFont="1" applyFill="1" applyBorder="1" applyAlignment="1">
      <alignment horizontal="left" wrapText="1" indent="2"/>
    </xf>
    <xf numFmtId="3" fontId="2" fillId="2" borderId="9" xfId="2" applyNumberFormat="1" applyFont="1" applyFill="1" applyBorder="1"/>
    <xf numFmtId="164" fontId="2" fillId="2" borderId="9" xfId="1" applyNumberFormat="1" applyFont="1" applyFill="1" applyBorder="1"/>
    <xf numFmtId="164" fontId="6" fillId="5" borderId="9" xfId="1" applyNumberFormat="1" applyFont="1" applyFill="1" applyBorder="1"/>
    <xf numFmtId="164" fontId="2" fillId="5" borderId="9" xfId="1" applyNumberFormat="1" applyFont="1" applyFill="1" applyBorder="1"/>
    <xf numFmtId="3" fontId="2" fillId="5" borderId="9" xfId="2" applyNumberFormat="1" applyFont="1" applyFill="1" applyBorder="1"/>
    <xf numFmtId="3" fontId="6" fillId="0" borderId="9" xfId="2" applyNumberFormat="1" applyFont="1" applyBorder="1"/>
    <xf numFmtId="3" fontId="2" fillId="7" borderId="9" xfId="2" applyNumberFormat="1" applyFont="1" applyFill="1" applyBorder="1"/>
    <xf numFmtId="164" fontId="2" fillId="7" borderId="9" xfId="1" applyNumberFormat="1" applyFont="1" applyFill="1" applyBorder="1"/>
    <xf numFmtId="164" fontId="6" fillId="7" borderId="9" xfId="1" applyNumberFormat="1" applyFont="1" applyFill="1" applyBorder="1"/>
    <xf numFmtId="3" fontId="2" fillId="7" borderId="9" xfId="2" applyNumberFormat="1" applyFont="1" applyFill="1" applyBorder="1" applyAlignment="1">
      <alignment wrapText="1"/>
    </xf>
    <xf numFmtId="3" fontId="15" fillId="8" borderId="9" xfId="2" applyNumberFormat="1" applyFont="1" applyFill="1" applyBorder="1"/>
    <xf numFmtId="164" fontId="15" fillId="8" borderId="9" xfId="1" applyNumberFormat="1" applyFont="1" applyFill="1" applyBorder="1"/>
    <xf numFmtId="164" fontId="16" fillId="8" borderId="9" xfId="1" applyNumberFormat="1" applyFont="1" applyFill="1" applyBorder="1"/>
    <xf numFmtId="9" fontId="15" fillId="8" borderId="9" xfId="4" applyFont="1" applyFill="1" applyBorder="1" applyAlignment="1">
      <alignment wrapText="1"/>
    </xf>
    <xf numFmtId="0" fontId="15" fillId="0" borderId="0" xfId="2" applyFont="1"/>
    <xf numFmtId="0" fontId="2" fillId="0" borderId="0" xfId="2" quotePrefix="1" applyFont="1"/>
    <xf numFmtId="0" fontId="2" fillId="9" borderId="8" xfId="2" applyFont="1" applyFill="1" applyBorder="1" applyAlignment="1">
      <alignment horizontal="left" wrapText="1" indent="2"/>
    </xf>
    <xf numFmtId="164" fontId="2" fillId="0" borderId="9" xfId="1" applyNumberFormat="1" applyFont="1" applyFill="1" applyBorder="1"/>
    <xf numFmtId="0" fontId="2" fillId="0" borderId="8" xfId="2" applyFont="1" applyBorder="1" applyAlignment="1">
      <alignment horizontal="left" wrapText="1" indent="3"/>
    </xf>
    <xf numFmtId="9" fontId="2" fillId="10" borderId="9" xfId="4" applyFont="1" applyFill="1" applyBorder="1" applyAlignment="1">
      <alignment wrapText="1"/>
    </xf>
    <xf numFmtId="164" fontId="6" fillId="2" borderId="9" xfId="1" applyNumberFormat="1" applyFont="1" applyFill="1" applyBorder="1"/>
    <xf numFmtId="9" fontId="2" fillId="2" borderId="9" xfId="4" applyFont="1" applyFill="1" applyBorder="1" applyAlignment="1">
      <alignment wrapText="1"/>
    </xf>
    <xf numFmtId="0" fontId="8" fillId="0" borderId="0" xfId="2" applyFont="1"/>
    <xf numFmtId="9" fontId="2" fillId="0" borderId="13" xfId="4" applyFont="1" applyFill="1" applyBorder="1"/>
    <xf numFmtId="0" fontId="1" fillId="0" borderId="0" xfId="2" quotePrefix="1"/>
    <xf numFmtId="9" fontId="2" fillId="0" borderId="13" xfId="4" applyFont="1" applyFill="1" applyBorder="1" applyAlignment="1">
      <alignment wrapText="1"/>
    </xf>
    <xf numFmtId="164" fontId="10" fillId="3" borderId="9" xfId="4" applyNumberFormat="1" applyFont="1" applyFill="1" applyBorder="1"/>
    <xf numFmtId="0" fontId="2" fillId="4" borderId="7" xfId="2" applyFont="1" applyFill="1" applyBorder="1" applyAlignment="1">
      <alignment horizontal="left" indent="2"/>
    </xf>
    <xf numFmtId="0" fontId="2" fillId="4" borderId="8" xfId="2" applyFont="1" applyFill="1" applyBorder="1" applyAlignment="1">
      <alignment horizontal="left" wrapText="1" indent="3"/>
    </xf>
    <xf numFmtId="1" fontId="2" fillId="0" borderId="9" xfId="4" applyNumberFormat="1" applyFont="1" applyFill="1" applyBorder="1"/>
    <xf numFmtId="0" fontId="8" fillId="0" borderId="0" xfId="2" quotePrefix="1" applyFont="1"/>
    <xf numFmtId="0" fontId="10" fillId="0" borderId="14" xfId="2" applyFont="1" applyBorder="1"/>
    <xf numFmtId="0" fontId="10" fillId="0" borderId="15" xfId="2" applyFont="1" applyBorder="1" applyAlignment="1">
      <alignment horizontal="right" wrapText="1"/>
    </xf>
    <xf numFmtId="3" fontId="10" fillId="0" borderId="3" xfId="2" applyNumberFormat="1" applyFont="1" applyBorder="1"/>
    <xf numFmtId="164" fontId="10" fillId="0" borderId="3" xfId="1" applyNumberFormat="1" applyFont="1" applyBorder="1"/>
    <xf numFmtId="164" fontId="11" fillId="0" borderId="3" xfId="1" applyNumberFormat="1" applyFont="1" applyBorder="1"/>
    <xf numFmtId="9" fontId="10" fillId="0" borderId="3" xfId="4" applyFont="1" applyBorder="1"/>
    <xf numFmtId="0" fontId="10" fillId="0" borderId="16" xfId="2" quotePrefix="1" applyFont="1" applyBorder="1"/>
    <xf numFmtId="0" fontId="10" fillId="0" borderId="17" xfId="2" applyFont="1" applyBorder="1" applyAlignment="1">
      <alignment wrapText="1"/>
    </xf>
    <xf numFmtId="3" fontId="10" fillId="0" borderId="18" xfId="2" applyNumberFormat="1" applyFont="1" applyBorder="1"/>
    <xf numFmtId="164" fontId="10" fillId="0" borderId="18" xfId="1" applyNumberFormat="1" applyFont="1" applyBorder="1"/>
    <xf numFmtId="164" fontId="11" fillId="0" borderId="18" xfId="1" applyNumberFormat="1" applyFont="1" applyBorder="1"/>
    <xf numFmtId="9" fontId="10" fillId="0" borderId="18" xfId="4" applyFont="1" applyFill="1" applyBorder="1"/>
    <xf numFmtId="0" fontId="10" fillId="3" borderId="19" xfId="2" applyFont="1" applyFill="1" applyBorder="1" applyAlignment="1">
      <alignment wrapText="1"/>
    </xf>
    <xf numFmtId="164" fontId="10" fillId="3" borderId="13" xfId="1" applyNumberFormat="1" applyFont="1" applyFill="1" applyBorder="1"/>
    <xf numFmtId="164" fontId="11" fillId="3" borderId="13" xfId="1" applyNumberFormat="1" applyFont="1" applyFill="1" applyBorder="1"/>
    <xf numFmtId="49" fontId="2" fillId="0" borderId="19" xfId="2" applyNumberFormat="1" applyFont="1" applyBorder="1" applyAlignment="1">
      <alignment horizontal="left" wrapText="1" indent="4"/>
    </xf>
    <xf numFmtId="164" fontId="2" fillId="0" borderId="13" xfId="1" applyNumberFormat="1" applyFont="1" applyBorder="1"/>
    <xf numFmtId="164" fontId="6" fillId="0" borderId="10" xfId="1" applyNumberFormat="1" applyFont="1" applyBorder="1"/>
    <xf numFmtId="164" fontId="2" fillId="12" borderId="9" xfId="1" applyNumberFormat="1" applyFont="1" applyFill="1" applyBorder="1"/>
    <xf numFmtId="3" fontId="2" fillId="0" borderId="19" xfId="2" applyNumberFormat="1" applyFont="1" applyBorder="1"/>
    <xf numFmtId="164" fontId="2" fillId="0" borderId="10" xfId="1" applyNumberFormat="1" applyFont="1" applyBorder="1"/>
    <xf numFmtId="49" fontId="2" fillId="0" borderId="8" xfId="2" applyNumberFormat="1" applyFont="1" applyBorder="1" applyAlignment="1">
      <alignment horizontal="left" wrapText="1" indent="4"/>
    </xf>
    <xf numFmtId="164" fontId="2" fillId="0" borderId="20" xfId="1" applyNumberFormat="1" applyFont="1" applyBorder="1"/>
    <xf numFmtId="164" fontId="2" fillId="12" borderId="10" xfId="1" applyNumberFormat="1" applyFont="1" applyFill="1" applyBorder="1"/>
    <xf numFmtId="3" fontId="2" fillId="0" borderId="21" xfId="2" applyNumberFormat="1" applyFont="1" applyBorder="1"/>
    <xf numFmtId="164" fontId="2" fillId="12" borderId="13" xfId="1" applyNumberFormat="1" applyFont="1" applyFill="1" applyBorder="1"/>
    <xf numFmtId="9" fontId="2" fillId="0" borderId="6" xfId="4" applyFont="1" applyFill="1" applyBorder="1"/>
    <xf numFmtId="0" fontId="2" fillId="4" borderId="22" xfId="2" applyFont="1" applyFill="1" applyBorder="1" applyAlignment="1">
      <alignment horizontal="left" indent="2"/>
    </xf>
    <xf numFmtId="3" fontId="2" fillId="0" borderId="23" xfId="2" applyNumberFormat="1" applyFont="1" applyBorder="1"/>
    <xf numFmtId="49" fontId="2" fillId="0" borderId="20" xfId="2" applyNumberFormat="1" applyFont="1" applyBorder="1" applyAlignment="1">
      <alignment horizontal="left" wrapText="1" indent="4"/>
    </xf>
    <xf numFmtId="0" fontId="10" fillId="0" borderId="24" xfId="2" applyFont="1" applyBorder="1"/>
    <xf numFmtId="0" fontId="10" fillId="0" borderId="25" xfId="2" applyFont="1" applyBorder="1" applyAlignment="1">
      <alignment horizontal="right" wrapText="1"/>
    </xf>
    <xf numFmtId="9" fontId="10" fillId="0" borderId="18" xfId="4" applyFont="1" applyBorder="1"/>
    <xf numFmtId="0" fontId="10" fillId="0" borderId="0" xfId="2" applyFont="1"/>
    <xf numFmtId="10" fontId="2" fillId="0" borderId="0" xfId="8" applyNumberFormat="1" applyFont="1"/>
    <xf numFmtId="49" fontId="10" fillId="3" borderId="26" xfId="2" applyNumberFormat="1" applyFont="1" applyFill="1" applyBorder="1" applyAlignment="1">
      <alignment horizontal="left" indent="2"/>
    </xf>
    <xf numFmtId="49" fontId="10" fillId="3" borderId="27" xfId="2" applyNumberFormat="1" applyFont="1" applyFill="1" applyBorder="1" applyAlignment="1">
      <alignment wrapText="1"/>
    </xf>
    <xf numFmtId="3" fontId="10" fillId="3" borderId="28" xfId="2" applyNumberFormat="1" applyFont="1" applyFill="1" applyBorder="1"/>
    <xf numFmtId="164" fontId="10" fillId="3" borderId="28" xfId="1" applyNumberFormat="1" applyFont="1" applyFill="1" applyBorder="1"/>
    <xf numFmtId="164" fontId="11" fillId="3" borderId="28" xfId="1" applyNumberFormat="1" applyFont="1" applyFill="1" applyBorder="1"/>
    <xf numFmtId="9" fontId="10" fillId="3" borderId="28" xfId="4" applyFont="1" applyFill="1" applyBorder="1"/>
    <xf numFmtId="49" fontId="2" fillId="2" borderId="7" xfId="2" applyNumberFormat="1" applyFont="1" applyFill="1" applyBorder="1" applyAlignment="1">
      <alignment horizontal="left" indent="1"/>
    </xf>
    <xf numFmtId="49" fontId="2" fillId="2" borderId="8" xfId="2" applyNumberFormat="1" applyFont="1" applyFill="1" applyBorder="1" applyAlignment="1">
      <alignment horizontal="left" wrapText="1" indent="2"/>
    </xf>
    <xf numFmtId="164" fontId="17" fillId="2" borderId="9" xfId="1" applyNumberFormat="1" applyFont="1" applyFill="1" applyBorder="1"/>
    <xf numFmtId="9" fontId="2" fillId="2" borderId="9" xfId="4" applyFont="1" applyFill="1" applyBorder="1"/>
    <xf numFmtId="49" fontId="10" fillId="3" borderId="7" xfId="2" applyNumberFormat="1" applyFont="1" applyFill="1" applyBorder="1"/>
    <xf numFmtId="49" fontId="10" fillId="3" borderId="8" xfId="2" applyNumberFormat="1" applyFont="1" applyFill="1" applyBorder="1" applyAlignment="1">
      <alignment wrapText="1"/>
    </xf>
    <xf numFmtId="0" fontId="18" fillId="0" borderId="0" xfId="2" applyFont="1"/>
    <xf numFmtId="49" fontId="2" fillId="0" borderId="7" xfId="2" applyNumberFormat="1" applyFont="1" applyBorder="1" applyAlignment="1">
      <alignment horizontal="left" indent="2"/>
    </xf>
    <xf numFmtId="49" fontId="2" fillId="0" borderId="8" xfId="2" applyNumberFormat="1" applyFont="1" applyBorder="1" applyAlignment="1">
      <alignment horizontal="left" wrapText="1" indent="2"/>
    </xf>
    <xf numFmtId="49" fontId="10" fillId="2" borderId="8" xfId="2" applyNumberFormat="1" applyFont="1" applyFill="1" applyBorder="1" applyAlignment="1">
      <alignment horizontal="left" wrapText="1" indent="2"/>
    </xf>
    <xf numFmtId="3" fontId="10" fillId="2" borderId="9" xfId="2" applyNumberFormat="1" applyFont="1" applyFill="1" applyBorder="1"/>
    <xf numFmtId="164" fontId="10" fillId="2" borderId="9" xfId="1" applyNumberFormat="1" applyFont="1" applyFill="1" applyBorder="1"/>
    <xf numFmtId="164" fontId="11" fillId="2" borderId="9" xfId="1" applyNumberFormat="1" applyFont="1" applyFill="1" applyBorder="1"/>
    <xf numFmtId="9" fontId="2" fillId="0" borderId="9" xfId="4" applyFont="1" applyBorder="1" applyAlignment="1">
      <alignment wrapText="1"/>
    </xf>
    <xf numFmtId="49" fontId="2" fillId="13" borderId="7" xfId="2" applyNumberFormat="1" applyFont="1" applyFill="1" applyBorder="1" applyAlignment="1">
      <alignment horizontal="left" indent="2"/>
    </xf>
    <xf numFmtId="0" fontId="2" fillId="10" borderId="8" xfId="2" applyFont="1" applyFill="1" applyBorder="1" applyAlignment="1">
      <alignment horizontal="left" wrapText="1" indent="3"/>
    </xf>
    <xf numFmtId="9" fontId="10" fillId="2" borderId="9" xfId="4" applyFont="1" applyFill="1" applyBorder="1"/>
    <xf numFmtId="9" fontId="2" fillId="0" borderId="12" xfId="4" applyFont="1" applyBorder="1" applyAlignment="1">
      <alignment wrapText="1"/>
    </xf>
    <xf numFmtId="164" fontId="6" fillId="11" borderId="9" xfId="1" applyNumberFormat="1" applyFont="1" applyFill="1" applyBorder="1"/>
    <xf numFmtId="164" fontId="2" fillId="11" borderId="9" xfId="1" applyNumberFormat="1" applyFont="1" applyFill="1" applyBorder="1"/>
    <xf numFmtId="3" fontId="2" fillId="6" borderId="9" xfId="2" applyNumberFormat="1" applyFont="1" applyFill="1" applyBorder="1"/>
    <xf numFmtId="0" fontId="19" fillId="0" borderId="0" xfId="2" quotePrefix="1" applyFont="1"/>
    <xf numFmtId="49" fontId="19" fillId="0" borderId="7" xfId="2" applyNumberFormat="1" applyFont="1" applyBorder="1" applyAlignment="1">
      <alignment horizontal="left" indent="3"/>
    </xf>
    <xf numFmtId="0" fontId="19" fillId="10" borderId="8" xfId="2" applyFont="1" applyFill="1" applyBorder="1" applyAlignment="1">
      <alignment horizontal="left" wrapText="1" indent="6"/>
    </xf>
    <xf numFmtId="164" fontId="20" fillId="11" borderId="9" xfId="1" applyNumberFormat="1" applyFont="1" applyFill="1" applyBorder="1"/>
    <xf numFmtId="164" fontId="19" fillId="11" borderId="9" xfId="1" applyNumberFormat="1" applyFont="1" applyFill="1" applyBorder="1"/>
    <xf numFmtId="3" fontId="19" fillId="6" borderId="9" xfId="2" applyNumberFormat="1" applyFont="1" applyFill="1" applyBorder="1"/>
    <xf numFmtId="9" fontId="19" fillId="0" borderId="9" xfId="4" applyFont="1" applyBorder="1" applyAlignment="1">
      <alignment wrapText="1"/>
    </xf>
    <xf numFmtId="3" fontId="19" fillId="0" borderId="9" xfId="2" applyNumberFormat="1" applyFont="1" applyBorder="1"/>
    <xf numFmtId="0" fontId="19" fillId="0" borderId="0" xfId="2" applyFont="1"/>
    <xf numFmtId="3" fontId="2" fillId="10" borderId="9" xfId="2" applyNumberFormat="1" applyFont="1" applyFill="1" applyBorder="1"/>
    <xf numFmtId="3" fontId="11" fillId="3" borderId="9" xfId="2" applyNumberFormat="1" applyFont="1" applyFill="1" applyBorder="1"/>
    <xf numFmtId="164" fontId="6" fillId="0" borderId="9" xfId="1" applyNumberFormat="1" applyFont="1" applyFill="1" applyBorder="1"/>
    <xf numFmtId="9" fontId="19" fillId="0" borderId="9" xfId="4" applyFont="1" applyFill="1" applyBorder="1" applyAlignment="1">
      <alignment wrapText="1"/>
    </xf>
    <xf numFmtId="49" fontId="2" fillId="13" borderId="7" xfId="2" applyNumberFormat="1" applyFont="1" applyFill="1" applyBorder="1" applyAlignment="1">
      <alignment horizontal="left" indent="1"/>
    </xf>
    <xf numFmtId="49" fontId="8" fillId="2" borderId="8" xfId="2" applyNumberFormat="1" applyFont="1" applyFill="1" applyBorder="1" applyAlignment="1">
      <alignment horizontal="left" wrapText="1" indent="2"/>
    </xf>
    <xf numFmtId="9" fontId="19" fillId="6" borderId="9" xfId="4" applyFont="1" applyFill="1" applyBorder="1" applyAlignment="1">
      <alignment wrapText="1"/>
    </xf>
    <xf numFmtId="9" fontId="19" fillId="2" borderId="9" xfId="4" applyFont="1" applyFill="1" applyBorder="1" applyAlignment="1">
      <alignment wrapText="1"/>
    </xf>
    <xf numFmtId="0" fontId="2" fillId="10" borderId="8" xfId="2" applyFont="1" applyFill="1" applyBorder="1" applyAlignment="1">
      <alignment horizontal="left" indent="2"/>
    </xf>
    <xf numFmtId="9" fontId="2" fillId="0" borderId="12" xfId="4" applyFont="1" applyFill="1" applyBorder="1" applyAlignment="1">
      <alignment wrapText="1"/>
    </xf>
    <xf numFmtId="3" fontId="6" fillId="2" borderId="9" xfId="2" applyNumberFormat="1" applyFont="1" applyFill="1" applyBorder="1"/>
    <xf numFmtId="0" fontId="14" fillId="10" borderId="0" xfId="2" applyFont="1" applyFill="1"/>
    <xf numFmtId="0" fontId="2" fillId="10" borderId="29" xfId="2" applyFont="1" applyFill="1" applyBorder="1" applyAlignment="1">
      <alignment horizontal="left" indent="3"/>
    </xf>
    <xf numFmtId="164" fontId="2" fillId="10" borderId="9" xfId="1" applyNumberFormat="1" applyFont="1" applyFill="1" applyBorder="1"/>
    <xf numFmtId="164" fontId="6" fillId="10" borderId="9" xfId="1" applyNumberFormat="1" applyFont="1" applyFill="1" applyBorder="1"/>
    <xf numFmtId="0" fontId="14" fillId="10" borderId="0" xfId="2" applyFont="1" applyFill="1" applyAlignment="1">
      <alignment wrapText="1"/>
    </xf>
    <xf numFmtId="9" fontId="2" fillId="10" borderId="9" xfId="4" applyFont="1" applyFill="1" applyBorder="1"/>
    <xf numFmtId="0" fontId="14" fillId="10" borderId="8" xfId="2" applyFont="1" applyFill="1" applyBorder="1" applyAlignment="1">
      <alignment horizontal="left" indent="2"/>
    </xf>
    <xf numFmtId="0" fontId="14" fillId="0" borderId="8" xfId="2" applyFont="1" applyBorder="1" applyAlignment="1">
      <alignment horizontal="left" indent="2"/>
    </xf>
    <xf numFmtId="0" fontId="2" fillId="0" borderId="29" xfId="2" applyFont="1" applyBorder="1" applyAlignment="1">
      <alignment horizontal="left" indent="3"/>
    </xf>
    <xf numFmtId="0" fontId="14" fillId="13" borderId="8" xfId="2" applyFont="1" applyFill="1" applyBorder="1" applyAlignment="1">
      <alignment horizontal="left" indent="2"/>
    </xf>
    <xf numFmtId="0" fontId="2" fillId="0" borderId="0" xfId="2" applyFont="1" applyAlignment="1">
      <alignment horizontal="right"/>
    </xf>
    <xf numFmtId="3" fontId="2" fillId="4" borderId="9" xfId="2" applyNumberFormat="1" applyFont="1" applyFill="1" applyBorder="1"/>
    <xf numFmtId="164" fontId="2" fillId="4" borderId="9" xfId="1" applyNumberFormat="1" applyFont="1" applyFill="1" applyBorder="1"/>
    <xf numFmtId="164" fontId="6" fillId="4" borderId="9" xfId="1" applyNumberFormat="1" applyFont="1" applyFill="1" applyBorder="1"/>
    <xf numFmtId="9" fontId="2" fillId="0" borderId="11" xfId="4" applyFont="1" applyFill="1" applyBorder="1" applyAlignment="1">
      <alignment wrapText="1"/>
    </xf>
    <xf numFmtId="0" fontId="2" fillId="4" borderId="0" xfId="2" quotePrefix="1" applyFont="1" applyFill="1"/>
    <xf numFmtId="0" fontId="2" fillId="4" borderId="0" xfId="2" applyFont="1" applyFill="1"/>
    <xf numFmtId="49" fontId="2" fillId="4" borderId="7" xfId="2" applyNumberFormat="1" applyFont="1" applyFill="1" applyBorder="1" applyAlignment="1">
      <alignment horizontal="left" indent="2"/>
    </xf>
    <xf numFmtId="49" fontId="2" fillId="4" borderId="8" xfId="2" applyNumberFormat="1" applyFont="1" applyFill="1" applyBorder="1" applyAlignment="1">
      <alignment horizontal="left" wrapText="1" indent="4"/>
    </xf>
    <xf numFmtId="0" fontId="21" fillId="0" borderId="0" xfId="2" quotePrefix="1" applyFont="1"/>
    <xf numFmtId="164" fontId="19" fillId="0" borderId="9" xfId="1" applyNumberFormat="1" applyFont="1" applyBorder="1"/>
    <xf numFmtId="164" fontId="20" fillId="0" borderId="9" xfId="1" applyNumberFormat="1" applyFont="1" applyBorder="1"/>
    <xf numFmtId="0" fontId="21" fillId="0" borderId="0" xfId="2" applyFont="1"/>
    <xf numFmtId="3" fontId="11" fillId="2" borderId="9" xfId="2" applyNumberFormat="1" applyFont="1" applyFill="1" applyBorder="1"/>
    <xf numFmtId="0" fontId="22" fillId="0" borderId="0" xfId="2" applyFont="1"/>
    <xf numFmtId="9" fontId="8" fillId="6" borderId="9" xfId="4" applyFont="1" applyFill="1" applyBorder="1" applyAlignment="1">
      <alignment wrapText="1"/>
    </xf>
    <xf numFmtId="0" fontId="22" fillId="0" borderId="0" xfId="2" quotePrefix="1" applyFont="1"/>
    <xf numFmtId="49" fontId="10" fillId="0" borderId="7" xfId="2" applyNumberFormat="1" applyFont="1" applyBorder="1" applyAlignment="1">
      <alignment horizontal="left" indent="2"/>
    </xf>
    <xf numFmtId="49" fontId="10" fillId="0" borderId="8" xfId="2" applyNumberFormat="1" applyFont="1" applyBorder="1" applyAlignment="1">
      <alignment horizontal="left" wrapText="1" indent="4"/>
    </xf>
    <xf numFmtId="3" fontId="10" fillId="0" borderId="9" xfId="2" applyNumberFormat="1" applyFont="1" applyBorder="1"/>
    <xf numFmtId="164" fontId="10" fillId="0" borderId="9" xfId="1" applyNumberFormat="1" applyFont="1" applyBorder="1"/>
    <xf numFmtId="164" fontId="11" fillId="0" borderId="9" xfId="1" applyNumberFormat="1" applyFont="1" applyBorder="1"/>
    <xf numFmtId="0" fontId="23" fillId="0" borderId="0" xfId="2" applyFont="1"/>
    <xf numFmtId="49" fontId="2" fillId="0" borderId="7" xfId="2" applyNumberFormat="1" applyFont="1" applyBorder="1" applyAlignment="1">
      <alignment horizontal="left" indent="3"/>
    </xf>
    <xf numFmtId="49" fontId="10" fillId="2" borderId="7" xfId="2" applyNumberFormat="1" applyFont="1" applyFill="1" applyBorder="1" applyAlignment="1">
      <alignment horizontal="left" indent="1"/>
    </xf>
    <xf numFmtId="9" fontId="15" fillId="0" borderId="9" xfId="4" applyFont="1" applyFill="1" applyBorder="1" applyAlignment="1">
      <alignment wrapText="1"/>
    </xf>
    <xf numFmtId="49" fontId="24" fillId="2" borderId="7" xfId="2" applyNumberFormat="1" applyFont="1" applyFill="1" applyBorder="1" applyAlignment="1">
      <alignment horizontal="left" indent="1"/>
    </xf>
    <xf numFmtId="49" fontId="25" fillId="2" borderId="8" xfId="2" applyNumberFormat="1" applyFont="1" applyFill="1" applyBorder="1" applyAlignment="1">
      <alignment horizontal="left" wrapText="1" indent="2"/>
    </xf>
    <xf numFmtId="0" fontId="10" fillId="0" borderId="0" xfId="2" quotePrefix="1" applyFont="1"/>
    <xf numFmtId="49" fontId="10" fillId="0" borderId="14" xfId="2" applyNumberFormat="1" applyFont="1" applyBorder="1"/>
    <xf numFmtId="49" fontId="10" fillId="0" borderId="15" xfId="2" applyNumberFormat="1" applyFont="1" applyBorder="1" applyAlignment="1">
      <alignment horizontal="right" wrapText="1"/>
    </xf>
    <xf numFmtId="3" fontId="10" fillId="0" borderId="30" xfId="2" applyNumberFormat="1" applyFont="1" applyBorder="1"/>
    <xf numFmtId="164" fontId="10" fillId="0" borderId="30" xfId="1" applyNumberFormat="1" applyFont="1" applyBorder="1"/>
    <xf numFmtId="3" fontId="11" fillId="0" borderId="30" xfId="2" applyNumberFormat="1" applyFont="1" applyBorder="1"/>
    <xf numFmtId="49" fontId="2" fillId="3" borderId="8" xfId="2" applyNumberFormat="1" applyFont="1" applyFill="1" applyBorder="1" applyAlignment="1">
      <alignment wrapText="1"/>
    </xf>
    <xf numFmtId="3" fontId="10" fillId="0" borderId="31" xfId="2" applyNumberFormat="1" applyFont="1" applyBorder="1"/>
    <xf numFmtId="164" fontId="10" fillId="0" borderId="31" xfId="1" applyNumberFormat="1" applyFont="1" applyBorder="1"/>
    <xf numFmtId="164" fontId="11" fillId="0" borderId="31" xfId="1" applyNumberFormat="1" applyFont="1" applyBorder="1"/>
    <xf numFmtId="9" fontId="2" fillId="0" borderId="31" xfId="4" applyFont="1" applyBorder="1"/>
    <xf numFmtId="49" fontId="10" fillId="3" borderId="32" xfId="2" applyNumberFormat="1" applyFont="1" applyFill="1" applyBorder="1" applyAlignment="1">
      <alignment horizontal="center"/>
    </xf>
    <xf numFmtId="49" fontId="10" fillId="3" borderId="33" xfId="2" applyNumberFormat="1" applyFont="1" applyFill="1" applyBorder="1" applyAlignment="1">
      <alignment wrapText="1"/>
    </xf>
    <xf numFmtId="3" fontId="10" fillId="3" borderId="34" xfId="2" applyNumberFormat="1" applyFont="1" applyFill="1" applyBorder="1"/>
    <xf numFmtId="164" fontId="10" fillId="3" borderId="34" xfId="1" applyNumberFormat="1" applyFont="1" applyFill="1" applyBorder="1"/>
    <xf numFmtId="164" fontId="11" fillId="3" borderId="34" xfId="1" applyNumberFormat="1" applyFont="1" applyFill="1" applyBorder="1"/>
    <xf numFmtId="9" fontId="10" fillId="3" borderId="34" xfId="4" applyFont="1" applyFill="1" applyBorder="1"/>
    <xf numFmtId="9" fontId="2" fillId="0" borderId="0" xfId="4" applyFont="1" applyAlignment="1">
      <alignment horizontal="right"/>
    </xf>
    <xf numFmtId="0" fontId="3" fillId="0" borderId="0" xfId="3" applyFont="1"/>
    <xf numFmtId="0" fontId="9" fillId="0" borderId="0" xfId="3" applyFont="1"/>
    <xf numFmtId="0" fontId="1" fillId="0" borderId="0" xfId="2"/>
    <xf numFmtId="9" fontId="2" fillId="0" borderId="11" xfId="4" applyFont="1" applyFill="1" applyBorder="1" applyAlignment="1">
      <alignment horizontal="left" vertical="center" wrapText="1"/>
    </xf>
    <xf numFmtId="9" fontId="2" fillId="0" borderId="12" xfId="4" applyFont="1" applyFill="1" applyBorder="1" applyAlignment="1">
      <alignment horizontal="left" vertical="center" wrapText="1"/>
    </xf>
    <xf numFmtId="9" fontId="2" fillId="0" borderId="11" xfId="4" applyFont="1" applyBorder="1" applyAlignment="1">
      <alignment horizontal="left" wrapText="1"/>
    </xf>
    <xf numFmtId="9" fontId="2" fillId="0" borderId="12" xfId="4" applyFont="1" applyBorder="1" applyAlignment="1">
      <alignment horizontal="left" wrapText="1"/>
    </xf>
    <xf numFmtId="9" fontId="2" fillId="0" borderId="11" xfId="4" applyFont="1" applyFill="1" applyBorder="1" applyAlignment="1">
      <alignment horizontal="left" wrapText="1"/>
    </xf>
    <xf numFmtId="9" fontId="2" fillId="0" borderId="12" xfId="4" applyFont="1" applyFill="1" applyBorder="1" applyAlignment="1">
      <alignment horizontal="left" wrapText="1"/>
    </xf>
  </cellXfs>
  <cellStyles count="9">
    <cellStyle name="Comma" xfId="1" builtinId="3"/>
    <cellStyle name="Hyperlink" xfId="6" builtinId="8"/>
    <cellStyle name="Komats 10" xfId="5" xr:uid="{D5FD471C-A50D-4294-8D64-88A61E6000D0}"/>
    <cellStyle name="Normal" xfId="0" builtinId="0"/>
    <cellStyle name="Normal 2 2" xfId="7" xr:uid="{9076C56A-7ABF-4C0A-9501-6AA1077A8A28}"/>
    <cellStyle name="Parasts 2 2 5" xfId="2" xr:uid="{BED56154-49C8-42D9-8E19-9C19E46B32E3}"/>
    <cellStyle name="Parasts 2 2 5 2" xfId="3" xr:uid="{43F2B63C-64C0-405F-BF09-F07320D4F7B4}"/>
    <cellStyle name="Percent 4" xfId="8" xr:uid="{DD65275B-F5CB-4BB8-B15E-BA730DEE7FA4}"/>
    <cellStyle name="Procenti 2 3" xfId="4" xr:uid="{8D473081-2C84-4927-BC53-BFE708935C14}"/>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4200-F745-48C6-87A2-68FC7A934100}">
  <sheetPr>
    <tabColor rgb="FF92D050"/>
  </sheetPr>
  <dimension ref="A1:L291"/>
  <sheetViews>
    <sheetView tabSelected="1" zoomScale="98" zoomScaleNormal="98" zoomScaleSheetLayoutView="80" workbookViewId="0">
      <pane xSplit="4" ySplit="5" topLeftCell="F6" activePane="bottomRight" state="frozen"/>
      <selection activeCell="C1" sqref="C1"/>
      <selection pane="topRight" activeCell="E1" sqref="E1"/>
      <selection pane="bottomLeft" activeCell="C6" sqref="C6"/>
      <selection pane="bottomRight" activeCell="L8" sqref="L8"/>
    </sheetView>
  </sheetViews>
  <sheetFormatPr defaultRowHeight="15" outlineLevelRow="1" outlineLevelCol="2" x14ac:dyDescent="0.25"/>
  <cols>
    <col min="1" max="1" width="7" style="1" hidden="1" customWidth="1" outlineLevel="2"/>
    <col min="2" max="2" width="10.140625" style="1" hidden="1" customWidth="1" outlineLevel="2"/>
    <col min="3" max="3" width="13.28515625" style="125" customWidth="1" collapsed="1"/>
    <col min="4" max="4" width="39.140625" style="4" customWidth="1"/>
    <col min="5" max="5" width="13.28515625" style="10" hidden="1" customWidth="1" outlineLevel="1"/>
    <col min="6" max="7" width="13.28515625" style="9" customWidth="1" collapsed="1"/>
    <col min="8" max="8" width="13.28515625" style="1" hidden="1" customWidth="1" outlineLevel="1"/>
    <col min="9" max="9" width="62.85546875" style="15" hidden="1" customWidth="1" outlineLevel="1" collapsed="1"/>
    <col min="10" max="10" width="13.28515625" style="9" customWidth="1" collapsed="1"/>
    <col min="11" max="11" width="13.28515625" style="1" customWidth="1"/>
    <col min="12" max="12" width="62.85546875" style="15" customWidth="1" collapsed="1"/>
    <col min="13" max="173" width="8.85546875" style="1"/>
    <col min="174" max="175" width="0" style="1" hidden="1" customWidth="1"/>
    <col min="176" max="176" width="12.28515625" style="1" customWidth="1"/>
    <col min="177" max="177" width="47" style="1" customWidth="1"/>
    <col min="178" max="217" width="0" style="1" hidden="1" customWidth="1"/>
    <col min="218" max="219" width="13.28515625" style="1" customWidth="1"/>
    <col min="220" max="221" width="0" style="1" hidden="1" customWidth="1"/>
    <col min="222" max="222" width="13.28515625" style="1" customWidth="1"/>
    <col min="223" max="224" width="0" style="1" hidden="1" customWidth="1"/>
    <col min="225" max="225" width="13.28515625" style="1" customWidth="1"/>
    <col min="226" max="227" width="0" style="1" hidden="1" customWidth="1"/>
    <col min="228" max="228" width="13.28515625" style="1" customWidth="1"/>
    <col min="229" max="230" width="0" style="1" hidden="1" customWidth="1"/>
    <col min="231" max="231" width="13.28515625" style="1" customWidth="1"/>
    <col min="232" max="233" width="0" style="1" hidden="1" customWidth="1"/>
    <col min="234" max="235" width="13.28515625" style="1" customWidth="1"/>
    <col min="236" max="236" width="39.42578125" style="1" customWidth="1"/>
    <col min="237" max="241" width="13.28515625" style="1" customWidth="1"/>
    <col min="242" max="242" width="56.7109375" style="1" customWidth="1"/>
    <col min="243" max="243" width="11.7109375" style="1" customWidth="1"/>
    <col min="244" max="429" width="8.85546875" style="1"/>
    <col min="430" max="431" width="0" style="1" hidden="1" customWidth="1"/>
    <col min="432" max="432" width="12.28515625" style="1" customWidth="1"/>
    <col min="433" max="433" width="47" style="1" customWidth="1"/>
    <col min="434" max="473" width="0" style="1" hidden="1" customWidth="1"/>
    <col min="474" max="475" width="13.28515625" style="1" customWidth="1"/>
    <col min="476" max="477" width="0" style="1" hidden="1" customWidth="1"/>
    <col min="478" max="478" width="13.28515625" style="1" customWidth="1"/>
    <col min="479" max="480" width="0" style="1" hidden="1" customWidth="1"/>
    <col min="481" max="481" width="13.28515625" style="1" customWidth="1"/>
    <col min="482" max="483" width="0" style="1" hidden="1" customWidth="1"/>
    <col min="484" max="484" width="13.28515625" style="1" customWidth="1"/>
    <col min="485" max="486" width="0" style="1" hidden="1" customWidth="1"/>
    <col min="487" max="487" width="13.28515625" style="1" customWidth="1"/>
    <col min="488" max="489" width="0" style="1" hidden="1" customWidth="1"/>
    <col min="490" max="491" width="13.28515625" style="1" customWidth="1"/>
    <col min="492" max="492" width="39.42578125" style="1" customWidth="1"/>
    <col min="493" max="497" width="13.28515625" style="1" customWidth="1"/>
    <col min="498" max="498" width="56.7109375" style="1" customWidth="1"/>
    <col min="499" max="499" width="11.7109375" style="1" customWidth="1"/>
    <col min="500" max="685" width="8.85546875" style="1"/>
    <col min="686" max="687" width="0" style="1" hidden="1" customWidth="1"/>
    <col min="688" max="688" width="12.28515625" style="1" customWidth="1"/>
    <col min="689" max="689" width="47" style="1" customWidth="1"/>
    <col min="690" max="729" width="0" style="1" hidden="1" customWidth="1"/>
    <col min="730" max="731" width="13.28515625" style="1" customWidth="1"/>
    <col min="732" max="733" width="0" style="1" hidden="1" customWidth="1"/>
    <col min="734" max="734" width="13.28515625" style="1" customWidth="1"/>
    <col min="735" max="736" width="0" style="1" hidden="1" customWidth="1"/>
    <col min="737" max="737" width="13.28515625" style="1" customWidth="1"/>
    <col min="738" max="739" width="0" style="1" hidden="1" customWidth="1"/>
    <col min="740" max="740" width="13.28515625" style="1" customWidth="1"/>
    <col min="741" max="742" width="0" style="1" hidden="1" customWidth="1"/>
    <col min="743" max="743" width="13.28515625" style="1" customWidth="1"/>
    <col min="744" max="745" width="0" style="1" hidden="1" customWidth="1"/>
    <col min="746" max="747" width="13.28515625" style="1" customWidth="1"/>
    <col min="748" max="748" width="39.42578125" style="1" customWidth="1"/>
    <col min="749" max="753" width="13.28515625" style="1" customWidth="1"/>
    <col min="754" max="754" width="56.7109375" style="1" customWidth="1"/>
    <col min="755" max="755" width="11.7109375" style="1" customWidth="1"/>
    <col min="756" max="941" width="8.85546875" style="1"/>
    <col min="942" max="943" width="0" style="1" hidden="1" customWidth="1"/>
    <col min="944" max="944" width="12.28515625" style="1" customWidth="1"/>
    <col min="945" max="945" width="47" style="1" customWidth="1"/>
    <col min="946" max="985" width="0" style="1" hidden="1" customWidth="1"/>
    <col min="986" max="987" width="13.28515625" style="1" customWidth="1"/>
    <col min="988" max="989" width="0" style="1" hidden="1" customWidth="1"/>
    <col min="990" max="990" width="13.28515625" style="1" customWidth="1"/>
    <col min="991" max="992" width="0" style="1" hidden="1" customWidth="1"/>
    <col min="993" max="993" width="13.28515625" style="1" customWidth="1"/>
    <col min="994" max="995" width="0" style="1" hidden="1" customWidth="1"/>
    <col min="996" max="996" width="13.28515625" style="1" customWidth="1"/>
    <col min="997" max="998" width="0" style="1" hidden="1" customWidth="1"/>
    <col min="999" max="999" width="13.28515625" style="1" customWidth="1"/>
    <col min="1000" max="1001" width="0" style="1" hidden="1" customWidth="1"/>
    <col min="1002" max="1003" width="13.28515625" style="1" customWidth="1"/>
    <col min="1004" max="1004" width="39.42578125" style="1" customWidth="1"/>
    <col min="1005" max="1009" width="13.28515625" style="1" customWidth="1"/>
    <col min="1010" max="1010" width="56.7109375" style="1" customWidth="1"/>
    <col min="1011" max="1011" width="11.7109375" style="1" customWidth="1"/>
    <col min="1012" max="1197" width="8.85546875" style="1"/>
    <col min="1198" max="1199" width="0" style="1" hidden="1" customWidth="1"/>
    <col min="1200" max="1200" width="12.28515625" style="1" customWidth="1"/>
    <col min="1201" max="1201" width="47" style="1" customWidth="1"/>
    <col min="1202" max="1241" width="0" style="1" hidden="1" customWidth="1"/>
    <col min="1242" max="1243" width="13.28515625" style="1" customWidth="1"/>
    <col min="1244" max="1245" width="0" style="1" hidden="1" customWidth="1"/>
    <col min="1246" max="1246" width="13.28515625" style="1" customWidth="1"/>
    <col min="1247" max="1248" width="0" style="1" hidden="1" customWidth="1"/>
    <col min="1249" max="1249" width="13.28515625" style="1" customWidth="1"/>
    <col min="1250" max="1251" width="0" style="1" hidden="1" customWidth="1"/>
    <col min="1252" max="1252" width="13.28515625" style="1" customWidth="1"/>
    <col min="1253" max="1254" width="0" style="1" hidden="1" customWidth="1"/>
    <col min="1255" max="1255" width="13.28515625" style="1" customWidth="1"/>
    <col min="1256" max="1257" width="0" style="1" hidden="1" customWidth="1"/>
    <col min="1258" max="1259" width="13.28515625" style="1" customWidth="1"/>
    <col min="1260" max="1260" width="39.42578125" style="1" customWidth="1"/>
    <col min="1261" max="1265" width="13.28515625" style="1" customWidth="1"/>
    <col min="1266" max="1266" width="56.7109375" style="1" customWidth="1"/>
    <col min="1267" max="1267" width="11.7109375" style="1" customWidth="1"/>
    <col min="1268" max="1453" width="8.85546875" style="1"/>
    <col min="1454" max="1455" width="0" style="1" hidden="1" customWidth="1"/>
    <col min="1456" max="1456" width="12.28515625" style="1" customWidth="1"/>
    <col min="1457" max="1457" width="47" style="1" customWidth="1"/>
    <col min="1458" max="1497" width="0" style="1" hidden="1" customWidth="1"/>
    <col min="1498" max="1499" width="13.28515625" style="1" customWidth="1"/>
    <col min="1500" max="1501" width="0" style="1" hidden="1" customWidth="1"/>
    <col min="1502" max="1502" width="13.28515625" style="1" customWidth="1"/>
    <col min="1503" max="1504" width="0" style="1" hidden="1" customWidth="1"/>
    <col min="1505" max="1505" width="13.28515625" style="1" customWidth="1"/>
    <col min="1506" max="1507" width="0" style="1" hidden="1" customWidth="1"/>
    <col min="1508" max="1508" width="13.28515625" style="1" customWidth="1"/>
    <col min="1509" max="1510" width="0" style="1" hidden="1" customWidth="1"/>
    <col min="1511" max="1511" width="13.28515625" style="1" customWidth="1"/>
    <col min="1512" max="1513" width="0" style="1" hidden="1" customWidth="1"/>
    <col min="1514" max="1515" width="13.28515625" style="1" customWidth="1"/>
    <col min="1516" max="1516" width="39.42578125" style="1" customWidth="1"/>
    <col min="1517" max="1521" width="13.28515625" style="1" customWidth="1"/>
    <col min="1522" max="1522" width="56.7109375" style="1" customWidth="1"/>
    <col min="1523" max="1523" width="11.7109375" style="1" customWidth="1"/>
    <col min="1524" max="1709" width="8.85546875" style="1"/>
    <col min="1710" max="1711" width="0" style="1" hidden="1" customWidth="1"/>
    <col min="1712" max="1712" width="12.28515625" style="1" customWidth="1"/>
    <col min="1713" max="1713" width="47" style="1" customWidth="1"/>
    <col min="1714" max="1753" width="0" style="1" hidden="1" customWidth="1"/>
    <col min="1754" max="1755" width="13.28515625" style="1" customWidth="1"/>
    <col min="1756" max="1757" width="0" style="1" hidden="1" customWidth="1"/>
    <col min="1758" max="1758" width="13.28515625" style="1" customWidth="1"/>
    <col min="1759" max="1760" width="0" style="1" hidden="1" customWidth="1"/>
    <col min="1761" max="1761" width="13.28515625" style="1" customWidth="1"/>
    <col min="1762" max="1763" width="0" style="1" hidden="1" customWidth="1"/>
    <col min="1764" max="1764" width="13.28515625" style="1" customWidth="1"/>
    <col min="1765" max="1766" width="0" style="1" hidden="1" customWidth="1"/>
    <col min="1767" max="1767" width="13.28515625" style="1" customWidth="1"/>
    <col min="1768" max="1769" width="0" style="1" hidden="1" customWidth="1"/>
    <col min="1770" max="1771" width="13.28515625" style="1" customWidth="1"/>
    <col min="1772" max="1772" width="39.42578125" style="1" customWidth="1"/>
    <col min="1773" max="1777" width="13.28515625" style="1" customWidth="1"/>
    <col min="1778" max="1778" width="56.7109375" style="1" customWidth="1"/>
    <col min="1779" max="1779" width="11.7109375" style="1" customWidth="1"/>
    <col min="1780" max="1965" width="8.85546875" style="1"/>
    <col min="1966" max="1967" width="0" style="1" hidden="1" customWidth="1"/>
    <col min="1968" max="1968" width="12.28515625" style="1" customWidth="1"/>
    <col min="1969" max="1969" width="47" style="1" customWidth="1"/>
    <col min="1970" max="2009" width="0" style="1" hidden="1" customWidth="1"/>
    <col min="2010" max="2011" width="13.28515625" style="1" customWidth="1"/>
    <col min="2012" max="2013" width="0" style="1" hidden="1" customWidth="1"/>
    <col min="2014" max="2014" width="13.28515625" style="1" customWidth="1"/>
    <col min="2015" max="2016" width="0" style="1" hidden="1" customWidth="1"/>
    <col min="2017" max="2017" width="13.28515625" style="1" customWidth="1"/>
    <col min="2018" max="2019" width="0" style="1" hidden="1" customWidth="1"/>
    <col min="2020" max="2020" width="13.28515625" style="1" customWidth="1"/>
    <col min="2021" max="2022" width="0" style="1" hidden="1" customWidth="1"/>
    <col min="2023" max="2023" width="13.28515625" style="1" customWidth="1"/>
    <col min="2024" max="2025" width="0" style="1" hidden="1" customWidth="1"/>
    <col min="2026" max="2027" width="13.28515625" style="1" customWidth="1"/>
    <col min="2028" max="2028" width="39.42578125" style="1" customWidth="1"/>
    <col min="2029" max="2033" width="13.28515625" style="1" customWidth="1"/>
    <col min="2034" max="2034" width="56.7109375" style="1" customWidth="1"/>
    <col min="2035" max="2035" width="11.7109375" style="1" customWidth="1"/>
    <col min="2036" max="2221" width="8.85546875" style="1"/>
    <col min="2222" max="2223" width="0" style="1" hidden="1" customWidth="1"/>
    <col min="2224" max="2224" width="12.28515625" style="1" customWidth="1"/>
    <col min="2225" max="2225" width="47" style="1" customWidth="1"/>
    <col min="2226" max="2265" width="0" style="1" hidden="1" customWidth="1"/>
    <col min="2266" max="2267" width="13.28515625" style="1" customWidth="1"/>
    <col min="2268" max="2269" width="0" style="1" hidden="1" customWidth="1"/>
    <col min="2270" max="2270" width="13.28515625" style="1" customWidth="1"/>
    <col min="2271" max="2272" width="0" style="1" hidden="1" customWidth="1"/>
    <col min="2273" max="2273" width="13.28515625" style="1" customWidth="1"/>
    <col min="2274" max="2275" width="0" style="1" hidden="1" customWidth="1"/>
    <col min="2276" max="2276" width="13.28515625" style="1" customWidth="1"/>
    <col min="2277" max="2278" width="0" style="1" hidden="1" customWidth="1"/>
    <col min="2279" max="2279" width="13.28515625" style="1" customWidth="1"/>
    <col min="2280" max="2281" width="0" style="1" hidden="1" customWidth="1"/>
    <col min="2282" max="2283" width="13.28515625" style="1" customWidth="1"/>
    <col min="2284" max="2284" width="39.42578125" style="1" customWidth="1"/>
    <col min="2285" max="2289" width="13.28515625" style="1" customWidth="1"/>
    <col min="2290" max="2290" width="56.7109375" style="1" customWidth="1"/>
    <col min="2291" max="2291" width="11.7109375" style="1" customWidth="1"/>
    <col min="2292" max="2477" width="8.85546875" style="1"/>
    <col min="2478" max="2479" width="0" style="1" hidden="1" customWidth="1"/>
    <col min="2480" max="2480" width="12.28515625" style="1" customWidth="1"/>
    <col min="2481" max="2481" width="47" style="1" customWidth="1"/>
    <col min="2482" max="2521" width="0" style="1" hidden="1" customWidth="1"/>
    <col min="2522" max="2523" width="13.28515625" style="1" customWidth="1"/>
    <col min="2524" max="2525" width="0" style="1" hidden="1" customWidth="1"/>
    <col min="2526" max="2526" width="13.28515625" style="1" customWidth="1"/>
    <col min="2527" max="2528" width="0" style="1" hidden="1" customWidth="1"/>
    <col min="2529" max="2529" width="13.28515625" style="1" customWidth="1"/>
    <col min="2530" max="2531" width="0" style="1" hidden="1" customWidth="1"/>
    <col min="2532" max="2532" width="13.28515625" style="1" customWidth="1"/>
    <col min="2533" max="2534" width="0" style="1" hidden="1" customWidth="1"/>
    <col min="2535" max="2535" width="13.28515625" style="1" customWidth="1"/>
    <col min="2536" max="2537" width="0" style="1" hidden="1" customWidth="1"/>
    <col min="2538" max="2539" width="13.28515625" style="1" customWidth="1"/>
    <col min="2540" max="2540" width="39.42578125" style="1" customWidth="1"/>
    <col min="2541" max="2545" width="13.28515625" style="1" customWidth="1"/>
    <col min="2546" max="2546" width="56.7109375" style="1" customWidth="1"/>
    <col min="2547" max="2547" width="11.7109375" style="1" customWidth="1"/>
    <col min="2548" max="2733" width="8.85546875" style="1"/>
    <col min="2734" max="2735" width="0" style="1" hidden="1" customWidth="1"/>
    <col min="2736" max="2736" width="12.28515625" style="1" customWidth="1"/>
    <col min="2737" max="2737" width="47" style="1" customWidth="1"/>
    <col min="2738" max="2777" width="0" style="1" hidden="1" customWidth="1"/>
    <col min="2778" max="2779" width="13.28515625" style="1" customWidth="1"/>
    <col min="2780" max="2781" width="0" style="1" hidden="1" customWidth="1"/>
    <col min="2782" max="2782" width="13.28515625" style="1" customWidth="1"/>
    <col min="2783" max="2784" width="0" style="1" hidden="1" customWidth="1"/>
    <col min="2785" max="2785" width="13.28515625" style="1" customWidth="1"/>
    <col min="2786" max="2787" width="0" style="1" hidden="1" customWidth="1"/>
    <col min="2788" max="2788" width="13.28515625" style="1" customWidth="1"/>
    <col min="2789" max="2790" width="0" style="1" hidden="1" customWidth="1"/>
    <col min="2791" max="2791" width="13.28515625" style="1" customWidth="1"/>
    <col min="2792" max="2793" width="0" style="1" hidden="1" customWidth="1"/>
    <col min="2794" max="2795" width="13.28515625" style="1" customWidth="1"/>
    <col min="2796" max="2796" width="39.42578125" style="1" customWidth="1"/>
    <col min="2797" max="2801" width="13.28515625" style="1" customWidth="1"/>
    <col min="2802" max="2802" width="56.7109375" style="1" customWidth="1"/>
    <col min="2803" max="2803" width="11.7109375" style="1" customWidth="1"/>
    <col min="2804" max="2989" width="8.85546875" style="1"/>
    <col min="2990" max="2991" width="0" style="1" hidden="1" customWidth="1"/>
    <col min="2992" max="2992" width="12.28515625" style="1" customWidth="1"/>
    <col min="2993" max="2993" width="47" style="1" customWidth="1"/>
    <col min="2994" max="3033" width="0" style="1" hidden="1" customWidth="1"/>
    <col min="3034" max="3035" width="13.28515625" style="1" customWidth="1"/>
    <col min="3036" max="3037" width="0" style="1" hidden="1" customWidth="1"/>
    <col min="3038" max="3038" width="13.28515625" style="1" customWidth="1"/>
    <col min="3039" max="3040" width="0" style="1" hidden="1" customWidth="1"/>
    <col min="3041" max="3041" width="13.28515625" style="1" customWidth="1"/>
    <col min="3042" max="3043" width="0" style="1" hidden="1" customWidth="1"/>
    <col min="3044" max="3044" width="13.28515625" style="1" customWidth="1"/>
    <col min="3045" max="3046" width="0" style="1" hidden="1" customWidth="1"/>
    <col min="3047" max="3047" width="13.28515625" style="1" customWidth="1"/>
    <col min="3048" max="3049" width="0" style="1" hidden="1" customWidth="1"/>
    <col min="3050" max="3051" width="13.28515625" style="1" customWidth="1"/>
    <col min="3052" max="3052" width="39.42578125" style="1" customWidth="1"/>
    <col min="3053" max="3057" width="13.28515625" style="1" customWidth="1"/>
    <col min="3058" max="3058" width="56.7109375" style="1" customWidth="1"/>
    <col min="3059" max="3059" width="11.7109375" style="1" customWidth="1"/>
    <col min="3060" max="3245" width="8.85546875" style="1"/>
    <col min="3246" max="3247" width="0" style="1" hidden="1" customWidth="1"/>
    <col min="3248" max="3248" width="12.28515625" style="1" customWidth="1"/>
    <col min="3249" max="3249" width="47" style="1" customWidth="1"/>
    <col min="3250" max="3289" width="0" style="1" hidden="1" customWidth="1"/>
    <col min="3290" max="3291" width="13.28515625" style="1" customWidth="1"/>
    <col min="3292" max="3293" width="0" style="1" hidden="1" customWidth="1"/>
    <col min="3294" max="3294" width="13.28515625" style="1" customWidth="1"/>
    <col min="3295" max="3296" width="0" style="1" hidden="1" customWidth="1"/>
    <col min="3297" max="3297" width="13.28515625" style="1" customWidth="1"/>
    <col min="3298" max="3299" width="0" style="1" hidden="1" customWidth="1"/>
    <col min="3300" max="3300" width="13.28515625" style="1" customWidth="1"/>
    <col min="3301" max="3302" width="0" style="1" hidden="1" customWidth="1"/>
    <col min="3303" max="3303" width="13.28515625" style="1" customWidth="1"/>
    <col min="3304" max="3305" width="0" style="1" hidden="1" customWidth="1"/>
    <col min="3306" max="3307" width="13.28515625" style="1" customWidth="1"/>
    <col min="3308" max="3308" width="39.42578125" style="1" customWidth="1"/>
    <col min="3309" max="3313" width="13.28515625" style="1" customWidth="1"/>
    <col min="3314" max="3314" width="56.7109375" style="1" customWidth="1"/>
    <col min="3315" max="3315" width="11.7109375" style="1" customWidth="1"/>
    <col min="3316" max="3501" width="8.85546875" style="1"/>
    <col min="3502" max="3503" width="0" style="1" hidden="1" customWidth="1"/>
    <col min="3504" max="3504" width="12.28515625" style="1" customWidth="1"/>
    <col min="3505" max="3505" width="47" style="1" customWidth="1"/>
    <col min="3506" max="3545" width="0" style="1" hidden="1" customWidth="1"/>
    <col min="3546" max="3547" width="13.28515625" style="1" customWidth="1"/>
    <col min="3548" max="3549" width="0" style="1" hidden="1" customWidth="1"/>
    <col min="3550" max="3550" width="13.28515625" style="1" customWidth="1"/>
    <col min="3551" max="3552" width="0" style="1" hidden="1" customWidth="1"/>
    <col min="3553" max="3553" width="13.28515625" style="1" customWidth="1"/>
    <col min="3554" max="3555" width="0" style="1" hidden="1" customWidth="1"/>
    <col min="3556" max="3556" width="13.28515625" style="1" customWidth="1"/>
    <col min="3557" max="3558" width="0" style="1" hidden="1" customWidth="1"/>
    <col min="3559" max="3559" width="13.28515625" style="1" customWidth="1"/>
    <col min="3560" max="3561" width="0" style="1" hidden="1" customWidth="1"/>
    <col min="3562" max="3563" width="13.28515625" style="1" customWidth="1"/>
    <col min="3564" max="3564" width="39.42578125" style="1" customWidth="1"/>
    <col min="3565" max="3569" width="13.28515625" style="1" customWidth="1"/>
    <col min="3570" max="3570" width="56.7109375" style="1" customWidth="1"/>
    <col min="3571" max="3571" width="11.7109375" style="1" customWidth="1"/>
    <col min="3572" max="3757" width="8.85546875" style="1"/>
    <col min="3758" max="3759" width="0" style="1" hidden="1" customWidth="1"/>
    <col min="3760" max="3760" width="12.28515625" style="1" customWidth="1"/>
    <col min="3761" max="3761" width="47" style="1" customWidth="1"/>
    <col min="3762" max="3801" width="0" style="1" hidden="1" customWidth="1"/>
    <col min="3802" max="3803" width="13.28515625" style="1" customWidth="1"/>
    <col min="3804" max="3805" width="0" style="1" hidden="1" customWidth="1"/>
    <col min="3806" max="3806" width="13.28515625" style="1" customWidth="1"/>
    <col min="3807" max="3808" width="0" style="1" hidden="1" customWidth="1"/>
    <col min="3809" max="3809" width="13.28515625" style="1" customWidth="1"/>
    <col min="3810" max="3811" width="0" style="1" hidden="1" customWidth="1"/>
    <col min="3812" max="3812" width="13.28515625" style="1" customWidth="1"/>
    <col min="3813" max="3814" width="0" style="1" hidden="1" customWidth="1"/>
    <col min="3815" max="3815" width="13.28515625" style="1" customWidth="1"/>
    <col min="3816" max="3817" width="0" style="1" hidden="1" customWidth="1"/>
    <col min="3818" max="3819" width="13.28515625" style="1" customWidth="1"/>
    <col min="3820" max="3820" width="39.42578125" style="1" customWidth="1"/>
    <col min="3821" max="3825" width="13.28515625" style="1" customWidth="1"/>
    <col min="3826" max="3826" width="56.7109375" style="1" customWidth="1"/>
    <col min="3827" max="3827" width="11.7109375" style="1" customWidth="1"/>
    <col min="3828" max="4013" width="8.85546875" style="1"/>
    <col min="4014" max="4015" width="0" style="1" hidden="1" customWidth="1"/>
    <col min="4016" max="4016" width="12.28515625" style="1" customWidth="1"/>
    <col min="4017" max="4017" width="47" style="1" customWidth="1"/>
    <col min="4018" max="4057" width="0" style="1" hidden="1" customWidth="1"/>
    <col min="4058" max="4059" width="13.28515625" style="1" customWidth="1"/>
    <col min="4060" max="4061" width="0" style="1" hidden="1" customWidth="1"/>
    <col min="4062" max="4062" width="13.28515625" style="1" customWidth="1"/>
    <col min="4063" max="4064" width="0" style="1" hidden="1" customWidth="1"/>
    <col min="4065" max="4065" width="13.28515625" style="1" customWidth="1"/>
    <col min="4066" max="4067" width="0" style="1" hidden="1" customWidth="1"/>
    <col min="4068" max="4068" width="13.28515625" style="1" customWidth="1"/>
    <col min="4069" max="4070" width="0" style="1" hidden="1" customWidth="1"/>
    <col min="4071" max="4071" width="13.28515625" style="1" customWidth="1"/>
    <col min="4072" max="4073" width="0" style="1" hidden="1" customWidth="1"/>
    <col min="4074" max="4075" width="13.28515625" style="1" customWidth="1"/>
    <col min="4076" max="4076" width="39.42578125" style="1" customWidth="1"/>
    <col min="4077" max="4081" width="13.28515625" style="1" customWidth="1"/>
    <col min="4082" max="4082" width="56.7109375" style="1" customWidth="1"/>
    <col min="4083" max="4083" width="11.7109375" style="1" customWidth="1"/>
    <col min="4084" max="4269" width="8.85546875" style="1"/>
    <col min="4270" max="4271" width="0" style="1" hidden="1" customWidth="1"/>
    <col min="4272" max="4272" width="12.28515625" style="1" customWidth="1"/>
    <col min="4273" max="4273" width="47" style="1" customWidth="1"/>
    <col min="4274" max="4313" width="0" style="1" hidden="1" customWidth="1"/>
    <col min="4314" max="4315" width="13.28515625" style="1" customWidth="1"/>
    <col min="4316" max="4317" width="0" style="1" hidden="1" customWidth="1"/>
    <col min="4318" max="4318" width="13.28515625" style="1" customWidth="1"/>
    <col min="4319" max="4320" width="0" style="1" hidden="1" customWidth="1"/>
    <col min="4321" max="4321" width="13.28515625" style="1" customWidth="1"/>
    <col min="4322" max="4323" width="0" style="1" hidden="1" customWidth="1"/>
    <col min="4324" max="4324" width="13.28515625" style="1" customWidth="1"/>
    <col min="4325" max="4326" width="0" style="1" hidden="1" customWidth="1"/>
    <col min="4327" max="4327" width="13.28515625" style="1" customWidth="1"/>
    <col min="4328" max="4329" width="0" style="1" hidden="1" customWidth="1"/>
    <col min="4330" max="4331" width="13.28515625" style="1" customWidth="1"/>
    <col min="4332" max="4332" width="39.42578125" style="1" customWidth="1"/>
    <col min="4333" max="4337" width="13.28515625" style="1" customWidth="1"/>
    <col min="4338" max="4338" width="56.7109375" style="1" customWidth="1"/>
    <col min="4339" max="4339" width="11.7109375" style="1" customWidth="1"/>
    <col min="4340" max="4525" width="8.85546875" style="1"/>
    <col min="4526" max="4527" width="0" style="1" hidden="1" customWidth="1"/>
    <col min="4528" max="4528" width="12.28515625" style="1" customWidth="1"/>
    <col min="4529" max="4529" width="47" style="1" customWidth="1"/>
    <col min="4530" max="4569" width="0" style="1" hidden="1" customWidth="1"/>
    <col min="4570" max="4571" width="13.28515625" style="1" customWidth="1"/>
    <col min="4572" max="4573" width="0" style="1" hidden="1" customWidth="1"/>
    <col min="4574" max="4574" width="13.28515625" style="1" customWidth="1"/>
    <col min="4575" max="4576" width="0" style="1" hidden="1" customWidth="1"/>
    <col min="4577" max="4577" width="13.28515625" style="1" customWidth="1"/>
    <col min="4578" max="4579" width="0" style="1" hidden="1" customWidth="1"/>
    <col min="4580" max="4580" width="13.28515625" style="1" customWidth="1"/>
    <col min="4581" max="4582" width="0" style="1" hidden="1" customWidth="1"/>
    <col min="4583" max="4583" width="13.28515625" style="1" customWidth="1"/>
    <col min="4584" max="4585" width="0" style="1" hidden="1" customWidth="1"/>
    <col min="4586" max="4587" width="13.28515625" style="1" customWidth="1"/>
    <col min="4588" max="4588" width="39.42578125" style="1" customWidth="1"/>
    <col min="4589" max="4593" width="13.28515625" style="1" customWidth="1"/>
    <col min="4594" max="4594" width="56.7109375" style="1" customWidth="1"/>
    <col min="4595" max="4595" width="11.7109375" style="1" customWidth="1"/>
    <col min="4596" max="4781" width="8.85546875" style="1"/>
    <col min="4782" max="4783" width="0" style="1" hidden="1" customWidth="1"/>
    <col min="4784" max="4784" width="12.28515625" style="1" customWidth="1"/>
    <col min="4785" max="4785" width="47" style="1" customWidth="1"/>
    <col min="4786" max="4825" width="0" style="1" hidden="1" customWidth="1"/>
    <col min="4826" max="4827" width="13.28515625" style="1" customWidth="1"/>
    <col min="4828" max="4829" width="0" style="1" hidden="1" customWidth="1"/>
    <col min="4830" max="4830" width="13.28515625" style="1" customWidth="1"/>
    <col min="4831" max="4832" width="0" style="1" hidden="1" customWidth="1"/>
    <col min="4833" max="4833" width="13.28515625" style="1" customWidth="1"/>
    <col min="4834" max="4835" width="0" style="1" hidden="1" customWidth="1"/>
    <col min="4836" max="4836" width="13.28515625" style="1" customWidth="1"/>
    <col min="4837" max="4838" width="0" style="1" hidden="1" customWidth="1"/>
    <col min="4839" max="4839" width="13.28515625" style="1" customWidth="1"/>
    <col min="4840" max="4841" width="0" style="1" hidden="1" customWidth="1"/>
    <col min="4842" max="4843" width="13.28515625" style="1" customWidth="1"/>
    <col min="4844" max="4844" width="39.42578125" style="1" customWidth="1"/>
    <col min="4845" max="4849" width="13.28515625" style="1" customWidth="1"/>
    <col min="4850" max="4850" width="56.7109375" style="1" customWidth="1"/>
    <col min="4851" max="4851" width="11.7109375" style="1" customWidth="1"/>
    <col min="4852" max="5037" width="8.85546875" style="1"/>
    <col min="5038" max="5039" width="0" style="1" hidden="1" customWidth="1"/>
    <col min="5040" max="5040" width="12.28515625" style="1" customWidth="1"/>
    <col min="5041" max="5041" width="47" style="1" customWidth="1"/>
    <col min="5042" max="5081" width="0" style="1" hidden="1" customWidth="1"/>
    <col min="5082" max="5083" width="13.28515625" style="1" customWidth="1"/>
    <col min="5084" max="5085" width="0" style="1" hidden="1" customWidth="1"/>
    <col min="5086" max="5086" width="13.28515625" style="1" customWidth="1"/>
    <col min="5087" max="5088" width="0" style="1" hidden="1" customWidth="1"/>
    <col min="5089" max="5089" width="13.28515625" style="1" customWidth="1"/>
    <col min="5090" max="5091" width="0" style="1" hidden="1" customWidth="1"/>
    <col min="5092" max="5092" width="13.28515625" style="1" customWidth="1"/>
    <col min="5093" max="5094" width="0" style="1" hidden="1" customWidth="1"/>
    <col min="5095" max="5095" width="13.28515625" style="1" customWidth="1"/>
    <col min="5096" max="5097" width="0" style="1" hidden="1" customWidth="1"/>
    <col min="5098" max="5099" width="13.28515625" style="1" customWidth="1"/>
    <col min="5100" max="5100" width="39.42578125" style="1" customWidth="1"/>
    <col min="5101" max="5105" width="13.28515625" style="1" customWidth="1"/>
    <col min="5106" max="5106" width="56.7109375" style="1" customWidth="1"/>
    <col min="5107" max="5107" width="11.7109375" style="1" customWidth="1"/>
    <col min="5108" max="5293" width="8.85546875" style="1"/>
    <col min="5294" max="5295" width="0" style="1" hidden="1" customWidth="1"/>
    <col min="5296" max="5296" width="12.28515625" style="1" customWidth="1"/>
    <col min="5297" max="5297" width="47" style="1" customWidth="1"/>
    <col min="5298" max="5337" width="0" style="1" hidden="1" customWidth="1"/>
    <col min="5338" max="5339" width="13.28515625" style="1" customWidth="1"/>
    <col min="5340" max="5341" width="0" style="1" hidden="1" customWidth="1"/>
    <col min="5342" max="5342" width="13.28515625" style="1" customWidth="1"/>
    <col min="5343" max="5344" width="0" style="1" hidden="1" customWidth="1"/>
    <col min="5345" max="5345" width="13.28515625" style="1" customWidth="1"/>
    <col min="5346" max="5347" width="0" style="1" hidden="1" customWidth="1"/>
    <col min="5348" max="5348" width="13.28515625" style="1" customWidth="1"/>
    <col min="5349" max="5350" width="0" style="1" hidden="1" customWidth="1"/>
    <col min="5351" max="5351" width="13.28515625" style="1" customWidth="1"/>
    <col min="5352" max="5353" width="0" style="1" hidden="1" customWidth="1"/>
    <col min="5354" max="5355" width="13.28515625" style="1" customWidth="1"/>
    <col min="5356" max="5356" width="39.42578125" style="1" customWidth="1"/>
    <col min="5357" max="5361" width="13.28515625" style="1" customWidth="1"/>
    <col min="5362" max="5362" width="56.7109375" style="1" customWidth="1"/>
    <col min="5363" max="5363" width="11.7109375" style="1" customWidth="1"/>
    <col min="5364" max="5549" width="8.85546875" style="1"/>
    <col min="5550" max="5551" width="0" style="1" hidden="1" customWidth="1"/>
    <col min="5552" max="5552" width="12.28515625" style="1" customWidth="1"/>
    <col min="5553" max="5553" width="47" style="1" customWidth="1"/>
    <col min="5554" max="5593" width="0" style="1" hidden="1" customWidth="1"/>
    <col min="5594" max="5595" width="13.28515625" style="1" customWidth="1"/>
    <col min="5596" max="5597" width="0" style="1" hidden="1" customWidth="1"/>
    <col min="5598" max="5598" width="13.28515625" style="1" customWidth="1"/>
    <col min="5599" max="5600" width="0" style="1" hidden="1" customWidth="1"/>
    <col min="5601" max="5601" width="13.28515625" style="1" customWidth="1"/>
    <col min="5602" max="5603" width="0" style="1" hidden="1" customWidth="1"/>
    <col min="5604" max="5604" width="13.28515625" style="1" customWidth="1"/>
    <col min="5605" max="5606" width="0" style="1" hidden="1" customWidth="1"/>
    <col min="5607" max="5607" width="13.28515625" style="1" customWidth="1"/>
    <col min="5608" max="5609" width="0" style="1" hidden="1" customWidth="1"/>
    <col min="5610" max="5611" width="13.28515625" style="1" customWidth="1"/>
    <col min="5612" max="5612" width="39.42578125" style="1" customWidth="1"/>
    <col min="5613" max="5617" width="13.28515625" style="1" customWidth="1"/>
    <col min="5618" max="5618" width="56.7109375" style="1" customWidth="1"/>
    <col min="5619" max="5619" width="11.7109375" style="1" customWidth="1"/>
    <col min="5620" max="5805" width="8.85546875" style="1"/>
    <col min="5806" max="5807" width="0" style="1" hidden="1" customWidth="1"/>
    <col min="5808" max="5808" width="12.28515625" style="1" customWidth="1"/>
    <col min="5809" max="5809" width="47" style="1" customWidth="1"/>
    <col min="5810" max="5849" width="0" style="1" hidden="1" customWidth="1"/>
    <col min="5850" max="5851" width="13.28515625" style="1" customWidth="1"/>
    <col min="5852" max="5853" width="0" style="1" hidden="1" customWidth="1"/>
    <col min="5854" max="5854" width="13.28515625" style="1" customWidth="1"/>
    <col min="5855" max="5856" width="0" style="1" hidden="1" customWidth="1"/>
    <col min="5857" max="5857" width="13.28515625" style="1" customWidth="1"/>
    <col min="5858" max="5859" width="0" style="1" hidden="1" customWidth="1"/>
    <col min="5860" max="5860" width="13.28515625" style="1" customWidth="1"/>
    <col min="5861" max="5862" width="0" style="1" hidden="1" customWidth="1"/>
    <col min="5863" max="5863" width="13.28515625" style="1" customWidth="1"/>
    <col min="5864" max="5865" width="0" style="1" hidden="1" customWidth="1"/>
    <col min="5866" max="5867" width="13.28515625" style="1" customWidth="1"/>
    <col min="5868" max="5868" width="39.42578125" style="1" customWidth="1"/>
    <col min="5869" max="5873" width="13.28515625" style="1" customWidth="1"/>
    <col min="5874" max="5874" width="56.7109375" style="1" customWidth="1"/>
    <col min="5875" max="5875" width="11.7109375" style="1" customWidth="1"/>
    <col min="5876" max="6061" width="8.85546875" style="1"/>
    <col min="6062" max="6063" width="0" style="1" hidden="1" customWidth="1"/>
    <col min="6064" max="6064" width="12.28515625" style="1" customWidth="1"/>
    <col min="6065" max="6065" width="47" style="1" customWidth="1"/>
    <col min="6066" max="6105" width="0" style="1" hidden="1" customWidth="1"/>
    <col min="6106" max="6107" width="13.28515625" style="1" customWidth="1"/>
    <col min="6108" max="6109" width="0" style="1" hidden="1" customWidth="1"/>
    <col min="6110" max="6110" width="13.28515625" style="1" customWidth="1"/>
    <col min="6111" max="6112" width="0" style="1" hidden="1" customWidth="1"/>
    <col min="6113" max="6113" width="13.28515625" style="1" customWidth="1"/>
    <col min="6114" max="6115" width="0" style="1" hidden="1" customWidth="1"/>
    <col min="6116" max="6116" width="13.28515625" style="1" customWidth="1"/>
    <col min="6117" max="6118" width="0" style="1" hidden="1" customWidth="1"/>
    <col min="6119" max="6119" width="13.28515625" style="1" customWidth="1"/>
    <col min="6120" max="6121" width="0" style="1" hidden="1" customWidth="1"/>
    <col min="6122" max="6123" width="13.28515625" style="1" customWidth="1"/>
    <col min="6124" max="6124" width="39.42578125" style="1" customWidth="1"/>
    <col min="6125" max="6129" width="13.28515625" style="1" customWidth="1"/>
    <col min="6130" max="6130" width="56.7109375" style="1" customWidth="1"/>
    <col min="6131" max="6131" width="11.7109375" style="1" customWidth="1"/>
    <col min="6132" max="6317" width="8.85546875" style="1"/>
    <col min="6318" max="6319" width="0" style="1" hidden="1" customWidth="1"/>
    <col min="6320" max="6320" width="12.28515625" style="1" customWidth="1"/>
    <col min="6321" max="6321" width="47" style="1" customWidth="1"/>
    <col min="6322" max="6361" width="0" style="1" hidden="1" customWidth="1"/>
    <col min="6362" max="6363" width="13.28515625" style="1" customWidth="1"/>
    <col min="6364" max="6365" width="0" style="1" hidden="1" customWidth="1"/>
    <col min="6366" max="6366" width="13.28515625" style="1" customWidth="1"/>
    <col min="6367" max="6368" width="0" style="1" hidden="1" customWidth="1"/>
    <col min="6369" max="6369" width="13.28515625" style="1" customWidth="1"/>
    <col min="6370" max="6371" width="0" style="1" hidden="1" customWidth="1"/>
    <col min="6372" max="6372" width="13.28515625" style="1" customWidth="1"/>
    <col min="6373" max="6374" width="0" style="1" hidden="1" customWidth="1"/>
    <col min="6375" max="6375" width="13.28515625" style="1" customWidth="1"/>
    <col min="6376" max="6377" width="0" style="1" hidden="1" customWidth="1"/>
    <col min="6378" max="6379" width="13.28515625" style="1" customWidth="1"/>
    <col min="6380" max="6380" width="39.42578125" style="1" customWidth="1"/>
    <col min="6381" max="6385" width="13.28515625" style="1" customWidth="1"/>
    <col min="6386" max="6386" width="56.7109375" style="1" customWidth="1"/>
    <col min="6387" max="6387" width="11.7109375" style="1" customWidth="1"/>
    <col min="6388" max="6573" width="8.85546875" style="1"/>
    <col min="6574" max="6575" width="0" style="1" hidden="1" customWidth="1"/>
    <col min="6576" max="6576" width="12.28515625" style="1" customWidth="1"/>
    <col min="6577" max="6577" width="47" style="1" customWidth="1"/>
    <col min="6578" max="6617" width="0" style="1" hidden="1" customWidth="1"/>
    <col min="6618" max="6619" width="13.28515625" style="1" customWidth="1"/>
    <col min="6620" max="6621" width="0" style="1" hidden="1" customWidth="1"/>
    <col min="6622" max="6622" width="13.28515625" style="1" customWidth="1"/>
    <col min="6623" max="6624" width="0" style="1" hidden="1" customWidth="1"/>
    <col min="6625" max="6625" width="13.28515625" style="1" customWidth="1"/>
    <col min="6626" max="6627" width="0" style="1" hidden="1" customWidth="1"/>
    <col min="6628" max="6628" width="13.28515625" style="1" customWidth="1"/>
    <col min="6629" max="6630" width="0" style="1" hidden="1" customWidth="1"/>
    <col min="6631" max="6631" width="13.28515625" style="1" customWidth="1"/>
    <col min="6632" max="6633" width="0" style="1" hidden="1" customWidth="1"/>
    <col min="6634" max="6635" width="13.28515625" style="1" customWidth="1"/>
    <col min="6636" max="6636" width="39.42578125" style="1" customWidth="1"/>
    <col min="6637" max="6641" width="13.28515625" style="1" customWidth="1"/>
    <col min="6642" max="6642" width="56.7109375" style="1" customWidth="1"/>
    <col min="6643" max="6643" width="11.7109375" style="1" customWidth="1"/>
    <col min="6644" max="6829" width="8.85546875" style="1"/>
    <col min="6830" max="6831" width="0" style="1" hidden="1" customWidth="1"/>
    <col min="6832" max="6832" width="12.28515625" style="1" customWidth="1"/>
    <col min="6833" max="6833" width="47" style="1" customWidth="1"/>
    <col min="6834" max="6873" width="0" style="1" hidden="1" customWidth="1"/>
    <col min="6874" max="6875" width="13.28515625" style="1" customWidth="1"/>
    <col min="6876" max="6877" width="0" style="1" hidden="1" customWidth="1"/>
    <col min="6878" max="6878" width="13.28515625" style="1" customWidth="1"/>
    <col min="6879" max="6880" width="0" style="1" hidden="1" customWidth="1"/>
    <col min="6881" max="6881" width="13.28515625" style="1" customWidth="1"/>
    <col min="6882" max="6883" width="0" style="1" hidden="1" customWidth="1"/>
    <col min="6884" max="6884" width="13.28515625" style="1" customWidth="1"/>
    <col min="6885" max="6886" width="0" style="1" hidden="1" customWidth="1"/>
    <col min="6887" max="6887" width="13.28515625" style="1" customWidth="1"/>
    <col min="6888" max="6889" width="0" style="1" hidden="1" customWidth="1"/>
    <col min="6890" max="6891" width="13.28515625" style="1" customWidth="1"/>
    <col min="6892" max="6892" width="39.42578125" style="1" customWidth="1"/>
    <col min="6893" max="6897" width="13.28515625" style="1" customWidth="1"/>
    <col min="6898" max="6898" width="56.7109375" style="1" customWidth="1"/>
    <col min="6899" max="6899" width="11.7109375" style="1" customWidth="1"/>
    <col min="6900" max="7085" width="8.85546875" style="1"/>
    <col min="7086" max="7087" width="0" style="1" hidden="1" customWidth="1"/>
    <col min="7088" max="7088" width="12.28515625" style="1" customWidth="1"/>
    <col min="7089" max="7089" width="47" style="1" customWidth="1"/>
    <col min="7090" max="7129" width="0" style="1" hidden="1" customWidth="1"/>
    <col min="7130" max="7131" width="13.28515625" style="1" customWidth="1"/>
    <col min="7132" max="7133" width="0" style="1" hidden="1" customWidth="1"/>
    <col min="7134" max="7134" width="13.28515625" style="1" customWidth="1"/>
    <col min="7135" max="7136" width="0" style="1" hidden="1" customWidth="1"/>
    <col min="7137" max="7137" width="13.28515625" style="1" customWidth="1"/>
    <col min="7138" max="7139" width="0" style="1" hidden="1" customWidth="1"/>
    <col min="7140" max="7140" width="13.28515625" style="1" customWidth="1"/>
    <col min="7141" max="7142" width="0" style="1" hidden="1" customWidth="1"/>
    <col min="7143" max="7143" width="13.28515625" style="1" customWidth="1"/>
    <col min="7144" max="7145" width="0" style="1" hidden="1" customWidth="1"/>
    <col min="7146" max="7147" width="13.28515625" style="1" customWidth="1"/>
    <col min="7148" max="7148" width="39.42578125" style="1" customWidth="1"/>
    <col min="7149" max="7153" width="13.28515625" style="1" customWidth="1"/>
    <col min="7154" max="7154" width="56.7109375" style="1" customWidth="1"/>
    <col min="7155" max="7155" width="11.7109375" style="1" customWidth="1"/>
    <col min="7156" max="7341" width="8.85546875" style="1"/>
    <col min="7342" max="7343" width="0" style="1" hidden="1" customWidth="1"/>
    <col min="7344" max="7344" width="12.28515625" style="1" customWidth="1"/>
    <col min="7345" max="7345" width="47" style="1" customWidth="1"/>
    <col min="7346" max="7385" width="0" style="1" hidden="1" customWidth="1"/>
    <col min="7386" max="7387" width="13.28515625" style="1" customWidth="1"/>
    <col min="7388" max="7389" width="0" style="1" hidden="1" customWidth="1"/>
    <col min="7390" max="7390" width="13.28515625" style="1" customWidth="1"/>
    <col min="7391" max="7392" width="0" style="1" hidden="1" customWidth="1"/>
    <col min="7393" max="7393" width="13.28515625" style="1" customWidth="1"/>
    <col min="7394" max="7395" width="0" style="1" hidden="1" customWidth="1"/>
    <col min="7396" max="7396" width="13.28515625" style="1" customWidth="1"/>
    <col min="7397" max="7398" width="0" style="1" hidden="1" customWidth="1"/>
    <col min="7399" max="7399" width="13.28515625" style="1" customWidth="1"/>
    <col min="7400" max="7401" width="0" style="1" hidden="1" customWidth="1"/>
    <col min="7402" max="7403" width="13.28515625" style="1" customWidth="1"/>
    <col min="7404" max="7404" width="39.42578125" style="1" customWidth="1"/>
    <col min="7405" max="7409" width="13.28515625" style="1" customWidth="1"/>
    <col min="7410" max="7410" width="56.7109375" style="1" customWidth="1"/>
    <col min="7411" max="7411" width="11.7109375" style="1" customWidth="1"/>
    <col min="7412" max="7597" width="8.85546875" style="1"/>
    <col min="7598" max="7599" width="0" style="1" hidden="1" customWidth="1"/>
    <col min="7600" max="7600" width="12.28515625" style="1" customWidth="1"/>
    <col min="7601" max="7601" width="47" style="1" customWidth="1"/>
    <col min="7602" max="7641" width="0" style="1" hidden="1" customWidth="1"/>
    <col min="7642" max="7643" width="13.28515625" style="1" customWidth="1"/>
    <col min="7644" max="7645" width="0" style="1" hidden="1" customWidth="1"/>
    <col min="7646" max="7646" width="13.28515625" style="1" customWidth="1"/>
    <col min="7647" max="7648" width="0" style="1" hidden="1" customWidth="1"/>
    <col min="7649" max="7649" width="13.28515625" style="1" customWidth="1"/>
    <col min="7650" max="7651" width="0" style="1" hidden="1" customWidth="1"/>
    <col min="7652" max="7652" width="13.28515625" style="1" customWidth="1"/>
    <col min="7653" max="7654" width="0" style="1" hidden="1" customWidth="1"/>
    <col min="7655" max="7655" width="13.28515625" style="1" customWidth="1"/>
    <col min="7656" max="7657" width="0" style="1" hidden="1" customWidth="1"/>
    <col min="7658" max="7659" width="13.28515625" style="1" customWidth="1"/>
    <col min="7660" max="7660" width="39.42578125" style="1" customWidth="1"/>
    <col min="7661" max="7665" width="13.28515625" style="1" customWidth="1"/>
    <col min="7666" max="7666" width="56.7109375" style="1" customWidth="1"/>
    <col min="7667" max="7667" width="11.7109375" style="1" customWidth="1"/>
    <col min="7668" max="7853" width="8.85546875" style="1"/>
    <col min="7854" max="7855" width="0" style="1" hidden="1" customWidth="1"/>
    <col min="7856" max="7856" width="12.28515625" style="1" customWidth="1"/>
    <col min="7857" max="7857" width="47" style="1" customWidth="1"/>
    <col min="7858" max="7897" width="0" style="1" hidden="1" customWidth="1"/>
    <col min="7898" max="7899" width="13.28515625" style="1" customWidth="1"/>
    <col min="7900" max="7901" width="0" style="1" hidden="1" customWidth="1"/>
    <col min="7902" max="7902" width="13.28515625" style="1" customWidth="1"/>
    <col min="7903" max="7904" width="0" style="1" hidden="1" customWidth="1"/>
    <col min="7905" max="7905" width="13.28515625" style="1" customWidth="1"/>
    <col min="7906" max="7907" width="0" style="1" hidden="1" customWidth="1"/>
    <col min="7908" max="7908" width="13.28515625" style="1" customWidth="1"/>
    <col min="7909" max="7910" width="0" style="1" hidden="1" customWidth="1"/>
    <col min="7911" max="7911" width="13.28515625" style="1" customWidth="1"/>
    <col min="7912" max="7913" width="0" style="1" hidden="1" customWidth="1"/>
    <col min="7914" max="7915" width="13.28515625" style="1" customWidth="1"/>
    <col min="7916" max="7916" width="39.42578125" style="1" customWidth="1"/>
    <col min="7917" max="7921" width="13.28515625" style="1" customWidth="1"/>
    <col min="7922" max="7922" width="56.7109375" style="1" customWidth="1"/>
    <col min="7923" max="7923" width="11.7109375" style="1" customWidth="1"/>
    <col min="7924" max="8109" width="8.85546875" style="1"/>
    <col min="8110" max="8111" width="0" style="1" hidden="1" customWidth="1"/>
    <col min="8112" max="8112" width="12.28515625" style="1" customWidth="1"/>
    <col min="8113" max="8113" width="47" style="1" customWidth="1"/>
    <col min="8114" max="8153" width="0" style="1" hidden="1" customWidth="1"/>
    <col min="8154" max="8155" width="13.28515625" style="1" customWidth="1"/>
    <col min="8156" max="8157" width="0" style="1" hidden="1" customWidth="1"/>
    <col min="8158" max="8158" width="13.28515625" style="1" customWidth="1"/>
    <col min="8159" max="8160" width="0" style="1" hidden="1" customWidth="1"/>
    <col min="8161" max="8161" width="13.28515625" style="1" customWidth="1"/>
    <col min="8162" max="8163" width="0" style="1" hidden="1" customWidth="1"/>
    <col min="8164" max="8164" width="13.28515625" style="1" customWidth="1"/>
    <col min="8165" max="8166" width="0" style="1" hidden="1" customWidth="1"/>
    <col min="8167" max="8167" width="13.28515625" style="1" customWidth="1"/>
    <col min="8168" max="8169" width="0" style="1" hidden="1" customWidth="1"/>
    <col min="8170" max="8171" width="13.28515625" style="1" customWidth="1"/>
    <col min="8172" max="8172" width="39.42578125" style="1" customWidth="1"/>
    <col min="8173" max="8177" width="13.28515625" style="1" customWidth="1"/>
    <col min="8178" max="8178" width="56.7109375" style="1" customWidth="1"/>
    <col min="8179" max="8179" width="11.7109375" style="1" customWidth="1"/>
    <col min="8180" max="8365" width="8.85546875" style="1"/>
    <col min="8366" max="8367" width="0" style="1" hidden="1" customWidth="1"/>
    <col min="8368" max="8368" width="12.28515625" style="1" customWidth="1"/>
    <col min="8369" max="8369" width="47" style="1" customWidth="1"/>
    <col min="8370" max="8409" width="0" style="1" hidden="1" customWidth="1"/>
    <col min="8410" max="8411" width="13.28515625" style="1" customWidth="1"/>
    <col min="8412" max="8413" width="0" style="1" hidden="1" customWidth="1"/>
    <col min="8414" max="8414" width="13.28515625" style="1" customWidth="1"/>
    <col min="8415" max="8416" width="0" style="1" hidden="1" customWidth="1"/>
    <col min="8417" max="8417" width="13.28515625" style="1" customWidth="1"/>
    <col min="8418" max="8419" width="0" style="1" hidden="1" customWidth="1"/>
    <col min="8420" max="8420" width="13.28515625" style="1" customWidth="1"/>
    <col min="8421" max="8422" width="0" style="1" hidden="1" customWidth="1"/>
    <col min="8423" max="8423" width="13.28515625" style="1" customWidth="1"/>
    <col min="8424" max="8425" width="0" style="1" hidden="1" customWidth="1"/>
    <col min="8426" max="8427" width="13.28515625" style="1" customWidth="1"/>
    <col min="8428" max="8428" width="39.42578125" style="1" customWidth="1"/>
    <col min="8429" max="8433" width="13.28515625" style="1" customWidth="1"/>
    <col min="8434" max="8434" width="56.7109375" style="1" customWidth="1"/>
    <col min="8435" max="8435" width="11.7109375" style="1" customWidth="1"/>
    <col min="8436" max="8621" width="8.85546875" style="1"/>
    <col min="8622" max="8623" width="0" style="1" hidden="1" customWidth="1"/>
    <col min="8624" max="8624" width="12.28515625" style="1" customWidth="1"/>
    <col min="8625" max="8625" width="47" style="1" customWidth="1"/>
    <col min="8626" max="8665" width="0" style="1" hidden="1" customWidth="1"/>
    <col min="8666" max="8667" width="13.28515625" style="1" customWidth="1"/>
    <col min="8668" max="8669" width="0" style="1" hidden="1" customWidth="1"/>
    <col min="8670" max="8670" width="13.28515625" style="1" customWidth="1"/>
    <col min="8671" max="8672" width="0" style="1" hidden="1" customWidth="1"/>
    <col min="8673" max="8673" width="13.28515625" style="1" customWidth="1"/>
    <col min="8674" max="8675" width="0" style="1" hidden="1" customWidth="1"/>
    <col min="8676" max="8676" width="13.28515625" style="1" customWidth="1"/>
    <col min="8677" max="8678" width="0" style="1" hidden="1" customWidth="1"/>
    <col min="8679" max="8679" width="13.28515625" style="1" customWidth="1"/>
    <col min="8680" max="8681" width="0" style="1" hidden="1" customWidth="1"/>
    <col min="8682" max="8683" width="13.28515625" style="1" customWidth="1"/>
    <col min="8684" max="8684" width="39.42578125" style="1" customWidth="1"/>
    <col min="8685" max="8689" width="13.28515625" style="1" customWidth="1"/>
    <col min="8690" max="8690" width="56.7109375" style="1" customWidth="1"/>
    <col min="8691" max="8691" width="11.7109375" style="1" customWidth="1"/>
    <col min="8692" max="8877" width="8.85546875" style="1"/>
    <col min="8878" max="8879" width="0" style="1" hidden="1" customWidth="1"/>
    <col min="8880" max="8880" width="12.28515625" style="1" customWidth="1"/>
    <col min="8881" max="8881" width="47" style="1" customWidth="1"/>
    <col min="8882" max="8921" width="0" style="1" hidden="1" customWidth="1"/>
    <col min="8922" max="8923" width="13.28515625" style="1" customWidth="1"/>
    <col min="8924" max="8925" width="0" style="1" hidden="1" customWidth="1"/>
    <col min="8926" max="8926" width="13.28515625" style="1" customWidth="1"/>
    <col min="8927" max="8928" width="0" style="1" hidden="1" customWidth="1"/>
    <col min="8929" max="8929" width="13.28515625" style="1" customWidth="1"/>
    <col min="8930" max="8931" width="0" style="1" hidden="1" customWidth="1"/>
    <col min="8932" max="8932" width="13.28515625" style="1" customWidth="1"/>
    <col min="8933" max="8934" width="0" style="1" hidden="1" customWidth="1"/>
    <col min="8935" max="8935" width="13.28515625" style="1" customWidth="1"/>
    <col min="8936" max="8937" width="0" style="1" hidden="1" customWidth="1"/>
    <col min="8938" max="8939" width="13.28515625" style="1" customWidth="1"/>
    <col min="8940" max="8940" width="39.42578125" style="1" customWidth="1"/>
    <col min="8941" max="8945" width="13.28515625" style="1" customWidth="1"/>
    <col min="8946" max="8946" width="56.7109375" style="1" customWidth="1"/>
    <col min="8947" max="8947" width="11.7109375" style="1" customWidth="1"/>
    <col min="8948" max="9133" width="8.85546875" style="1"/>
    <col min="9134" max="9135" width="0" style="1" hidden="1" customWidth="1"/>
    <col min="9136" max="9136" width="12.28515625" style="1" customWidth="1"/>
    <col min="9137" max="9137" width="47" style="1" customWidth="1"/>
    <col min="9138" max="9177" width="0" style="1" hidden="1" customWidth="1"/>
    <col min="9178" max="9179" width="13.28515625" style="1" customWidth="1"/>
    <col min="9180" max="9181" width="0" style="1" hidden="1" customWidth="1"/>
    <col min="9182" max="9182" width="13.28515625" style="1" customWidth="1"/>
    <col min="9183" max="9184" width="0" style="1" hidden="1" customWidth="1"/>
    <col min="9185" max="9185" width="13.28515625" style="1" customWidth="1"/>
    <col min="9186" max="9187" width="0" style="1" hidden="1" customWidth="1"/>
    <col min="9188" max="9188" width="13.28515625" style="1" customWidth="1"/>
    <col min="9189" max="9190" width="0" style="1" hidden="1" customWidth="1"/>
    <col min="9191" max="9191" width="13.28515625" style="1" customWidth="1"/>
    <col min="9192" max="9193" width="0" style="1" hidden="1" customWidth="1"/>
    <col min="9194" max="9195" width="13.28515625" style="1" customWidth="1"/>
    <col min="9196" max="9196" width="39.42578125" style="1" customWidth="1"/>
    <col min="9197" max="9201" width="13.28515625" style="1" customWidth="1"/>
    <col min="9202" max="9202" width="56.7109375" style="1" customWidth="1"/>
    <col min="9203" max="9203" width="11.7109375" style="1" customWidth="1"/>
    <col min="9204" max="9389" width="8.85546875" style="1"/>
    <col min="9390" max="9391" width="0" style="1" hidden="1" customWidth="1"/>
    <col min="9392" max="9392" width="12.28515625" style="1" customWidth="1"/>
    <col min="9393" max="9393" width="47" style="1" customWidth="1"/>
    <col min="9394" max="9433" width="0" style="1" hidden="1" customWidth="1"/>
    <col min="9434" max="9435" width="13.28515625" style="1" customWidth="1"/>
    <col min="9436" max="9437" width="0" style="1" hidden="1" customWidth="1"/>
    <col min="9438" max="9438" width="13.28515625" style="1" customWidth="1"/>
    <col min="9439" max="9440" width="0" style="1" hidden="1" customWidth="1"/>
    <col min="9441" max="9441" width="13.28515625" style="1" customWidth="1"/>
    <col min="9442" max="9443" width="0" style="1" hidden="1" customWidth="1"/>
    <col min="9444" max="9444" width="13.28515625" style="1" customWidth="1"/>
    <col min="9445" max="9446" width="0" style="1" hidden="1" customWidth="1"/>
    <col min="9447" max="9447" width="13.28515625" style="1" customWidth="1"/>
    <col min="9448" max="9449" width="0" style="1" hidden="1" customWidth="1"/>
    <col min="9450" max="9451" width="13.28515625" style="1" customWidth="1"/>
    <col min="9452" max="9452" width="39.42578125" style="1" customWidth="1"/>
    <col min="9453" max="9457" width="13.28515625" style="1" customWidth="1"/>
    <col min="9458" max="9458" width="56.7109375" style="1" customWidth="1"/>
    <col min="9459" max="9459" width="11.7109375" style="1" customWidth="1"/>
    <col min="9460" max="9645" width="8.85546875" style="1"/>
    <col min="9646" max="9647" width="0" style="1" hidden="1" customWidth="1"/>
    <col min="9648" max="9648" width="12.28515625" style="1" customWidth="1"/>
    <col min="9649" max="9649" width="47" style="1" customWidth="1"/>
    <col min="9650" max="9689" width="0" style="1" hidden="1" customWidth="1"/>
    <col min="9690" max="9691" width="13.28515625" style="1" customWidth="1"/>
    <col min="9692" max="9693" width="0" style="1" hidden="1" customWidth="1"/>
    <col min="9694" max="9694" width="13.28515625" style="1" customWidth="1"/>
    <col min="9695" max="9696" width="0" style="1" hidden="1" customWidth="1"/>
    <col min="9697" max="9697" width="13.28515625" style="1" customWidth="1"/>
    <col min="9698" max="9699" width="0" style="1" hidden="1" customWidth="1"/>
    <col min="9700" max="9700" width="13.28515625" style="1" customWidth="1"/>
    <col min="9701" max="9702" width="0" style="1" hidden="1" customWidth="1"/>
    <col min="9703" max="9703" width="13.28515625" style="1" customWidth="1"/>
    <col min="9704" max="9705" width="0" style="1" hidden="1" customWidth="1"/>
    <col min="9706" max="9707" width="13.28515625" style="1" customWidth="1"/>
    <col min="9708" max="9708" width="39.42578125" style="1" customWidth="1"/>
    <col min="9709" max="9713" width="13.28515625" style="1" customWidth="1"/>
    <col min="9714" max="9714" width="56.7109375" style="1" customWidth="1"/>
    <col min="9715" max="9715" width="11.7109375" style="1" customWidth="1"/>
    <col min="9716" max="9901" width="8.85546875" style="1"/>
    <col min="9902" max="9903" width="0" style="1" hidden="1" customWidth="1"/>
    <col min="9904" max="9904" width="12.28515625" style="1" customWidth="1"/>
    <col min="9905" max="9905" width="47" style="1" customWidth="1"/>
    <col min="9906" max="9945" width="0" style="1" hidden="1" customWidth="1"/>
    <col min="9946" max="9947" width="13.28515625" style="1" customWidth="1"/>
    <col min="9948" max="9949" width="0" style="1" hidden="1" customWidth="1"/>
    <col min="9950" max="9950" width="13.28515625" style="1" customWidth="1"/>
    <col min="9951" max="9952" width="0" style="1" hidden="1" customWidth="1"/>
    <col min="9953" max="9953" width="13.28515625" style="1" customWidth="1"/>
    <col min="9954" max="9955" width="0" style="1" hidden="1" customWidth="1"/>
    <col min="9956" max="9956" width="13.28515625" style="1" customWidth="1"/>
    <col min="9957" max="9958" width="0" style="1" hidden="1" customWidth="1"/>
    <col min="9959" max="9959" width="13.28515625" style="1" customWidth="1"/>
    <col min="9960" max="9961" width="0" style="1" hidden="1" customWidth="1"/>
    <col min="9962" max="9963" width="13.28515625" style="1" customWidth="1"/>
    <col min="9964" max="9964" width="39.42578125" style="1" customWidth="1"/>
    <col min="9965" max="9969" width="13.28515625" style="1" customWidth="1"/>
    <col min="9970" max="9970" width="56.7109375" style="1" customWidth="1"/>
    <col min="9971" max="9971" width="11.7109375" style="1" customWidth="1"/>
    <col min="9972" max="10157" width="8.85546875" style="1"/>
    <col min="10158" max="10159" width="0" style="1" hidden="1" customWidth="1"/>
    <col min="10160" max="10160" width="12.28515625" style="1" customWidth="1"/>
    <col min="10161" max="10161" width="47" style="1" customWidth="1"/>
    <col min="10162" max="10201" width="0" style="1" hidden="1" customWidth="1"/>
    <col min="10202" max="10203" width="13.28515625" style="1" customWidth="1"/>
    <col min="10204" max="10205" width="0" style="1" hidden="1" customWidth="1"/>
    <col min="10206" max="10206" width="13.28515625" style="1" customWidth="1"/>
    <col min="10207" max="10208" width="0" style="1" hidden="1" customWidth="1"/>
    <col min="10209" max="10209" width="13.28515625" style="1" customWidth="1"/>
    <col min="10210" max="10211" width="0" style="1" hidden="1" customWidth="1"/>
    <col min="10212" max="10212" width="13.28515625" style="1" customWidth="1"/>
    <col min="10213" max="10214" width="0" style="1" hidden="1" customWidth="1"/>
    <col min="10215" max="10215" width="13.28515625" style="1" customWidth="1"/>
    <col min="10216" max="10217" width="0" style="1" hidden="1" customWidth="1"/>
    <col min="10218" max="10219" width="13.28515625" style="1" customWidth="1"/>
    <col min="10220" max="10220" width="39.42578125" style="1" customWidth="1"/>
    <col min="10221" max="10225" width="13.28515625" style="1" customWidth="1"/>
    <col min="10226" max="10226" width="56.7109375" style="1" customWidth="1"/>
    <col min="10227" max="10227" width="11.7109375" style="1" customWidth="1"/>
    <col min="10228" max="10413" width="8.85546875" style="1"/>
    <col min="10414" max="10415" width="0" style="1" hidden="1" customWidth="1"/>
    <col min="10416" max="10416" width="12.28515625" style="1" customWidth="1"/>
    <col min="10417" max="10417" width="47" style="1" customWidth="1"/>
    <col min="10418" max="10457" width="0" style="1" hidden="1" customWidth="1"/>
    <col min="10458" max="10459" width="13.28515625" style="1" customWidth="1"/>
    <col min="10460" max="10461" width="0" style="1" hidden="1" customWidth="1"/>
    <col min="10462" max="10462" width="13.28515625" style="1" customWidth="1"/>
    <col min="10463" max="10464" width="0" style="1" hidden="1" customWidth="1"/>
    <col min="10465" max="10465" width="13.28515625" style="1" customWidth="1"/>
    <col min="10466" max="10467" width="0" style="1" hidden="1" customWidth="1"/>
    <col min="10468" max="10468" width="13.28515625" style="1" customWidth="1"/>
    <col min="10469" max="10470" width="0" style="1" hidden="1" customWidth="1"/>
    <col min="10471" max="10471" width="13.28515625" style="1" customWidth="1"/>
    <col min="10472" max="10473" width="0" style="1" hidden="1" customWidth="1"/>
    <col min="10474" max="10475" width="13.28515625" style="1" customWidth="1"/>
    <col min="10476" max="10476" width="39.42578125" style="1" customWidth="1"/>
    <col min="10477" max="10481" width="13.28515625" style="1" customWidth="1"/>
    <col min="10482" max="10482" width="56.7109375" style="1" customWidth="1"/>
    <col min="10483" max="10483" width="11.7109375" style="1" customWidth="1"/>
    <col min="10484" max="10669" width="8.85546875" style="1"/>
    <col min="10670" max="10671" width="0" style="1" hidden="1" customWidth="1"/>
    <col min="10672" max="10672" width="12.28515625" style="1" customWidth="1"/>
    <col min="10673" max="10673" width="47" style="1" customWidth="1"/>
    <col min="10674" max="10713" width="0" style="1" hidden="1" customWidth="1"/>
    <col min="10714" max="10715" width="13.28515625" style="1" customWidth="1"/>
    <col min="10716" max="10717" width="0" style="1" hidden="1" customWidth="1"/>
    <col min="10718" max="10718" width="13.28515625" style="1" customWidth="1"/>
    <col min="10719" max="10720" width="0" style="1" hidden="1" customWidth="1"/>
    <col min="10721" max="10721" width="13.28515625" style="1" customWidth="1"/>
    <col min="10722" max="10723" width="0" style="1" hidden="1" customWidth="1"/>
    <col min="10724" max="10724" width="13.28515625" style="1" customWidth="1"/>
    <col min="10725" max="10726" width="0" style="1" hidden="1" customWidth="1"/>
    <col min="10727" max="10727" width="13.28515625" style="1" customWidth="1"/>
    <col min="10728" max="10729" width="0" style="1" hidden="1" customWidth="1"/>
    <col min="10730" max="10731" width="13.28515625" style="1" customWidth="1"/>
    <col min="10732" max="10732" width="39.42578125" style="1" customWidth="1"/>
    <col min="10733" max="10737" width="13.28515625" style="1" customWidth="1"/>
    <col min="10738" max="10738" width="56.7109375" style="1" customWidth="1"/>
    <col min="10739" max="10739" width="11.7109375" style="1" customWidth="1"/>
    <col min="10740" max="10925" width="8.85546875" style="1"/>
    <col min="10926" max="10927" width="0" style="1" hidden="1" customWidth="1"/>
    <col min="10928" max="10928" width="12.28515625" style="1" customWidth="1"/>
    <col min="10929" max="10929" width="47" style="1" customWidth="1"/>
    <col min="10930" max="10969" width="0" style="1" hidden="1" customWidth="1"/>
    <col min="10970" max="10971" width="13.28515625" style="1" customWidth="1"/>
    <col min="10972" max="10973" width="0" style="1" hidden="1" customWidth="1"/>
    <col min="10974" max="10974" width="13.28515625" style="1" customWidth="1"/>
    <col min="10975" max="10976" width="0" style="1" hidden="1" customWidth="1"/>
    <col min="10977" max="10977" width="13.28515625" style="1" customWidth="1"/>
    <col min="10978" max="10979" width="0" style="1" hidden="1" customWidth="1"/>
    <col min="10980" max="10980" width="13.28515625" style="1" customWidth="1"/>
    <col min="10981" max="10982" width="0" style="1" hidden="1" customWidth="1"/>
    <col min="10983" max="10983" width="13.28515625" style="1" customWidth="1"/>
    <col min="10984" max="10985" width="0" style="1" hidden="1" customWidth="1"/>
    <col min="10986" max="10987" width="13.28515625" style="1" customWidth="1"/>
    <col min="10988" max="10988" width="39.42578125" style="1" customWidth="1"/>
    <col min="10989" max="10993" width="13.28515625" style="1" customWidth="1"/>
    <col min="10994" max="10994" width="56.7109375" style="1" customWidth="1"/>
    <col min="10995" max="10995" width="11.7109375" style="1" customWidth="1"/>
    <col min="10996" max="11181" width="8.85546875" style="1"/>
    <col min="11182" max="11183" width="0" style="1" hidden="1" customWidth="1"/>
    <col min="11184" max="11184" width="12.28515625" style="1" customWidth="1"/>
    <col min="11185" max="11185" width="47" style="1" customWidth="1"/>
    <col min="11186" max="11225" width="0" style="1" hidden="1" customWidth="1"/>
    <col min="11226" max="11227" width="13.28515625" style="1" customWidth="1"/>
    <col min="11228" max="11229" width="0" style="1" hidden="1" customWidth="1"/>
    <col min="11230" max="11230" width="13.28515625" style="1" customWidth="1"/>
    <col min="11231" max="11232" width="0" style="1" hidden="1" customWidth="1"/>
    <col min="11233" max="11233" width="13.28515625" style="1" customWidth="1"/>
    <col min="11234" max="11235" width="0" style="1" hidden="1" customWidth="1"/>
    <col min="11236" max="11236" width="13.28515625" style="1" customWidth="1"/>
    <col min="11237" max="11238" width="0" style="1" hidden="1" customWidth="1"/>
    <col min="11239" max="11239" width="13.28515625" style="1" customWidth="1"/>
    <col min="11240" max="11241" width="0" style="1" hidden="1" customWidth="1"/>
    <col min="11242" max="11243" width="13.28515625" style="1" customWidth="1"/>
    <col min="11244" max="11244" width="39.42578125" style="1" customWidth="1"/>
    <col min="11245" max="11249" width="13.28515625" style="1" customWidth="1"/>
    <col min="11250" max="11250" width="56.7109375" style="1" customWidth="1"/>
    <col min="11251" max="11251" width="11.7109375" style="1" customWidth="1"/>
    <col min="11252" max="11437" width="8.85546875" style="1"/>
    <col min="11438" max="11439" width="0" style="1" hidden="1" customWidth="1"/>
    <col min="11440" max="11440" width="12.28515625" style="1" customWidth="1"/>
    <col min="11441" max="11441" width="47" style="1" customWidth="1"/>
    <col min="11442" max="11481" width="0" style="1" hidden="1" customWidth="1"/>
    <col min="11482" max="11483" width="13.28515625" style="1" customWidth="1"/>
    <col min="11484" max="11485" width="0" style="1" hidden="1" customWidth="1"/>
    <col min="11486" max="11486" width="13.28515625" style="1" customWidth="1"/>
    <col min="11487" max="11488" width="0" style="1" hidden="1" customWidth="1"/>
    <col min="11489" max="11489" width="13.28515625" style="1" customWidth="1"/>
    <col min="11490" max="11491" width="0" style="1" hidden="1" customWidth="1"/>
    <col min="11492" max="11492" width="13.28515625" style="1" customWidth="1"/>
    <col min="11493" max="11494" width="0" style="1" hidden="1" customWidth="1"/>
    <col min="11495" max="11495" width="13.28515625" style="1" customWidth="1"/>
    <col min="11496" max="11497" width="0" style="1" hidden="1" customWidth="1"/>
    <col min="11498" max="11499" width="13.28515625" style="1" customWidth="1"/>
    <col min="11500" max="11500" width="39.42578125" style="1" customWidth="1"/>
    <col min="11501" max="11505" width="13.28515625" style="1" customWidth="1"/>
    <col min="11506" max="11506" width="56.7109375" style="1" customWidth="1"/>
    <col min="11507" max="11507" width="11.7109375" style="1" customWidth="1"/>
    <col min="11508" max="11693" width="8.85546875" style="1"/>
    <col min="11694" max="11695" width="0" style="1" hidden="1" customWidth="1"/>
    <col min="11696" max="11696" width="12.28515625" style="1" customWidth="1"/>
    <col min="11697" max="11697" width="47" style="1" customWidth="1"/>
    <col min="11698" max="11737" width="0" style="1" hidden="1" customWidth="1"/>
    <col min="11738" max="11739" width="13.28515625" style="1" customWidth="1"/>
    <col min="11740" max="11741" width="0" style="1" hidden="1" customWidth="1"/>
    <col min="11742" max="11742" width="13.28515625" style="1" customWidth="1"/>
    <col min="11743" max="11744" width="0" style="1" hidden="1" customWidth="1"/>
    <col min="11745" max="11745" width="13.28515625" style="1" customWidth="1"/>
    <col min="11746" max="11747" width="0" style="1" hidden="1" customWidth="1"/>
    <col min="11748" max="11748" width="13.28515625" style="1" customWidth="1"/>
    <col min="11749" max="11750" width="0" style="1" hidden="1" customWidth="1"/>
    <col min="11751" max="11751" width="13.28515625" style="1" customWidth="1"/>
    <col min="11752" max="11753" width="0" style="1" hidden="1" customWidth="1"/>
    <col min="11754" max="11755" width="13.28515625" style="1" customWidth="1"/>
    <col min="11756" max="11756" width="39.42578125" style="1" customWidth="1"/>
    <col min="11757" max="11761" width="13.28515625" style="1" customWidth="1"/>
    <col min="11762" max="11762" width="56.7109375" style="1" customWidth="1"/>
    <col min="11763" max="11763" width="11.7109375" style="1" customWidth="1"/>
    <col min="11764" max="11949" width="8.85546875" style="1"/>
    <col min="11950" max="11951" width="0" style="1" hidden="1" customWidth="1"/>
    <col min="11952" max="11952" width="12.28515625" style="1" customWidth="1"/>
    <col min="11953" max="11953" width="47" style="1" customWidth="1"/>
    <col min="11954" max="11993" width="0" style="1" hidden="1" customWidth="1"/>
    <col min="11994" max="11995" width="13.28515625" style="1" customWidth="1"/>
    <col min="11996" max="11997" width="0" style="1" hidden="1" customWidth="1"/>
    <col min="11998" max="11998" width="13.28515625" style="1" customWidth="1"/>
    <col min="11999" max="12000" width="0" style="1" hidden="1" customWidth="1"/>
    <col min="12001" max="12001" width="13.28515625" style="1" customWidth="1"/>
    <col min="12002" max="12003" width="0" style="1" hidden="1" customWidth="1"/>
    <col min="12004" max="12004" width="13.28515625" style="1" customWidth="1"/>
    <col min="12005" max="12006" width="0" style="1" hidden="1" customWidth="1"/>
    <col min="12007" max="12007" width="13.28515625" style="1" customWidth="1"/>
    <col min="12008" max="12009" width="0" style="1" hidden="1" customWidth="1"/>
    <col min="12010" max="12011" width="13.28515625" style="1" customWidth="1"/>
    <col min="12012" max="12012" width="39.42578125" style="1" customWidth="1"/>
    <col min="12013" max="12017" width="13.28515625" style="1" customWidth="1"/>
    <col min="12018" max="12018" width="56.7109375" style="1" customWidth="1"/>
    <col min="12019" max="12019" width="11.7109375" style="1" customWidth="1"/>
    <col min="12020" max="12205" width="8.85546875" style="1"/>
    <col min="12206" max="12207" width="0" style="1" hidden="1" customWidth="1"/>
    <col min="12208" max="12208" width="12.28515625" style="1" customWidth="1"/>
    <col min="12209" max="12209" width="47" style="1" customWidth="1"/>
    <col min="12210" max="12249" width="0" style="1" hidden="1" customWidth="1"/>
    <col min="12250" max="12251" width="13.28515625" style="1" customWidth="1"/>
    <col min="12252" max="12253" width="0" style="1" hidden="1" customWidth="1"/>
    <col min="12254" max="12254" width="13.28515625" style="1" customWidth="1"/>
    <col min="12255" max="12256" width="0" style="1" hidden="1" customWidth="1"/>
    <col min="12257" max="12257" width="13.28515625" style="1" customWidth="1"/>
    <col min="12258" max="12259" width="0" style="1" hidden="1" customWidth="1"/>
    <col min="12260" max="12260" width="13.28515625" style="1" customWidth="1"/>
    <col min="12261" max="12262" width="0" style="1" hidden="1" customWidth="1"/>
    <col min="12263" max="12263" width="13.28515625" style="1" customWidth="1"/>
    <col min="12264" max="12265" width="0" style="1" hidden="1" customWidth="1"/>
    <col min="12266" max="12267" width="13.28515625" style="1" customWidth="1"/>
    <col min="12268" max="12268" width="39.42578125" style="1" customWidth="1"/>
    <col min="12269" max="12273" width="13.28515625" style="1" customWidth="1"/>
    <col min="12274" max="12274" width="56.7109375" style="1" customWidth="1"/>
    <col min="12275" max="12275" width="11.7109375" style="1" customWidth="1"/>
    <col min="12276" max="12461" width="8.85546875" style="1"/>
    <col min="12462" max="12463" width="0" style="1" hidden="1" customWidth="1"/>
    <col min="12464" max="12464" width="12.28515625" style="1" customWidth="1"/>
    <col min="12465" max="12465" width="47" style="1" customWidth="1"/>
    <col min="12466" max="12505" width="0" style="1" hidden="1" customWidth="1"/>
    <col min="12506" max="12507" width="13.28515625" style="1" customWidth="1"/>
    <col min="12508" max="12509" width="0" style="1" hidden="1" customWidth="1"/>
    <col min="12510" max="12510" width="13.28515625" style="1" customWidth="1"/>
    <col min="12511" max="12512" width="0" style="1" hidden="1" customWidth="1"/>
    <col min="12513" max="12513" width="13.28515625" style="1" customWidth="1"/>
    <col min="12514" max="12515" width="0" style="1" hidden="1" customWidth="1"/>
    <col min="12516" max="12516" width="13.28515625" style="1" customWidth="1"/>
    <col min="12517" max="12518" width="0" style="1" hidden="1" customWidth="1"/>
    <col min="12519" max="12519" width="13.28515625" style="1" customWidth="1"/>
    <col min="12520" max="12521" width="0" style="1" hidden="1" customWidth="1"/>
    <col min="12522" max="12523" width="13.28515625" style="1" customWidth="1"/>
    <col min="12524" max="12524" width="39.42578125" style="1" customWidth="1"/>
    <col min="12525" max="12529" width="13.28515625" style="1" customWidth="1"/>
    <col min="12530" max="12530" width="56.7109375" style="1" customWidth="1"/>
    <col min="12531" max="12531" width="11.7109375" style="1" customWidth="1"/>
    <col min="12532" max="12717" width="8.85546875" style="1"/>
    <col min="12718" max="12719" width="0" style="1" hidden="1" customWidth="1"/>
    <col min="12720" max="12720" width="12.28515625" style="1" customWidth="1"/>
    <col min="12721" max="12721" width="47" style="1" customWidth="1"/>
    <col min="12722" max="12761" width="0" style="1" hidden="1" customWidth="1"/>
    <col min="12762" max="12763" width="13.28515625" style="1" customWidth="1"/>
    <col min="12764" max="12765" width="0" style="1" hidden="1" customWidth="1"/>
    <col min="12766" max="12766" width="13.28515625" style="1" customWidth="1"/>
    <col min="12767" max="12768" width="0" style="1" hidden="1" customWidth="1"/>
    <col min="12769" max="12769" width="13.28515625" style="1" customWidth="1"/>
    <col min="12770" max="12771" width="0" style="1" hidden="1" customWidth="1"/>
    <col min="12772" max="12772" width="13.28515625" style="1" customWidth="1"/>
    <col min="12773" max="12774" width="0" style="1" hidden="1" customWidth="1"/>
    <col min="12775" max="12775" width="13.28515625" style="1" customWidth="1"/>
    <col min="12776" max="12777" width="0" style="1" hidden="1" customWidth="1"/>
    <col min="12778" max="12779" width="13.28515625" style="1" customWidth="1"/>
    <col min="12780" max="12780" width="39.42578125" style="1" customWidth="1"/>
    <col min="12781" max="12785" width="13.28515625" style="1" customWidth="1"/>
    <col min="12786" max="12786" width="56.7109375" style="1" customWidth="1"/>
    <col min="12787" max="12787" width="11.7109375" style="1" customWidth="1"/>
    <col min="12788" max="12973" width="8.85546875" style="1"/>
    <col min="12974" max="12975" width="0" style="1" hidden="1" customWidth="1"/>
    <col min="12976" max="12976" width="12.28515625" style="1" customWidth="1"/>
    <col min="12977" max="12977" width="47" style="1" customWidth="1"/>
    <col min="12978" max="13017" width="0" style="1" hidden="1" customWidth="1"/>
    <col min="13018" max="13019" width="13.28515625" style="1" customWidth="1"/>
    <col min="13020" max="13021" width="0" style="1" hidden="1" customWidth="1"/>
    <col min="13022" max="13022" width="13.28515625" style="1" customWidth="1"/>
    <col min="13023" max="13024" width="0" style="1" hidden="1" customWidth="1"/>
    <col min="13025" max="13025" width="13.28515625" style="1" customWidth="1"/>
    <col min="13026" max="13027" width="0" style="1" hidden="1" customWidth="1"/>
    <col min="13028" max="13028" width="13.28515625" style="1" customWidth="1"/>
    <col min="13029" max="13030" width="0" style="1" hidden="1" customWidth="1"/>
    <col min="13031" max="13031" width="13.28515625" style="1" customWidth="1"/>
    <col min="13032" max="13033" width="0" style="1" hidden="1" customWidth="1"/>
    <col min="13034" max="13035" width="13.28515625" style="1" customWidth="1"/>
    <col min="13036" max="13036" width="39.42578125" style="1" customWidth="1"/>
    <col min="13037" max="13041" width="13.28515625" style="1" customWidth="1"/>
    <col min="13042" max="13042" width="56.7109375" style="1" customWidth="1"/>
    <col min="13043" max="13043" width="11.7109375" style="1" customWidth="1"/>
    <col min="13044" max="13229" width="8.85546875" style="1"/>
    <col min="13230" max="13231" width="0" style="1" hidden="1" customWidth="1"/>
    <col min="13232" max="13232" width="12.28515625" style="1" customWidth="1"/>
    <col min="13233" max="13233" width="47" style="1" customWidth="1"/>
    <col min="13234" max="13273" width="0" style="1" hidden="1" customWidth="1"/>
    <col min="13274" max="13275" width="13.28515625" style="1" customWidth="1"/>
    <col min="13276" max="13277" width="0" style="1" hidden="1" customWidth="1"/>
    <col min="13278" max="13278" width="13.28515625" style="1" customWidth="1"/>
    <col min="13279" max="13280" width="0" style="1" hidden="1" customWidth="1"/>
    <col min="13281" max="13281" width="13.28515625" style="1" customWidth="1"/>
    <col min="13282" max="13283" width="0" style="1" hidden="1" customWidth="1"/>
    <col min="13284" max="13284" width="13.28515625" style="1" customWidth="1"/>
    <col min="13285" max="13286" width="0" style="1" hidden="1" customWidth="1"/>
    <col min="13287" max="13287" width="13.28515625" style="1" customWidth="1"/>
    <col min="13288" max="13289" width="0" style="1" hidden="1" customWidth="1"/>
    <col min="13290" max="13291" width="13.28515625" style="1" customWidth="1"/>
    <col min="13292" max="13292" width="39.42578125" style="1" customWidth="1"/>
    <col min="13293" max="13297" width="13.28515625" style="1" customWidth="1"/>
    <col min="13298" max="13298" width="56.7109375" style="1" customWidth="1"/>
    <col min="13299" max="13299" width="11.7109375" style="1" customWidth="1"/>
    <col min="13300" max="13485" width="8.85546875" style="1"/>
    <col min="13486" max="13487" width="0" style="1" hidden="1" customWidth="1"/>
    <col min="13488" max="13488" width="12.28515625" style="1" customWidth="1"/>
    <col min="13489" max="13489" width="47" style="1" customWidth="1"/>
    <col min="13490" max="13529" width="0" style="1" hidden="1" customWidth="1"/>
    <col min="13530" max="13531" width="13.28515625" style="1" customWidth="1"/>
    <col min="13532" max="13533" width="0" style="1" hidden="1" customWidth="1"/>
    <col min="13534" max="13534" width="13.28515625" style="1" customWidth="1"/>
    <col min="13535" max="13536" width="0" style="1" hidden="1" customWidth="1"/>
    <col min="13537" max="13537" width="13.28515625" style="1" customWidth="1"/>
    <col min="13538" max="13539" width="0" style="1" hidden="1" customWidth="1"/>
    <col min="13540" max="13540" width="13.28515625" style="1" customWidth="1"/>
    <col min="13541" max="13542" width="0" style="1" hidden="1" customWidth="1"/>
    <col min="13543" max="13543" width="13.28515625" style="1" customWidth="1"/>
    <col min="13544" max="13545" width="0" style="1" hidden="1" customWidth="1"/>
    <col min="13546" max="13547" width="13.28515625" style="1" customWidth="1"/>
    <col min="13548" max="13548" width="39.42578125" style="1" customWidth="1"/>
    <col min="13549" max="13553" width="13.28515625" style="1" customWidth="1"/>
    <col min="13554" max="13554" width="56.7109375" style="1" customWidth="1"/>
    <col min="13555" max="13555" width="11.7109375" style="1" customWidth="1"/>
    <col min="13556" max="13741" width="8.85546875" style="1"/>
    <col min="13742" max="13743" width="0" style="1" hidden="1" customWidth="1"/>
    <col min="13744" max="13744" width="12.28515625" style="1" customWidth="1"/>
    <col min="13745" max="13745" width="47" style="1" customWidth="1"/>
    <col min="13746" max="13785" width="0" style="1" hidden="1" customWidth="1"/>
    <col min="13786" max="13787" width="13.28515625" style="1" customWidth="1"/>
    <col min="13788" max="13789" width="0" style="1" hidden="1" customWidth="1"/>
    <col min="13790" max="13790" width="13.28515625" style="1" customWidth="1"/>
    <col min="13791" max="13792" width="0" style="1" hidden="1" customWidth="1"/>
    <col min="13793" max="13793" width="13.28515625" style="1" customWidth="1"/>
    <col min="13794" max="13795" width="0" style="1" hidden="1" customWidth="1"/>
    <col min="13796" max="13796" width="13.28515625" style="1" customWidth="1"/>
    <col min="13797" max="13798" width="0" style="1" hidden="1" customWidth="1"/>
    <col min="13799" max="13799" width="13.28515625" style="1" customWidth="1"/>
    <col min="13800" max="13801" width="0" style="1" hidden="1" customWidth="1"/>
    <col min="13802" max="13803" width="13.28515625" style="1" customWidth="1"/>
    <col min="13804" max="13804" width="39.42578125" style="1" customWidth="1"/>
    <col min="13805" max="13809" width="13.28515625" style="1" customWidth="1"/>
    <col min="13810" max="13810" width="56.7109375" style="1" customWidth="1"/>
    <col min="13811" max="13811" width="11.7109375" style="1" customWidth="1"/>
    <col min="13812" max="13997" width="8.85546875" style="1"/>
    <col min="13998" max="13999" width="0" style="1" hidden="1" customWidth="1"/>
    <col min="14000" max="14000" width="12.28515625" style="1" customWidth="1"/>
    <col min="14001" max="14001" width="47" style="1" customWidth="1"/>
    <col min="14002" max="14041" width="0" style="1" hidden="1" customWidth="1"/>
    <col min="14042" max="14043" width="13.28515625" style="1" customWidth="1"/>
    <col min="14044" max="14045" width="0" style="1" hidden="1" customWidth="1"/>
    <col min="14046" max="14046" width="13.28515625" style="1" customWidth="1"/>
    <col min="14047" max="14048" width="0" style="1" hidden="1" customWidth="1"/>
    <col min="14049" max="14049" width="13.28515625" style="1" customWidth="1"/>
    <col min="14050" max="14051" width="0" style="1" hidden="1" customWidth="1"/>
    <col min="14052" max="14052" width="13.28515625" style="1" customWidth="1"/>
    <col min="14053" max="14054" width="0" style="1" hidden="1" customWidth="1"/>
    <col min="14055" max="14055" width="13.28515625" style="1" customWidth="1"/>
    <col min="14056" max="14057" width="0" style="1" hidden="1" customWidth="1"/>
    <col min="14058" max="14059" width="13.28515625" style="1" customWidth="1"/>
    <col min="14060" max="14060" width="39.42578125" style="1" customWidth="1"/>
    <col min="14061" max="14065" width="13.28515625" style="1" customWidth="1"/>
    <col min="14066" max="14066" width="56.7109375" style="1" customWidth="1"/>
    <col min="14067" max="14067" width="11.7109375" style="1" customWidth="1"/>
    <col min="14068" max="14253" width="8.85546875" style="1"/>
    <col min="14254" max="14255" width="0" style="1" hidden="1" customWidth="1"/>
    <col min="14256" max="14256" width="12.28515625" style="1" customWidth="1"/>
    <col min="14257" max="14257" width="47" style="1" customWidth="1"/>
    <col min="14258" max="14297" width="0" style="1" hidden="1" customWidth="1"/>
    <col min="14298" max="14299" width="13.28515625" style="1" customWidth="1"/>
    <col min="14300" max="14301" width="0" style="1" hidden="1" customWidth="1"/>
    <col min="14302" max="14302" width="13.28515625" style="1" customWidth="1"/>
    <col min="14303" max="14304" width="0" style="1" hidden="1" customWidth="1"/>
    <col min="14305" max="14305" width="13.28515625" style="1" customWidth="1"/>
    <col min="14306" max="14307" width="0" style="1" hidden="1" customWidth="1"/>
    <col min="14308" max="14308" width="13.28515625" style="1" customWidth="1"/>
    <col min="14309" max="14310" width="0" style="1" hidden="1" customWidth="1"/>
    <col min="14311" max="14311" width="13.28515625" style="1" customWidth="1"/>
    <col min="14312" max="14313" width="0" style="1" hidden="1" customWidth="1"/>
    <col min="14314" max="14315" width="13.28515625" style="1" customWidth="1"/>
    <col min="14316" max="14316" width="39.42578125" style="1" customWidth="1"/>
    <col min="14317" max="14321" width="13.28515625" style="1" customWidth="1"/>
    <col min="14322" max="14322" width="56.7109375" style="1" customWidth="1"/>
    <col min="14323" max="14323" width="11.7109375" style="1" customWidth="1"/>
    <col min="14324" max="14509" width="8.85546875" style="1"/>
    <col min="14510" max="14511" width="0" style="1" hidden="1" customWidth="1"/>
    <col min="14512" max="14512" width="12.28515625" style="1" customWidth="1"/>
    <col min="14513" max="14513" width="47" style="1" customWidth="1"/>
    <col min="14514" max="14553" width="0" style="1" hidden="1" customWidth="1"/>
    <col min="14554" max="14555" width="13.28515625" style="1" customWidth="1"/>
    <col min="14556" max="14557" width="0" style="1" hidden="1" customWidth="1"/>
    <col min="14558" max="14558" width="13.28515625" style="1" customWidth="1"/>
    <col min="14559" max="14560" width="0" style="1" hidden="1" customWidth="1"/>
    <col min="14561" max="14561" width="13.28515625" style="1" customWidth="1"/>
    <col min="14562" max="14563" width="0" style="1" hidden="1" customWidth="1"/>
    <col min="14564" max="14564" width="13.28515625" style="1" customWidth="1"/>
    <col min="14565" max="14566" width="0" style="1" hidden="1" customWidth="1"/>
    <col min="14567" max="14567" width="13.28515625" style="1" customWidth="1"/>
    <col min="14568" max="14569" width="0" style="1" hidden="1" customWidth="1"/>
    <col min="14570" max="14571" width="13.28515625" style="1" customWidth="1"/>
    <col min="14572" max="14572" width="39.42578125" style="1" customWidth="1"/>
    <col min="14573" max="14577" width="13.28515625" style="1" customWidth="1"/>
    <col min="14578" max="14578" width="56.7109375" style="1" customWidth="1"/>
    <col min="14579" max="14579" width="11.7109375" style="1" customWidth="1"/>
    <col min="14580" max="14765" width="8.85546875" style="1"/>
    <col min="14766" max="14767" width="0" style="1" hidden="1" customWidth="1"/>
    <col min="14768" max="14768" width="12.28515625" style="1" customWidth="1"/>
    <col min="14769" max="14769" width="47" style="1" customWidth="1"/>
    <col min="14770" max="14809" width="0" style="1" hidden="1" customWidth="1"/>
    <col min="14810" max="14811" width="13.28515625" style="1" customWidth="1"/>
    <col min="14812" max="14813" width="0" style="1" hidden="1" customWidth="1"/>
    <col min="14814" max="14814" width="13.28515625" style="1" customWidth="1"/>
    <col min="14815" max="14816" width="0" style="1" hidden="1" customWidth="1"/>
    <col min="14817" max="14817" width="13.28515625" style="1" customWidth="1"/>
    <col min="14818" max="14819" width="0" style="1" hidden="1" customWidth="1"/>
    <col min="14820" max="14820" width="13.28515625" style="1" customWidth="1"/>
    <col min="14821" max="14822" width="0" style="1" hidden="1" customWidth="1"/>
    <col min="14823" max="14823" width="13.28515625" style="1" customWidth="1"/>
    <col min="14824" max="14825" width="0" style="1" hidden="1" customWidth="1"/>
    <col min="14826" max="14827" width="13.28515625" style="1" customWidth="1"/>
    <col min="14828" max="14828" width="39.42578125" style="1" customWidth="1"/>
    <col min="14829" max="14833" width="13.28515625" style="1" customWidth="1"/>
    <col min="14834" max="14834" width="56.7109375" style="1" customWidth="1"/>
    <col min="14835" max="14835" width="11.7109375" style="1" customWidth="1"/>
    <col min="14836" max="15021" width="8.85546875" style="1"/>
    <col min="15022" max="15023" width="0" style="1" hidden="1" customWidth="1"/>
    <col min="15024" max="15024" width="12.28515625" style="1" customWidth="1"/>
    <col min="15025" max="15025" width="47" style="1" customWidth="1"/>
    <col min="15026" max="15065" width="0" style="1" hidden="1" customWidth="1"/>
    <col min="15066" max="15067" width="13.28515625" style="1" customWidth="1"/>
    <col min="15068" max="15069" width="0" style="1" hidden="1" customWidth="1"/>
    <col min="15070" max="15070" width="13.28515625" style="1" customWidth="1"/>
    <col min="15071" max="15072" width="0" style="1" hidden="1" customWidth="1"/>
    <col min="15073" max="15073" width="13.28515625" style="1" customWidth="1"/>
    <col min="15074" max="15075" width="0" style="1" hidden="1" customWidth="1"/>
    <col min="15076" max="15076" width="13.28515625" style="1" customWidth="1"/>
    <col min="15077" max="15078" width="0" style="1" hidden="1" customWidth="1"/>
    <col min="15079" max="15079" width="13.28515625" style="1" customWidth="1"/>
    <col min="15080" max="15081" width="0" style="1" hidden="1" customWidth="1"/>
    <col min="15082" max="15083" width="13.28515625" style="1" customWidth="1"/>
    <col min="15084" max="15084" width="39.42578125" style="1" customWidth="1"/>
    <col min="15085" max="15089" width="13.28515625" style="1" customWidth="1"/>
    <col min="15090" max="15090" width="56.7109375" style="1" customWidth="1"/>
    <col min="15091" max="15091" width="11.7109375" style="1" customWidth="1"/>
    <col min="15092" max="15277" width="8.85546875" style="1"/>
    <col min="15278" max="15279" width="0" style="1" hidden="1" customWidth="1"/>
    <col min="15280" max="15280" width="12.28515625" style="1" customWidth="1"/>
    <col min="15281" max="15281" width="47" style="1" customWidth="1"/>
    <col min="15282" max="15321" width="0" style="1" hidden="1" customWidth="1"/>
    <col min="15322" max="15323" width="13.28515625" style="1" customWidth="1"/>
    <col min="15324" max="15325" width="0" style="1" hidden="1" customWidth="1"/>
    <col min="15326" max="15326" width="13.28515625" style="1" customWidth="1"/>
    <col min="15327" max="15328" width="0" style="1" hidden="1" customWidth="1"/>
    <col min="15329" max="15329" width="13.28515625" style="1" customWidth="1"/>
    <col min="15330" max="15331" width="0" style="1" hidden="1" customWidth="1"/>
    <col min="15332" max="15332" width="13.28515625" style="1" customWidth="1"/>
    <col min="15333" max="15334" width="0" style="1" hidden="1" customWidth="1"/>
    <col min="15335" max="15335" width="13.28515625" style="1" customWidth="1"/>
    <col min="15336" max="15337" width="0" style="1" hidden="1" customWidth="1"/>
    <col min="15338" max="15339" width="13.28515625" style="1" customWidth="1"/>
    <col min="15340" max="15340" width="39.42578125" style="1" customWidth="1"/>
    <col min="15341" max="15345" width="13.28515625" style="1" customWidth="1"/>
    <col min="15346" max="15346" width="56.7109375" style="1" customWidth="1"/>
    <col min="15347" max="15347" width="11.7109375" style="1" customWidth="1"/>
    <col min="15348" max="15533" width="8.85546875" style="1"/>
    <col min="15534" max="15535" width="0" style="1" hidden="1" customWidth="1"/>
    <col min="15536" max="15536" width="12.28515625" style="1" customWidth="1"/>
    <col min="15537" max="15537" width="47" style="1" customWidth="1"/>
    <col min="15538" max="15577" width="0" style="1" hidden="1" customWidth="1"/>
    <col min="15578" max="15579" width="13.28515625" style="1" customWidth="1"/>
    <col min="15580" max="15581" width="0" style="1" hidden="1" customWidth="1"/>
    <col min="15582" max="15582" width="13.28515625" style="1" customWidth="1"/>
    <col min="15583" max="15584" width="0" style="1" hidden="1" customWidth="1"/>
    <col min="15585" max="15585" width="13.28515625" style="1" customWidth="1"/>
    <col min="15586" max="15587" width="0" style="1" hidden="1" customWidth="1"/>
    <col min="15588" max="15588" width="13.28515625" style="1" customWidth="1"/>
    <col min="15589" max="15590" width="0" style="1" hidden="1" customWidth="1"/>
    <col min="15591" max="15591" width="13.28515625" style="1" customWidth="1"/>
    <col min="15592" max="15593" width="0" style="1" hidden="1" customWidth="1"/>
    <col min="15594" max="15595" width="13.28515625" style="1" customWidth="1"/>
    <col min="15596" max="15596" width="39.42578125" style="1" customWidth="1"/>
    <col min="15597" max="15601" width="13.28515625" style="1" customWidth="1"/>
    <col min="15602" max="15602" width="56.7109375" style="1" customWidth="1"/>
    <col min="15603" max="15603" width="11.7109375" style="1" customWidth="1"/>
    <col min="15604" max="15789" width="8.85546875" style="1"/>
    <col min="15790" max="15791" width="0" style="1" hidden="1" customWidth="1"/>
    <col min="15792" max="15792" width="12.28515625" style="1" customWidth="1"/>
    <col min="15793" max="15793" width="47" style="1" customWidth="1"/>
    <col min="15794" max="15833" width="0" style="1" hidden="1" customWidth="1"/>
    <col min="15834" max="15835" width="13.28515625" style="1" customWidth="1"/>
    <col min="15836" max="15837" width="0" style="1" hidden="1" customWidth="1"/>
    <col min="15838" max="15838" width="13.28515625" style="1" customWidth="1"/>
    <col min="15839" max="15840" width="0" style="1" hidden="1" customWidth="1"/>
    <col min="15841" max="15841" width="13.28515625" style="1" customWidth="1"/>
    <col min="15842" max="15843" width="0" style="1" hidden="1" customWidth="1"/>
    <col min="15844" max="15844" width="13.28515625" style="1" customWidth="1"/>
    <col min="15845" max="15846" width="0" style="1" hidden="1" customWidth="1"/>
    <col min="15847" max="15847" width="13.28515625" style="1" customWidth="1"/>
    <col min="15848" max="15849" width="0" style="1" hidden="1" customWidth="1"/>
    <col min="15850" max="15851" width="13.28515625" style="1" customWidth="1"/>
    <col min="15852" max="15852" width="39.42578125" style="1" customWidth="1"/>
    <col min="15853" max="15857" width="13.28515625" style="1" customWidth="1"/>
    <col min="15858" max="15858" width="56.7109375" style="1" customWidth="1"/>
    <col min="15859" max="15859" width="11.7109375" style="1" customWidth="1"/>
    <col min="15860" max="16045" width="8.85546875" style="1"/>
    <col min="16046" max="16047" width="0" style="1" hidden="1" customWidth="1"/>
    <col min="16048" max="16048" width="12.28515625" style="1" customWidth="1"/>
    <col min="16049" max="16049" width="47" style="1" customWidth="1"/>
    <col min="16050" max="16089" width="0" style="1" hidden="1" customWidth="1"/>
    <col min="16090" max="16091" width="13.28515625" style="1" customWidth="1"/>
    <col min="16092" max="16093" width="0" style="1" hidden="1" customWidth="1"/>
    <col min="16094" max="16094" width="13.28515625" style="1" customWidth="1"/>
    <col min="16095" max="16096" width="0" style="1" hidden="1" customWidth="1"/>
    <col min="16097" max="16097" width="13.28515625" style="1" customWidth="1"/>
    <col min="16098" max="16099" width="0" style="1" hidden="1" customWidth="1"/>
    <col min="16100" max="16100" width="13.28515625" style="1" customWidth="1"/>
    <col min="16101" max="16102" width="0" style="1" hidden="1" customWidth="1"/>
    <col min="16103" max="16103" width="13.28515625" style="1" customWidth="1"/>
    <col min="16104" max="16105" width="0" style="1" hidden="1" customWidth="1"/>
    <col min="16106" max="16107" width="13.28515625" style="1" customWidth="1"/>
    <col min="16108" max="16108" width="39.42578125" style="1" customWidth="1"/>
    <col min="16109" max="16113" width="13.28515625" style="1" customWidth="1"/>
    <col min="16114" max="16114" width="56.7109375" style="1" customWidth="1"/>
    <col min="16115" max="16115" width="11.7109375" style="1" customWidth="1"/>
    <col min="16116" max="16314" width="8.85546875" style="1"/>
    <col min="16315" max="16347" width="8.140625" style="1" customWidth="1"/>
    <col min="16348" max="16355" width="8.85546875" style="1"/>
    <col min="16356" max="16356" width="8.140625" style="1" customWidth="1"/>
    <col min="16357" max="16384" width="8.85546875" style="1"/>
  </cols>
  <sheetData>
    <row r="1" spans="1:12" ht="25.5" outlineLevel="1" x14ac:dyDescent="0.35">
      <c r="C1" s="2" t="s">
        <v>0</v>
      </c>
      <c r="D1" s="3"/>
      <c r="E1" s="7"/>
      <c r="F1" s="6"/>
      <c r="G1" s="6"/>
      <c r="H1" s="4"/>
      <c r="I1" s="8"/>
      <c r="J1" s="6"/>
      <c r="K1" s="4"/>
      <c r="L1" s="8"/>
    </row>
    <row r="2" spans="1:12" ht="24.6" outlineLevel="1" x14ac:dyDescent="0.4">
      <c r="C2" s="230" t="s">
        <v>1</v>
      </c>
      <c r="D2" s="230"/>
      <c r="H2" s="5"/>
      <c r="I2" s="11"/>
      <c r="K2" s="5"/>
      <c r="L2" s="11"/>
    </row>
    <row r="3" spans="1:12" ht="20.25" outlineLevel="1" x14ac:dyDescent="0.3">
      <c r="C3" s="231" t="s">
        <v>2</v>
      </c>
      <c r="D3" s="231"/>
      <c r="E3" s="14">
        <v>37257977</v>
      </c>
      <c r="F3" s="13">
        <v>37257977</v>
      </c>
      <c r="G3" s="13">
        <f>G104-G133-G42</f>
        <v>37259477</v>
      </c>
      <c r="H3" s="12"/>
      <c r="J3" s="13">
        <f>J104-J133-J42+J85</f>
        <v>37259477</v>
      </c>
      <c r="K3" s="12"/>
    </row>
    <row r="4" spans="1:12" ht="14.45" outlineLevel="1" thickBot="1" x14ac:dyDescent="0.3">
      <c r="C4" s="16"/>
      <c r="E4" s="14"/>
      <c r="F4" s="13"/>
      <c r="G4" s="13"/>
      <c r="H4" s="15"/>
      <c r="J4" s="13"/>
      <c r="K4" s="15"/>
    </row>
    <row r="5" spans="1:12" ht="55.15" customHeight="1" thickBot="1" x14ac:dyDescent="0.3">
      <c r="C5" s="17" t="s">
        <v>3</v>
      </c>
      <c r="D5" s="18" t="s">
        <v>4</v>
      </c>
      <c r="E5" s="21" t="s">
        <v>6</v>
      </c>
      <c r="F5" s="20" t="s">
        <v>6</v>
      </c>
      <c r="G5" s="20" t="s">
        <v>7</v>
      </c>
      <c r="H5" s="19" t="s">
        <v>8</v>
      </c>
      <c r="I5" s="22" t="s">
        <v>9</v>
      </c>
      <c r="J5" s="20" t="s">
        <v>10</v>
      </c>
      <c r="K5" s="19" t="s">
        <v>11</v>
      </c>
      <c r="L5" s="22" t="s">
        <v>9</v>
      </c>
    </row>
    <row r="6" spans="1:12" x14ac:dyDescent="0.25">
      <c r="C6" s="23" t="s">
        <v>12</v>
      </c>
      <c r="D6" s="24" t="s">
        <v>13</v>
      </c>
      <c r="E6" s="26">
        <v>42715458</v>
      </c>
      <c r="F6" s="25">
        <v>42715458</v>
      </c>
      <c r="G6" s="25">
        <f t="shared" ref="G6" si="0">ROUND((G7+G10+G13+G16+G19),0)</f>
        <v>42715458</v>
      </c>
      <c r="H6" s="27">
        <f>G6-F6</f>
        <v>0</v>
      </c>
      <c r="I6" s="28"/>
      <c r="J6" s="25">
        <f>ROUND((J7+J10+J13+J16+J19),0)</f>
        <v>41763189</v>
      </c>
      <c r="K6" s="27">
        <f>J6-G6</f>
        <v>-952269</v>
      </c>
      <c r="L6" s="28"/>
    </row>
    <row r="7" spans="1:12" x14ac:dyDescent="0.25">
      <c r="B7" s="1" t="s">
        <v>14</v>
      </c>
      <c r="C7" s="29" t="s">
        <v>15</v>
      </c>
      <c r="D7" s="30" t="s">
        <v>16</v>
      </c>
      <c r="E7" s="33">
        <v>39439118</v>
      </c>
      <c r="F7" s="32">
        <v>39439118</v>
      </c>
      <c r="G7" s="32">
        <f>SUM(G8:G8)</f>
        <v>39439118</v>
      </c>
      <c r="H7" s="31">
        <f t="shared" ref="H7:H70" si="1">G7-F7</f>
        <v>0</v>
      </c>
      <c r="I7" s="34"/>
      <c r="J7" s="32">
        <f>SUM(J8:J8)</f>
        <v>38486849</v>
      </c>
      <c r="K7" s="31">
        <f t="shared" ref="K7:K70" si="2">J7-G7</f>
        <v>-952269</v>
      </c>
      <c r="L7" s="34"/>
    </row>
    <row r="8" spans="1:12" ht="33" customHeight="1" x14ac:dyDescent="0.25">
      <c r="A8" s="1" t="s">
        <v>17</v>
      </c>
      <c r="B8" s="35" t="s">
        <v>18</v>
      </c>
      <c r="C8" s="36" t="s">
        <v>19</v>
      </c>
      <c r="D8" s="37" t="s">
        <v>20</v>
      </c>
      <c r="E8" s="39">
        <v>39439118</v>
      </c>
      <c r="F8" s="39">
        <v>39439118</v>
      </c>
      <c r="G8" s="39">
        <f>ROUND(F8,0)</f>
        <v>39439118</v>
      </c>
      <c r="H8" s="38">
        <f t="shared" si="1"/>
        <v>0</v>
      </c>
      <c r="I8" s="40"/>
      <c r="J8" s="39">
        <f>ROUND(G8,0)-952269</f>
        <v>38486849</v>
      </c>
      <c r="K8" s="38">
        <f t="shared" si="2"/>
        <v>-952269</v>
      </c>
      <c r="L8" s="41" t="s">
        <v>21</v>
      </c>
    </row>
    <row r="9" spans="1:12" ht="32.450000000000003" customHeight="1" x14ac:dyDescent="0.25">
      <c r="C9" s="23" t="s">
        <v>22</v>
      </c>
      <c r="D9" s="24" t="s">
        <v>23</v>
      </c>
      <c r="E9" s="26">
        <v>3211340</v>
      </c>
      <c r="F9" s="25">
        <v>3211340</v>
      </c>
      <c r="G9" s="25">
        <f>G10+G13+G16</f>
        <v>3211340</v>
      </c>
      <c r="H9" s="27">
        <f t="shared" si="1"/>
        <v>0</v>
      </c>
      <c r="I9" s="28"/>
      <c r="J9" s="25">
        <f>J10+J13+J16</f>
        <v>3211340</v>
      </c>
      <c r="K9" s="27">
        <f t="shared" si="2"/>
        <v>0</v>
      </c>
      <c r="L9" s="28"/>
    </row>
    <row r="10" spans="1:12" x14ac:dyDescent="0.25">
      <c r="B10" s="1" t="s">
        <v>24</v>
      </c>
      <c r="C10" s="42" t="s">
        <v>25</v>
      </c>
      <c r="D10" s="43" t="s">
        <v>26</v>
      </c>
      <c r="E10" s="46">
        <v>2082625</v>
      </c>
      <c r="F10" s="45">
        <v>2082625</v>
      </c>
      <c r="G10" s="45">
        <f>SUM(G11:G12)</f>
        <v>2082625</v>
      </c>
      <c r="H10" s="44">
        <f t="shared" si="1"/>
        <v>0</v>
      </c>
      <c r="I10" s="47"/>
      <c r="J10" s="45">
        <f>SUM(J11:J12)</f>
        <v>2082625</v>
      </c>
      <c r="K10" s="44">
        <f t="shared" si="2"/>
        <v>0</v>
      </c>
      <c r="L10" s="47"/>
    </row>
    <row r="11" spans="1:12" x14ac:dyDescent="0.25">
      <c r="A11" s="1" t="s">
        <v>17</v>
      </c>
      <c r="B11" s="35" t="s">
        <v>27</v>
      </c>
      <c r="C11" s="36" t="s">
        <v>28</v>
      </c>
      <c r="D11" s="37" t="s">
        <v>20</v>
      </c>
      <c r="E11" s="48">
        <v>1945625</v>
      </c>
      <c r="F11" s="39">
        <v>1945625</v>
      </c>
      <c r="G11" s="39">
        <f>ROUND(F11,0)</f>
        <v>1945625</v>
      </c>
      <c r="H11" s="38">
        <f t="shared" si="1"/>
        <v>0</v>
      </c>
      <c r="I11" s="49"/>
      <c r="J11" s="39">
        <f t="shared" ref="J11:J12" si="3">ROUND(G11,0)</f>
        <v>1945625</v>
      </c>
      <c r="K11" s="38">
        <f t="shared" si="2"/>
        <v>0</v>
      </c>
      <c r="L11" s="49"/>
    </row>
    <row r="12" spans="1:12" x14ac:dyDescent="0.25">
      <c r="A12" s="1" t="s">
        <v>17</v>
      </c>
      <c r="B12" s="35" t="s">
        <v>29</v>
      </c>
      <c r="C12" s="36" t="s">
        <v>30</v>
      </c>
      <c r="D12" s="37" t="s">
        <v>31</v>
      </c>
      <c r="E12" s="48">
        <v>137000</v>
      </c>
      <c r="F12" s="39">
        <v>137000</v>
      </c>
      <c r="G12" s="39">
        <f>ROUND(F12,0)</f>
        <v>137000</v>
      </c>
      <c r="H12" s="38">
        <f t="shared" si="1"/>
        <v>0</v>
      </c>
      <c r="I12" s="40"/>
      <c r="J12" s="39">
        <f t="shared" si="3"/>
        <v>137000</v>
      </c>
      <c r="K12" s="38">
        <f t="shared" si="2"/>
        <v>0</v>
      </c>
      <c r="L12" s="40"/>
    </row>
    <row r="13" spans="1:12" x14ac:dyDescent="0.25">
      <c r="B13" s="1" t="s">
        <v>32</v>
      </c>
      <c r="C13" s="42" t="s">
        <v>33</v>
      </c>
      <c r="D13" s="43" t="s">
        <v>34</v>
      </c>
      <c r="E13" s="46">
        <v>392228</v>
      </c>
      <c r="F13" s="45">
        <v>392228</v>
      </c>
      <c r="G13" s="45">
        <f>SUM(G14:G15)</f>
        <v>392228</v>
      </c>
      <c r="H13" s="44">
        <f t="shared" si="1"/>
        <v>0</v>
      </c>
      <c r="I13" s="47"/>
      <c r="J13" s="45">
        <f>SUM(J14:J15)</f>
        <v>392228</v>
      </c>
      <c r="K13" s="44">
        <f t="shared" si="2"/>
        <v>0</v>
      </c>
      <c r="L13" s="47"/>
    </row>
    <row r="14" spans="1:12" x14ac:dyDescent="0.25">
      <c r="A14" s="1" t="s">
        <v>17</v>
      </c>
      <c r="B14" s="35" t="s">
        <v>35</v>
      </c>
      <c r="C14" s="36" t="s">
        <v>36</v>
      </c>
      <c r="D14" s="37" t="s">
        <v>37</v>
      </c>
      <c r="E14" s="48">
        <v>362228</v>
      </c>
      <c r="F14" s="39">
        <v>362228</v>
      </c>
      <c r="G14" s="39">
        <f>ROUND(F14,0)</f>
        <v>362228</v>
      </c>
      <c r="H14" s="38">
        <f t="shared" si="1"/>
        <v>0</v>
      </c>
      <c r="I14" s="50"/>
      <c r="J14" s="39">
        <f t="shared" ref="J14:J15" si="4">ROUND(G14,0)</f>
        <v>362228</v>
      </c>
      <c r="K14" s="38">
        <f t="shared" si="2"/>
        <v>0</v>
      </c>
      <c r="L14" s="50"/>
    </row>
    <row r="15" spans="1:12" x14ac:dyDescent="0.25">
      <c r="A15" s="1" t="s">
        <v>17</v>
      </c>
      <c r="B15" s="35" t="s">
        <v>38</v>
      </c>
      <c r="C15" s="36" t="s">
        <v>39</v>
      </c>
      <c r="D15" s="37" t="s">
        <v>31</v>
      </c>
      <c r="E15" s="48">
        <v>30000</v>
      </c>
      <c r="F15" s="39">
        <v>30000</v>
      </c>
      <c r="G15" s="39">
        <f>ROUND(F15,0)</f>
        <v>30000</v>
      </c>
      <c r="H15" s="38">
        <f t="shared" si="1"/>
        <v>0</v>
      </c>
      <c r="I15" s="40"/>
      <c r="J15" s="39">
        <f t="shared" si="4"/>
        <v>30000</v>
      </c>
      <c r="K15" s="38">
        <f t="shared" si="2"/>
        <v>0</v>
      </c>
      <c r="L15" s="40"/>
    </row>
    <row r="16" spans="1:12" ht="29.25" x14ac:dyDescent="0.25">
      <c r="B16" s="1" t="s">
        <v>40</v>
      </c>
      <c r="C16" s="42" t="s">
        <v>41</v>
      </c>
      <c r="D16" s="43" t="s">
        <v>42</v>
      </c>
      <c r="E16" s="46">
        <v>736487</v>
      </c>
      <c r="F16" s="45">
        <v>736487</v>
      </c>
      <c r="G16" s="45">
        <f>SUM(G17:G18)</f>
        <v>736487</v>
      </c>
      <c r="H16" s="44">
        <f t="shared" si="1"/>
        <v>0</v>
      </c>
      <c r="I16" s="47"/>
      <c r="J16" s="45">
        <f>SUM(J17:J18)</f>
        <v>736487</v>
      </c>
      <c r="K16" s="44">
        <f t="shared" si="2"/>
        <v>0</v>
      </c>
      <c r="L16" s="47"/>
    </row>
    <row r="17" spans="1:12" ht="18.75" customHeight="1" x14ac:dyDescent="0.25">
      <c r="A17" s="1" t="s">
        <v>17</v>
      </c>
      <c r="B17" s="35" t="s">
        <v>43</v>
      </c>
      <c r="C17" s="36" t="s">
        <v>44</v>
      </c>
      <c r="D17" s="37" t="s">
        <v>37</v>
      </c>
      <c r="E17" s="48">
        <v>665899</v>
      </c>
      <c r="F17" s="39">
        <v>665899</v>
      </c>
      <c r="G17" s="39">
        <f>ROUND(F17,0)</f>
        <v>665899</v>
      </c>
      <c r="H17" s="38">
        <f t="shared" si="1"/>
        <v>0</v>
      </c>
      <c r="I17" s="50"/>
      <c r="J17" s="39">
        <f t="shared" ref="J17:J18" si="5">ROUND(G17,0)</f>
        <v>665899</v>
      </c>
      <c r="K17" s="38">
        <f t="shared" si="2"/>
        <v>0</v>
      </c>
      <c r="L17" s="50"/>
    </row>
    <row r="18" spans="1:12" x14ac:dyDescent="0.25">
      <c r="A18" s="1" t="s">
        <v>17</v>
      </c>
      <c r="B18" s="35" t="s">
        <v>45</v>
      </c>
      <c r="C18" s="36" t="s">
        <v>46</v>
      </c>
      <c r="D18" s="37" t="s">
        <v>31</v>
      </c>
      <c r="E18" s="48">
        <v>70588</v>
      </c>
      <c r="F18" s="39">
        <v>70588</v>
      </c>
      <c r="G18" s="39">
        <f>ROUND(F18,0)</f>
        <v>70588</v>
      </c>
      <c r="H18" s="38">
        <f t="shared" si="1"/>
        <v>0</v>
      </c>
      <c r="I18" s="49"/>
      <c r="J18" s="39">
        <f t="shared" si="5"/>
        <v>70588</v>
      </c>
      <c r="K18" s="38">
        <f t="shared" si="2"/>
        <v>0</v>
      </c>
      <c r="L18" s="49"/>
    </row>
    <row r="19" spans="1:12" ht="29.25" x14ac:dyDescent="0.25">
      <c r="B19" s="51"/>
      <c r="C19" s="42" t="s">
        <v>47</v>
      </c>
      <c r="D19" s="43" t="s">
        <v>48</v>
      </c>
      <c r="E19" s="46">
        <v>65000</v>
      </c>
      <c r="F19" s="45">
        <v>65000</v>
      </c>
      <c r="G19" s="45">
        <f t="shared" ref="G19" si="6">SUM(G20:G21)</f>
        <v>65000</v>
      </c>
      <c r="H19" s="44">
        <f t="shared" si="1"/>
        <v>0</v>
      </c>
      <c r="I19" s="47"/>
      <c r="J19" s="45">
        <f t="shared" ref="J19" si="7">SUM(J20:J21)</f>
        <v>65000</v>
      </c>
      <c r="K19" s="44">
        <f t="shared" si="2"/>
        <v>0</v>
      </c>
      <c r="L19" s="47"/>
    </row>
    <row r="20" spans="1:12" ht="14.45" customHeight="1" outlineLevel="1" x14ac:dyDescent="0.25">
      <c r="B20" s="35" t="s">
        <v>49</v>
      </c>
      <c r="C20" s="36" t="s">
        <v>50</v>
      </c>
      <c r="D20" s="37" t="s">
        <v>51</v>
      </c>
      <c r="E20" s="48">
        <v>5000</v>
      </c>
      <c r="F20" s="39">
        <v>5000</v>
      </c>
      <c r="G20" s="39">
        <f>ROUND(F20,0)</f>
        <v>5000</v>
      </c>
      <c r="H20" s="38">
        <f t="shared" si="1"/>
        <v>0</v>
      </c>
      <c r="I20" s="50"/>
      <c r="J20" s="39">
        <f t="shared" ref="J20:J21" si="8">ROUND(G20,0)</f>
        <v>5000</v>
      </c>
      <c r="K20" s="38">
        <f t="shared" si="2"/>
        <v>0</v>
      </c>
      <c r="L20" s="50"/>
    </row>
    <row r="21" spans="1:12" ht="15.6" customHeight="1" x14ac:dyDescent="0.25">
      <c r="B21" s="35" t="s">
        <v>52</v>
      </c>
      <c r="C21" s="36" t="s">
        <v>50</v>
      </c>
      <c r="D21" s="37" t="s">
        <v>53</v>
      </c>
      <c r="E21" s="48">
        <v>60000</v>
      </c>
      <c r="F21" s="39">
        <v>60000</v>
      </c>
      <c r="G21" s="39">
        <f>ROUND(F21,0)</f>
        <v>60000</v>
      </c>
      <c r="H21" s="38">
        <f t="shared" si="1"/>
        <v>0</v>
      </c>
      <c r="I21" s="52"/>
      <c r="J21" s="39">
        <f t="shared" si="8"/>
        <v>60000</v>
      </c>
      <c r="K21" s="38">
        <f t="shared" si="2"/>
        <v>0</v>
      </c>
      <c r="L21" s="52"/>
    </row>
    <row r="22" spans="1:12" ht="15.75" customHeight="1" x14ac:dyDescent="0.25">
      <c r="B22" s="1" t="s">
        <v>54</v>
      </c>
      <c r="C22" s="42" t="s">
        <v>55</v>
      </c>
      <c r="D22" s="43" t="s">
        <v>56</v>
      </c>
      <c r="E22" s="46">
        <v>144060</v>
      </c>
      <c r="F22" s="45">
        <v>144060</v>
      </c>
      <c r="G22" s="45">
        <f t="shared" ref="G22" si="9">G23+G27</f>
        <v>144060</v>
      </c>
      <c r="H22" s="44">
        <f t="shared" si="1"/>
        <v>0</v>
      </c>
      <c r="I22" s="47"/>
      <c r="J22" s="45">
        <f t="shared" ref="J22" si="10">J23+J27</f>
        <v>144060</v>
      </c>
      <c r="K22" s="44">
        <f t="shared" si="2"/>
        <v>0</v>
      </c>
      <c r="L22" s="47"/>
    </row>
    <row r="23" spans="1:12" ht="13.9" x14ac:dyDescent="0.25">
      <c r="A23" s="1" t="s">
        <v>17</v>
      </c>
      <c r="B23" s="1" t="s">
        <v>57</v>
      </c>
      <c r="C23" s="36" t="s">
        <v>58</v>
      </c>
      <c r="D23" s="37" t="s">
        <v>59</v>
      </c>
      <c r="E23" s="48">
        <v>6100</v>
      </c>
      <c r="F23" s="39">
        <v>6100</v>
      </c>
      <c r="G23" s="39">
        <f>G24+G25+G26</f>
        <v>6100</v>
      </c>
      <c r="H23" s="38">
        <f t="shared" si="1"/>
        <v>0</v>
      </c>
      <c r="I23" s="49"/>
      <c r="J23" s="39">
        <f>J24+J25+J26</f>
        <v>6100</v>
      </c>
      <c r="K23" s="38">
        <f t="shared" si="2"/>
        <v>0</v>
      </c>
      <c r="L23" s="49"/>
    </row>
    <row r="24" spans="1:12" ht="26.25" x14ac:dyDescent="0.25">
      <c r="B24" s="35" t="s">
        <v>60</v>
      </c>
      <c r="C24" s="53" t="s">
        <v>61</v>
      </c>
      <c r="D24" s="54" t="s">
        <v>62</v>
      </c>
      <c r="E24" s="48">
        <v>1100</v>
      </c>
      <c r="F24" s="39">
        <v>1100</v>
      </c>
      <c r="G24" s="39">
        <f>ROUND(F24,0)</f>
        <v>1100</v>
      </c>
      <c r="H24" s="38">
        <f t="shared" si="1"/>
        <v>0</v>
      </c>
      <c r="I24" s="49"/>
      <c r="J24" s="39">
        <f t="shared" ref="J24:J26" si="11">ROUND(G24,0)</f>
        <v>1100</v>
      </c>
      <c r="K24" s="38">
        <f t="shared" si="2"/>
        <v>0</v>
      </c>
      <c r="L24" s="49"/>
    </row>
    <row r="25" spans="1:12" ht="26.25" x14ac:dyDescent="0.25">
      <c r="B25" s="35" t="s">
        <v>63</v>
      </c>
      <c r="C25" s="53" t="s">
        <v>64</v>
      </c>
      <c r="D25" s="54" t="s">
        <v>65</v>
      </c>
      <c r="E25" s="48">
        <v>4500</v>
      </c>
      <c r="F25" s="39">
        <v>4500</v>
      </c>
      <c r="G25" s="39">
        <f>ROUND(F25,0)</f>
        <v>4500</v>
      </c>
      <c r="H25" s="38">
        <f t="shared" si="1"/>
        <v>0</v>
      </c>
      <c r="I25" s="49"/>
      <c r="J25" s="39">
        <f t="shared" si="11"/>
        <v>4500</v>
      </c>
      <c r="K25" s="38">
        <f t="shared" si="2"/>
        <v>0</v>
      </c>
      <c r="L25" s="49"/>
    </row>
    <row r="26" spans="1:12" ht="26.25" x14ac:dyDescent="0.25">
      <c r="B26" s="35" t="s">
        <v>66</v>
      </c>
      <c r="C26" s="53" t="s">
        <v>67</v>
      </c>
      <c r="D26" s="54" t="s">
        <v>68</v>
      </c>
      <c r="E26" s="48">
        <v>500</v>
      </c>
      <c r="F26" s="39">
        <v>500</v>
      </c>
      <c r="G26" s="39">
        <f>ROUND(F26,0)</f>
        <v>500</v>
      </c>
      <c r="H26" s="38">
        <f t="shared" si="1"/>
        <v>0</v>
      </c>
      <c r="I26" s="49"/>
      <c r="J26" s="39">
        <f t="shared" si="11"/>
        <v>500</v>
      </c>
      <c r="K26" s="38">
        <f t="shared" si="2"/>
        <v>0</v>
      </c>
      <c r="L26" s="49"/>
    </row>
    <row r="27" spans="1:12" x14ac:dyDescent="0.25">
      <c r="A27" s="1" t="s">
        <v>17</v>
      </c>
      <c r="B27" s="1" t="s">
        <v>69</v>
      </c>
      <c r="C27" s="36" t="s">
        <v>70</v>
      </c>
      <c r="D27" s="37" t="s">
        <v>71</v>
      </c>
      <c r="E27" s="48">
        <v>137960</v>
      </c>
      <c r="F27" s="39">
        <v>137960</v>
      </c>
      <c r="G27" s="39">
        <f t="shared" ref="G27" si="12">SUM(G28:G33)</f>
        <v>137960</v>
      </c>
      <c r="H27" s="38">
        <f t="shared" si="1"/>
        <v>0</v>
      </c>
      <c r="I27" s="49"/>
      <c r="J27" s="39">
        <f t="shared" ref="J27" si="13">SUM(J28:J33)</f>
        <v>137960</v>
      </c>
      <c r="K27" s="38">
        <f t="shared" si="2"/>
        <v>0</v>
      </c>
      <c r="L27" s="49"/>
    </row>
    <row r="28" spans="1:12" ht="26.25" x14ac:dyDescent="0.25">
      <c r="B28" s="35" t="s">
        <v>72</v>
      </c>
      <c r="C28" s="53" t="s">
        <v>73</v>
      </c>
      <c r="D28" s="54" t="s">
        <v>74</v>
      </c>
      <c r="E28" s="48">
        <v>100</v>
      </c>
      <c r="F28" s="39">
        <v>100</v>
      </c>
      <c r="G28" s="39">
        <f t="shared" ref="G28:G33" si="14">ROUND(F28,0)</f>
        <v>100</v>
      </c>
      <c r="H28" s="38">
        <f t="shared" si="1"/>
        <v>0</v>
      </c>
      <c r="I28" s="49"/>
      <c r="J28" s="39">
        <f t="shared" ref="J28:J33" si="15">ROUND(G28,0)</f>
        <v>100</v>
      </c>
      <c r="K28" s="38">
        <f t="shared" si="2"/>
        <v>0</v>
      </c>
      <c r="L28" s="49"/>
    </row>
    <row r="29" spans="1:12" ht="26.25" x14ac:dyDescent="0.25">
      <c r="B29" s="55" t="s">
        <v>75</v>
      </c>
      <c r="C29" s="53" t="s">
        <v>76</v>
      </c>
      <c r="D29" s="54" t="s">
        <v>77</v>
      </c>
      <c r="E29" s="48">
        <v>1860</v>
      </c>
      <c r="F29" s="39">
        <v>1860</v>
      </c>
      <c r="G29" s="39">
        <f t="shared" si="14"/>
        <v>1860</v>
      </c>
      <c r="H29" s="38">
        <f t="shared" si="1"/>
        <v>0</v>
      </c>
      <c r="I29" s="49"/>
      <c r="J29" s="39">
        <f t="shared" si="15"/>
        <v>1860</v>
      </c>
      <c r="K29" s="38">
        <f t="shared" si="2"/>
        <v>0</v>
      </c>
      <c r="L29" s="49"/>
    </row>
    <row r="30" spans="1:12" ht="25.9" customHeight="1" x14ac:dyDescent="0.25">
      <c r="B30" s="35" t="s">
        <v>78</v>
      </c>
      <c r="C30" s="53" t="s">
        <v>79</v>
      </c>
      <c r="D30" s="54" t="s">
        <v>80</v>
      </c>
      <c r="E30" s="48">
        <v>33000</v>
      </c>
      <c r="F30" s="39">
        <v>33000</v>
      </c>
      <c r="G30" s="39">
        <f t="shared" si="14"/>
        <v>33000</v>
      </c>
      <c r="H30" s="38">
        <f t="shared" si="1"/>
        <v>0</v>
      </c>
      <c r="I30" s="49"/>
      <c r="J30" s="39">
        <f t="shared" si="15"/>
        <v>33000</v>
      </c>
      <c r="K30" s="38">
        <f t="shared" si="2"/>
        <v>0</v>
      </c>
      <c r="L30" s="49"/>
    </row>
    <row r="31" spans="1:12" ht="26.25" x14ac:dyDescent="0.25">
      <c r="B31" s="35" t="s">
        <v>81</v>
      </c>
      <c r="C31" s="53" t="s">
        <v>82</v>
      </c>
      <c r="D31" s="54" t="s">
        <v>83</v>
      </c>
      <c r="E31" s="48">
        <v>13000</v>
      </c>
      <c r="F31" s="39">
        <v>13000</v>
      </c>
      <c r="G31" s="39">
        <f t="shared" si="14"/>
        <v>13000</v>
      </c>
      <c r="H31" s="38">
        <f t="shared" si="1"/>
        <v>0</v>
      </c>
      <c r="I31" s="49"/>
      <c r="J31" s="39">
        <f t="shared" si="15"/>
        <v>13000</v>
      </c>
      <c r="K31" s="38">
        <f t="shared" si="2"/>
        <v>0</v>
      </c>
      <c r="L31" s="49"/>
    </row>
    <row r="32" spans="1:12" x14ac:dyDescent="0.25">
      <c r="B32" s="35" t="s">
        <v>84</v>
      </c>
      <c r="C32" s="53" t="s">
        <v>85</v>
      </c>
      <c r="D32" s="54" t="s">
        <v>86</v>
      </c>
      <c r="E32" s="48">
        <v>85000</v>
      </c>
      <c r="F32" s="39">
        <v>85000</v>
      </c>
      <c r="G32" s="39">
        <f t="shared" si="14"/>
        <v>85000</v>
      </c>
      <c r="H32" s="38">
        <f t="shared" si="1"/>
        <v>0</v>
      </c>
      <c r="I32" s="49"/>
      <c r="J32" s="39">
        <f t="shared" si="15"/>
        <v>85000</v>
      </c>
      <c r="K32" s="38">
        <f t="shared" si="2"/>
        <v>0</v>
      </c>
      <c r="L32" s="49"/>
    </row>
    <row r="33" spans="1:12" x14ac:dyDescent="0.25">
      <c r="B33" s="35" t="s">
        <v>87</v>
      </c>
      <c r="C33" s="53" t="s">
        <v>88</v>
      </c>
      <c r="D33" s="54" t="s">
        <v>89</v>
      </c>
      <c r="E33" s="48">
        <v>5000</v>
      </c>
      <c r="F33" s="39">
        <v>5000</v>
      </c>
      <c r="G33" s="39">
        <f t="shared" si="14"/>
        <v>5000</v>
      </c>
      <c r="H33" s="38">
        <f t="shared" si="1"/>
        <v>0</v>
      </c>
      <c r="I33" s="49"/>
      <c r="J33" s="39">
        <f t="shared" si="15"/>
        <v>5000</v>
      </c>
      <c r="K33" s="38">
        <f t="shared" si="2"/>
        <v>0</v>
      </c>
      <c r="L33" s="49"/>
    </row>
    <row r="34" spans="1:12" ht="18" customHeight="1" x14ac:dyDescent="0.25">
      <c r="B34" s="1" t="s">
        <v>90</v>
      </c>
      <c r="C34" s="42" t="s">
        <v>91</v>
      </c>
      <c r="D34" s="43" t="s">
        <v>92</v>
      </c>
      <c r="E34" s="46">
        <v>130000</v>
      </c>
      <c r="F34" s="45">
        <v>130000</v>
      </c>
      <c r="G34" s="45">
        <f>G35+G36</f>
        <v>130000</v>
      </c>
      <c r="H34" s="44">
        <f t="shared" si="1"/>
        <v>0</v>
      </c>
      <c r="I34" s="56"/>
      <c r="J34" s="45">
        <f>J35+J36</f>
        <v>130000</v>
      </c>
      <c r="K34" s="44">
        <f t="shared" si="2"/>
        <v>0</v>
      </c>
      <c r="L34" s="56"/>
    </row>
    <row r="35" spans="1:12" ht="16.5" customHeight="1" x14ac:dyDescent="0.25">
      <c r="B35" s="51" t="s">
        <v>93</v>
      </c>
      <c r="C35" s="36" t="s">
        <v>94</v>
      </c>
      <c r="D35" s="37" t="s">
        <v>92</v>
      </c>
      <c r="E35" s="48">
        <v>90000</v>
      </c>
      <c r="F35" s="39">
        <v>90000</v>
      </c>
      <c r="G35" s="39">
        <f>ROUND(F35,0)</f>
        <v>90000</v>
      </c>
      <c r="H35" s="38">
        <f t="shared" si="1"/>
        <v>0</v>
      </c>
      <c r="I35" s="40"/>
      <c r="J35" s="39">
        <f t="shared" ref="J35:J36" si="16">ROUND(G35,0)</f>
        <v>90000</v>
      </c>
      <c r="K35" s="38">
        <f t="shared" si="2"/>
        <v>0</v>
      </c>
      <c r="L35" s="40"/>
    </row>
    <row r="36" spans="1:12" ht="30" x14ac:dyDescent="0.25">
      <c r="B36" s="51" t="s">
        <v>95</v>
      </c>
      <c r="C36" s="36" t="s">
        <v>96</v>
      </c>
      <c r="D36" s="37" t="s">
        <v>97</v>
      </c>
      <c r="E36" s="48">
        <v>40000</v>
      </c>
      <c r="F36" s="39">
        <v>40000</v>
      </c>
      <c r="G36" s="39">
        <f>ROUND(F36,0)</f>
        <v>40000</v>
      </c>
      <c r="H36" s="38">
        <f t="shared" si="1"/>
        <v>0</v>
      </c>
      <c r="I36" s="40"/>
      <c r="J36" s="39">
        <f t="shared" si="16"/>
        <v>40000</v>
      </c>
      <c r="K36" s="38">
        <f t="shared" si="2"/>
        <v>0</v>
      </c>
      <c r="L36" s="40"/>
    </row>
    <row r="37" spans="1:12" ht="15" customHeight="1" x14ac:dyDescent="0.25">
      <c r="B37" s="1" t="s">
        <v>98</v>
      </c>
      <c r="C37" s="42" t="s">
        <v>99</v>
      </c>
      <c r="D37" s="43" t="s">
        <v>100</v>
      </c>
      <c r="E37" s="46">
        <v>35728</v>
      </c>
      <c r="F37" s="45">
        <v>35728</v>
      </c>
      <c r="G37" s="45">
        <f>G38+G39+G40</f>
        <v>35728</v>
      </c>
      <c r="H37" s="44">
        <f t="shared" si="1"/>
        <v>0</v>
      </c>
      <c r="I37" s="47"/>
      <c r="J37" s="45">
        <f>J38+J39+J40</f>
        <v>35728</v>
      </c>
      <c r="K37" s="44">
        <f t="shared" si="2"/>
        <v>0</v>
      </c>
      <c r="L37" s="47"/>
    </row>
    <row r="38" spans="1:12" ht="66" customHeight="1" x14ac:dyDescent="0.25">
      <c r="A38" s="1" t="s">
        <v>17</v>
      </c>
      <c r="B38" s="4" t="s">
        <v>101</v>
      </c>
      <c r="C38" s="36" t="s">
        <v>102</v>
      </c>
      <c r="D38" s="57" t="s">
        <v>103</v>
      </c>
      <c r="E38" s="48">
        <v>25728</v>
      </c>
      <c r="F38" s="39">
        <v>25728</v>
      </c>
      <c r="G38" s="39">
        <f>ROUND(F38,0)</f>
        <v>25728</v>
      </c>
      <c r="H38" s="38">
        <f t="shared" si="1"/>
        <v>0</v>
      </c>
      <c r="I38" s="41"/>
      <c r="J38" s="39">
        <f t="shared" ref="J38:J40" si="17">ROUND(G38,0)</f>
        <v>25728</v>
      </c>
      <c r="K38" s="38">
        <f t="shared" si="2"/>
        <v>0</v>
      </c>
      <c r="L38" s="41"/>
    </row>
    <row r="39" spans="1:12" ht="27.75" customHeight="1" x14ac:dyDescent="0.25">
      <c r="B39" s="1" t="s">
        <v>104</v>
      </c>
      <c r="C39" s="36" t="s">
        <v>105</v>
      </c>
      <c r="D39" s="37" t="s">
        <v>106</v>
      </c>
      <c r="E39" s="48">
        <v>0</v>
      </c>
      <c r="F39" s="39">
        <v>0</v>
      </c>
      <c r="G39" s="39">
        <f>ROUND(F39,0)</f>
        <v>0</v>
      </c>
      <c r="H39" s="38">
        <f t="shared" si="1"/>
        <v>0</v>
      </c>
      <c r="I39" s="41"/>
      <c r="J39" s="39">
        <f t="shared" si="17"/>
        <v>0</v>
      </c>
      <c r="K39" s="38">
        <f t="shared" si="2"/>
        <v>0</v>
      </c>
      <c r="L39" s="41"/>
    </row>
    <row r="40" spans="1:12" x14ac:dyDescent="0.25">
      <c r="B40" s="1" t="s">
        <v>107</v>
      </c>
      <c r="C40" s="36" t="s">
        <v>108</v>
      </c>
      <c r="D40" s="37" t="s">
        <v>109</v>
      </c>
      <c r="E40" s="48">
        <v>10000</v>
      </c>
      <c r="F40" s="39">
        <v>10000</v>
      </c>
      <c r="G40" s="39">
        <f>ROUND(F40,0)</f>
        <v>10000</v>
      </c>
      <c r="H40" s="38">
        <f t="shared" si="1"/>
        <v>0</v>
      </c>
      <c r="I40" s="40"/>
      <c r="J40" s="39">
        <f t="shared" si="17"/>
        <v>10000</v>
      </c>
      <c r="K40" s="38">
        <f t="shared" si="2"/>
        <v>0</v>
      </c>
      <c r="L40" s="40"/>
    </row>
    <row r="41" spans="1:12" ht="26.45" customHeight="1" x14ac:dyDescent="0.25">
      <c r="B41" s="1" t="s">
        <v>110</v>
      </c>
      <c r="C41" s="58" t="s">
        <v>111</v>
      </c>
      <c r="D41" s="43" t="s">
        <v>112</v>
      </c>
      <c r="E41" s="46">
        <v>0</v>
      </c>
      <c r="F41" s="45">
        <v>0</v>
      </c>
      <c r="G41" s="45">
        <f>ROUND(E41,0)</f>
        <v>0</v>
      </c>
      <c r="H41" s="44">
        <f t="shared" si="1"/>
        <v>0</v>
      </c>
      <c r="I41" s="56"/>
      <c r="J41" s="45">
        <f>ROUND(G41,0)</f>
        <v>0</v>
      </c>
      <c r="K41" s="44">
        <f t="shared" si="2"/>
        <v>0</v>
      </c>
      <c r="L41" s="56"/>
    </row>
    <row r="42" spans="1:12" ht="31.5" customHeight="1" x14ac:dyDescent="0.25">
      <c r="C42" s="58" t="s">
        <v>113</v>
      </c>
      <c r="D42" s="43" t="s">
        <v>114</v>
      </c>
      <c r="E42" s="46">
        <v>17618701</v>
      </c>
      <c r="F42" s="45">
        <v>17618701</v>
      </c>
      <c r="G42" s="45">
        <f t="shared" ref="G42" si="18">G43+G66+G85</f>
        <v>17672389</v>
      </c>
      <c r="H42" s="44">
        <f t="shared" si="1"/>
        <v>53688</v>
      </c>
      <c r="I42" s="44"/>
      <c r="J42" s="45">
        <f t="shared" ref="J42" si="19">J43+J66+J85</f>
        <v>18762239</v>
      </c>
      <c r="K42" s="44">
        <f t="shared" si="2"/>
        <v>1089850</v>
      </c>
      <c r="L42" s="44"/>
    </row>
    <row r="43" spans="1:12" ht="17.45" customHeight="1" x14ac:dyDescent="0.25">
      <c r="B43" s="35"/>
      <c r="C43" s="59" t="s">
        <v>115</v>
      </c>
      <c r="D43" s="60" t="s">
        <v>116</v>
      </c>
      <c r="E43" s="63">
        <v>9758404</v>
      </c>
      <c r="F43" s="64">
        <v>9758404</v>
      </c>
      <c r="G43" s="64">
        <f t="shared" ref="G43" si="20">SUM(G44:G47)+G50+SUM(G54:G65)</f>
        <v>9781664</v>
      </c>
      <c r="H43" s="65">
        <f t="shared" si="1"/>
        <v>23260</v>
      </c>
      <c r="I43" s="65"/>
      <c r="J43" s="64">
        <f t="shared" ref="J43" si="21">SUM(J44:J47)+J50+SUM(J54:J65)</f>
        <v>9919245</v>
      </c>
      <c r="K43" s="65">
        <f t="shared" si="2"/>
        <v>137581</v>
      </c>
      <c r="L43" s="65"/>
    </row>
    <row r="44" spans="1:12" ht="16.899999999999999" customHeight="1" x14ac:dyDescent="0.25">
      <c r="A44" s="1" t="s">
        <v>117</v>
      </c>
      <c r="B44" s="1" t="s">
        <v>118</v>
      </c>
      <c r="C44" s="53" t="s">
        <v>119</v>
      </c>
      <c r="D44" s="37" t="s">
        <v>120</v>
      </c>
      <c r="E44" s="48">
        <v>718764</v>
      </c>
      <c r="F44" s="39">
        <v>718764</v>
      </c>
      <c r="G44" s="39">
        <f>ROUND(F44,0)</f>
        <v>718764</v>
      </c>
      <c r="H44" s="38">
        <f t="shared" si="1"/>
        <v>0</v>
      </c>
      <c r="I44" s="41"/>
      <c r="J44" s="39">
        <f t="shared" ref="J44:J46" si="22">ROUND(G44,0)</f>
        <v>718764</v>
      </c>
      <c r="K44" s="38">
        <f t="shared" si="2"/>
        <v>0</v>
      </c>
      <c r="L44" s="41"/>
    </row>
    <row r="45" spans="1:12" ht="13.9" customHeight="1" x14ac:dyDescent="0.25">
      <c r="A45" s="1" t="s">
        <v>117</v>
      </c>
      <c r="B45" s="51" t="s">
        <v>121</v>
      </c>
      <c r="C45" s="53" t="s">
        <v>122</v>
      </c>
      <c r="D45" s="37" t="s">
        <v>123</v>
      </c>
      <c r="E45" s="48">
        <v>313180</v>
      </c>
      <c r="F45" s="39">
        <v>313180</v>
      </c>
      <c r="G45" s="39">
        <f>ROUND(F45,0)</f>
        <v>313180</v>
      </c>
      <c r="H45" s="38">
        <f t="shared" si="1"/>
        <v>0</v>
      </c>
      <c r="I45" s="40"/>
      <c r="J45" s="39">
        <f t="shared" si="22"/>
        <v>313180</v>
      </c>
      <c r="K45" s="38">
        <f t="shared" si="2"/>
        <v>0</v>
      </c>
      <c r="L45" s="40"/>
    </row>
    <row r="46" spans="1:12" x14ac:dyDescent="0.25">
      <c r="B46" s="51" t="s">
        <v>124</v>
      </c>
      <c r="C46" s="53" t="s">
        <v>125</v>
      </c>
      <c r="D46" s="37" t="s">
        <v>126</v>
      </c>
      <c r="E46" s="48">
        <v>341692</v>
      </c>
      <c r="F46" s="39">
        <v>341692</v>
      </c>
      <c r="G46" s="39">
        <f>ROUND(F46,0)</f>
        <v>341692</v>
      </c>
      <c r="H46" s="38">
        <f t="shared" si="1"/>
        <v>0</v>
      </c>
      <c r="I46" s="41"/>
      <c r="J46" s="39">
        <f t="shared" si="22"/>
        <v>341692</v>
      </c>
      <c r="K46" s="38">
        <f t="shared" si="2"/>
        <v>0</v>
      </c>
      <c r="L46" s="41"/>
    </row>
    <row r="47" spans="1:12" ht="14.25" customHeight="1" x14ac:dyDescent="0.25">
      <c r="A47" s="1" t="s">
        <v>117</v>
      </c>
      <c r="B47" s="51" t="s">
        <v>127</v>
      </c>
      <c r="C47" s="53" t="s">
        <v>128</v>
      </c>
      <c r="D47" s="37" t="s">
        <v>129</v>
      </c>
      <c r="E47" s="66">
        <v>0</v>
      </c>
      <c r="F47" s="38">
        <v>0</v>
      </c>
      <c r="G47" s="39">
        <f t="shared" ref="G47" si="23">G48+G49</f>
        <v>0</v>
      </c>
      <c r="H47" s="38">
        <f t="shared" si="1"/>
        <v>0</v>
      </c>
      <c r="I47" s="38"/>
      <c r="J47" s="39">
        <f t="shared" ref="J47" si="24">J48+J49</f>
        <v>117542</v>
      </c>
      <c r="K47" s="38">
        <f t="shared" si="2"/>
        <v>117542</v>
      </c>
      <c r="L47" s="38"/>
    </row>
    <row r="48" spans="1:12" ht="14.25" customHeight="1" x14ac:dyDescent="0.25">
      <c r="B48" s="51"/>
      <c r="C48" s="53" t="s">
        <v>130</v>
      </c>
      <c r="D48" s="54" t="s">
        <v>131</v>
      </c>
      <c r="E48" s="48">
        <v>0</v>
      </c>
      <c r="F48" s="39">
        <v>0</v>
      </c>
      <c r="G48" s="39">
        <f>ROUND(F48,0)</f>
        <v>0</v>
      </c>
      <c r="H48" s="38">
        <f t="shared" si="1"/>
        <v>0</v>
      </c>
      <c r="I48" s="41"/>
      <c r="J48" s="39">
        <f>ROUND(G48,0)+117542</f>
        <v>117542</v>
      </c>
      <c r="K48" s="38">
        <f t="shared" si="2"/>
        <v>117542</v>
      </c>
      <c r="L48" s="41" t="s">
        <v>132</v>
      </c>
    </row>
    <row r="49" spans="1:12" ht="29.45" customHeight="1" x14ac:dyDescent="0.25">
      <c r="B49" s="51"/>
      <c r="C49" s="53" t="s">
        <v>133</v>
      </c>
      <c r="D49" s="54" t="s">
        <v>134</v>
      </c>
      <c r="E49" s="48">
        <v>0</v>
      </c>
      <c r="F49" s="39">
        <v>0</v>
      </c>
      <c r="G49" s="39">
        <f>ROUND(F49,0)</f>
        <v>0</v>
      </c>
      <c r="H49" s="38">
        <f t="shared" si="1"/>
        <v>0</v>
      </c>
      <c r="I49" s="41"/>
      <c r="J49" s="39">
        <f>ROUND(G49,0)</f>
        <v>0</v>
      </c>
      <c r="K49" s="38">
        <f t="shared" si="2"/>
        <v>0</v>
      </c>
      <c r="L49" s="41"/>
    </row>
    <row r="50" spans="1:12" ht="13.9" customHeight="1" x14ac:dyDescent="0.25">
      <c r="B50" s="1" t="s">
        <v>135</v>
      </c>
      <c r="C50" s="53" t="s">
        <v>136</v>
      </c>
      <c r="D50" s="37" t="s">
        <v>137</v>
      </c>
      <c r="E50" s="69">
        <v>7121916</v>
      </c>
      <c r="F50" s="68">
        <v>7121916</v>
      </c>
      <c r="G50" s="68">
        <f>G51+G52+G53</f>
        <v>7137676</v>
      </c>
      <c r="H50" s="67">
        <f t="shared" si="1"/>
        <v>15760</v>
      </c>
      <c r="I50" s="70"/>
      <c r="J50" s="68">
        <f>J51+J52+J53</f>
        <v>7137676</v>
      </c>
      <c r="K50" s="67">
        <f t="shared" si="2"/>
        <v>0</v>
      </c>
      <c r="L50" s="70"/>
    </row>
    <row r="51" spans="1:12" s="75" customFormat="1" x14ac:dyDescent="0.25">
      <c r="A51" s="1" t="s">
        <v>117</v>
      </c>
      <c r="B51" s="51" t="s">
        <v>138</v>
      </c>
      <c r="C51" s="53" t="s">
        <v>139</v>
      </c>
      <c r="D51" s="54" t="s">
        <v>140</v>
      </c>
      <c r="E51" s="73">
        <v>1065868</v>
      </c>
      <c r="F51" s="72">
        <v>1065868</v>
      </c>
      <c r="G51" s="72">
        <f t="shared" ref="G51:G64" si="25">ROUND(F51,0)</f>
        <v>1065868</v>
      </c>
      <c r="H51" s="71">
        <f t="shared" si="1"/>
        <v>0</v>
      </c>
      <c r="I51" s="74"/>
      <c r="J51" s="72">
        <f t="shared" ref="J51:J64" si="26">ROUND(G51,0)</f>
        <v>1065868</v>
      </c>
      <c r="K51" s="71">
        <f t="shared" si="2"/>
        <v>0</v>
      </c>
      <c r="L51" s="74"/>
    </row>
    <row r="52" spans="1:12" s="75" customFormat="1" x14ac:dyDescent="0.25">
      <c r="A52" s="1" t="s">
        <v>117</v>
      </c>
      <c r="B52" s="51" t="s">
        <v>141</v>
      </c>
      <c r="C52" s="53" t="s">
        <v>142</v>
      </c>
      <c r="D52" s="54" t="s">
        <v>143</v>
      </c>
      <c r="E52" s="73">
        <v>5542646</v>
      </c>
      <c r="F52" s="72">
        <v>5542646</v>
      </c>
      <c r="G52" s="72">
        <f t="shared" si="25"/>
        <v>5542646</v>
      </c>
      <c r="H52" s="71">
        <f t="shared" si="1"/>
        <v>0</v>
      </c>
      <c r="I52" s="74"/>
      <c r="J52" s="72">
        <f t="shared" si="26"/>
        <v>5542646</v>
      </c>
      <c r="K52" s="71">
        <f t="shared" si="2"/>
        <v>0</v>
      </c>
      <c r="L52" s="74"/>
    </row>
    <row r="53" spans="1:12" s="75" customFormat="1" ht="18" customHeight="1" x14ac:dyDescent="0.25">
      <c r="A53" s="1" t="s">
        <v>117</v>
      </c>
      <c r="B53" s="1"/>
      <c r="C53" s="53" t="s">
        <v>144</v>
      </c>
      <c r="D53" s="54" t="s">
        <v>145</v>
      </c>
      <c r="E53" s="73">
        <v>513402</v>
      </c>
      <c r="F53" s="72">
        <v>513402</v>
      </c>
      <c r="G53" s="72">
        <f>ROUND(F53,0)+15760</f>
        <v>529162</v>
      </c>
      <c r="H53" s="71">
        <f t="shared" si="1"/>
        <v>15760</v>
      </c>
      <c r="I53" s="74" t="s">
        <v>146</v>
      </c>
      <c r="J53" s="72">
        <f t="shared" si="26"/>
        <v>529162</v>
      </c>
      <c r="K53" s="71">
        <f t="shared" si="2"/>
        <v>0</v>
      </c>
      <c r="L53" s="74"/>
    </row>
    <row r="54" spans="1:12" ht="31.5" customHeight="1" x14ac:dyDescent="0.25">
      <c r="A54" s="1" t="s">
        <v>117</v>
      </c>
      <c r="B54" s="1" t="s">
        <v>147</v>
      </c>
      <c r="C54" s="53" t="s">
        <v>148</v>
      </c>
      <c r="D54" s="37" t="s">
        <v>149</v>
      </c>
      <c r="E54" s="48">
        <v>26360</v>
      </c>
      <c r="F54" s="39">
        <v>26360</v>
      </c>
      <c r="G54" s="39">
        <f t="shared" si="25"/>
        <v>26360</v>
      </c>
      <c r="H54" s="38">
        <f t="shared" si="1"/>
        <v>0</v>
      </c>
      <c r="I54" s="49"/>
      <c r="J54" s="39">
        <f t="shared" si="26"/>
        <v>26360</v>
      </c>
      <c r="K54" s="38">
        <f t="shared" si="2"/>
        <v>0</v>
      </c>
      <c r="L54" s="49"/>
    </row>
    <row r="55" spans="1:12" ht="19.149999999999999" customHeight="1" x14ac:dyDescent="0.25">
      <c r="A55" s="1" t="s">
        <v>117</v>
      </c>
      <c r="B55" s="51" t="s">
        <v>150</v>
      </c>
      <c r="C55" s="53" t="s">
        <v>151</v>
      </c>
      <c r="D55" s="37" t="s">
        <v>152</v>
      </c>
      <c r="E55" s="48">
        <v>37535</v>
      </c>
      <c r="F55" s="39">
        <v>37535</v>
      </c>
      <c r="G55" s="39">
        <f t="shared" si="25"/>
        <v>37535</v>
      </c>
      <c r="H55" s="38">
        <f t="shared" si="1"/>
        <v>0</v>
      </c>
      <c r="I55" s="40"/>
      <c r="J55" s="39">
        <f t="shared" si="26"/>
        <v>37535</v>
      </c>
      <c r="K55" s="38">
        <f t="shared" si="2"/>
        <v>0</v>
      </c>
      <c r="L55" s="40"/>
    </row>
    <row r="56" spans="1:12" ht="19.149999999999999" customHeight="1" x14ac:dyDescent="0.25">
      <c r="B56" s="51" t="s">
        <v>150</v>
      </c>
      <c r="C56" s="53" t="s">
        <v>153</v>
      </c>
      <c r="D56" s="37" t="s">
        <v>154</v>
      </c>
      <c r="E56" s="48">
        <v>11142</v>
      </c>
      <c r="F56" s="39">
        <v>11142</v>
      </c>
      <c r="G56" s="39">
        <f t="shared" si="25"/>
        <v>11142</v>
      </c>
      <c r="H56" s="38">
        <f t="shared" si="1"/>
        <v>0</v>
      </c>
      <c r="I56" s="40"/>
      <c r="J56" s="39">
        <f t="shared" si="26"/>
        <v>11142</v>
      </c>
      <c r="K56" s="38">
        <f t="shared" si="2"/>
        <v>0</v>
      </c>
      <c r="L56" s="40"/>
    </row>
    <row r="57" spans="1:12" ht="30.6" customHeight="1" x14ac:dyDescent="0.25">
      <c r="B57" s="1" t="s">
        <v>155</v>
      </c>
      <c r="C57" s="53" t="s">
        <v>156</v>
      </c>
      <c r="D57" s="37" t="s">
        <v>157</v>
      </c>
      <c r="E57" s="48">
        <v>580000</v>
      </c>
      <c r="F57" s="39">
        <v>580000</v>
      </c>
      <c r="G57" s="39">
        <f t="shared" si="25"/>
        <v>580000</v>
      </c>
      <c r="H57" s="38">
        <f t="shared" si="1"/>
        <v>0</v>
      </c>
      <c r="I57" s="41"/>
      <c r="J57" s="39">
        <f t="shared" si="26"/>
        <v>580000</v>
      </c>
      <c r="K57" s="38">
        <f t="shared" si="2"/>
        <v>0</v>
      </c>
      <c r="L57" s="41"/>
    </row>
    <row r="58" spans="1:12" ht="31.5" customHeight="1" x14ac:dyDescent="0.25">
      <c r="C58" s="53" t="s">
        <v>158</v>
      </c>
      <c r="D58" s="37" t="s">
        <v>159</v>
      </c>
      <c r="E58" s="48">
        <v>0</v>
      </c>
      <c r="F58" s="39">
        <v>0</v>
      </c>
      <c r="G58" s="39">
        <f t="shared" si="25"/>
        <v>0</v>
      </c>
      <c r="H58" s="38">
        <f t="shared" si="1"/>
        <v>0</v>
      </c>
      <c r="I58" s="40"/>
      <c r="J58" s="39">
        <f t="shared" si="26"/>
        <v>0</v>
      </c>
      <c r="K58" s="38">
        <f t="shared" si="2"/>
        <v>0</v>
      </c>
      <c r="L58" s="40"/>
    </row>
    <row r="59" spans="1:12" ht="31.5" customHeight="1" x14ac:dyDescent="0.25">
      <c r="C59" s="53"/>
      <c r="D59" s="37" t="s">
        <v>160</v>
      </c>
      <c r="E59" s="48">
        <v>0</v>
      </c>
      <c r="F59" s="39">
        <v>0</v>
      </c>
      <c r="G59" s="39">
        <f t="shared" si="25"/>
        <v>0</v>
      </c>
      <c r="H59" s="38">
        <f t="shared" si="1"/>
        <v>0</v>
      </c>
      <c r="I59" s="40"/>
      <c r="J59" s="39">
        <f t="shared" si="26"/>
        <v>0</v>
      </c>
      <c r="K59" s="38">
        <f t="shared" si="2"/>
        <v>0</v>
      </c>
      <c r="L59" s="40"/>
    </row>
    <row r="60" spans="1:12" ht="28.15" customHeight="1" x14ac:dyDescent="0.25">
      <c r="B60" s="76" t="s">
        <v>161</v>
      </c>
      <c r="C60" s="53" t="s">
        <v>162</v>
      </c>
      <c r="D60" s="77" t="s">
        <v>163</v>
      </c>
      <c r="E60" s="48">
        <v>406576</v>
      </c>
      <c r="F60" s="39">
        <v>406576</v>
      </c>
      <c r="G60" s="39">
        <f t="shared" si="25"/>
        <v>406576</v>
      </c>
      <c r="H60" s="38">
        <f t="shared" si="1"/>
        <v>0</v>
      </c>
      <c r="I60" s="41"/>
      <c r="J60" s="39">
        <f t="shared" si="26"/>
        <v>406576</v>
      </c>
      <c r="K60" s="38">
        <f t="shared" si="2"/>
        <v>0</v>
      </c>
      <c r="L60" s="41"/>
    </row>
    <row r="61" spans="1:12" ht="58.9" customHeight="1" x14ac:dyDescent="0.25">
      <c r="C61" s="53"/>
      <c r="D61" s="37" t="s">
        <v>164</v>
      </c>
      <c r="E61" s="48">
        <v>0</v>
      </c>
      <c r="F61" s="39">
        <v>0</v>
      </c>
      <c r="G61" s="39">
        <f t="shared" si="25"/>
        <v>0</v>
      </c>
      <c r="H61" s="38">
        <f t="shared" si="1"/>
        <v>0</v>
      </c>
      <c r="I61" s="41"/>
      <c r="J61" s="39">
        <f t="shared" si="26"/>
        <v>0</v>
      </c>
      <c r="K61" s="38">
        <f t="shared" si="2"/>
        <v>0</v>
      </c>
      <c r="L61" s="41"/>
    </row>
    <row r="62" spans="1:12" ht="33.75" customHeight="1" x14ac:dyDescent="0.25">
      <c r="B62" s="1" t="s">
        <v>165</v>
      </c>
      <c r="C62" s="53" t="s">
        <v>166</v>
      </c>
      <c r="D62" s="37" t="s">
        <v>167</v>
      </c>
      <c r="E62" s="48">
        <v>70000</v>
      </c>
      <c r="F62" s="39">
        <v>70000</v>
      </c>
      <c r="G62" s="39">
        <f t="shared" si="25"/>
        <v>70000</v>
      </c>
      <c r="H62" s="38">
        <f t="shared" si="1"/>
        <v>0</v>
      </c>
      <c r="I62" s="41"/>
      <c r="J62" s="39">
        <f t="shared" si="26"/>
        <v>70000</v>
      </c>
      <c r="K62" s="38">
        <f t="shared" si="2"/>
        <v>0</v>
      </c>
      <c r="L62" s="41"/>
    </row>
    <row r="63" spans="1:12" ht="17.45" customHeight="1" x14ac:dyDescent="0.25">
      <c r="B63" s="1" t="s">
        <v>135</v>
      </c>
      <c r="C63" s="53" t="s">
        <v>168</v>
      </c>
      <c r="D63" s="37" t="s">
        <v>169</v>
      </c>
      <c r="E63" s="48">
        <v>0</v>
      </c>
      <c r="F63" s="39">
        <v>0</v>
      </c>
      <c r="G63" s="39">
        <f t="shared" si="25"/>
        <v>0</v>
      </c>
      <c r="H63" s="38">
        <f t="shared" si="1"/>
        <v>0</v>
      </c>
      <c r="I63" s="41"/>
      <c r="J63" s="39">
        <f t="shared" si="26"/>
        <v>0</v>
      </c>
      <c r="K63" s="38">
        <f t="shared" si="2"/>
        <v>0</v>
      </c>
      <c r="L63" s="41"/>
    </row>
    <row r="64" spans="1:12" x14ac:dyDescent="0.25">
      <c r="A64" s="1" t="s">
        <v>117</v>
      </c>
      <c r="B64" s="51" t="s">
        <v>170</v>
      </c>
      <c r="C64" s="53" t="s">
        <v>171</v>
      </c>
      <c r="D64" s="79" t="s">
        <v>172</v>
      </c>
      <c r="E64" s="48">
        <v>12607</v>
      </c>
      <c r="F64" s="39">
        <v>12607</v>
      </c>
      <c r="G64" s="39">
        <f t="shared" si="25"/>
        <v>12607</v>
      </c>
      <c r="H64" s="38">
        <f t="shared" si="1"/>
        <v>0</v>
      </c>
      <c r="I64" s="80"/>
      <c r="J64" s="39">
        <f t="shared" si="26"/>
        <v>12607</v>
      </c>
      <c r="K64" s="38">
        <f t="shared" si="2"/>
        <v>0</v>
      </c>
      <c r="L64" s="80"/>
    </row>
    <row r="65" spans="1:12" ht="47.25" customHeight="1" x14ac:dyDescent="0.25">
      <c r="A65" s="76" t="s">
        <v>173</v>
      </c>
      <c r="B65" s="1" t="s">
        <v>174</v>
      </c>
      <c r="C65" s="53" t="s">
        <v>175</v>
      </c>
      <c r="D65" s="37" t="s">
        <v>176</v>
      </c>
      <c r="E65" s="48">
        <v>118632</v>
      </c>
      <c r="F65" s="39">
        <v>118632</v>
      </c>
      <c r="G65" s="39">
        <f>ROUND(F65,0)+7500</f>
        <v>126132</v>
      </c>
      <c r="H65" s="38">
        <f t="shared" si="1"/>
        <v>7500</v>
      </c>
      <c r="I65" s="80" t="s">
        <v>177</v>
      </c>
      <c r="J65" s="39">
        <f>ROUND(G65,0)+15584+4455</f>
        <v>146171</v>
      </c>
      <c r="K65" s="38">
        <f t="shared" si="2"/>
        <v>20039</v>
      </c>
      <c r="L65" s="80" t="s">
        <v>667</v>
      </c>
    </row>
    <row r="66" spans="1:12" ht="33" customHeight="1" x14ac:dyDescent="0.25">
      <c r="C66" s="59" t="s">
        <v>179</v>
      </c>
      <c r="D66" s="60" t="s">
        <v>180</v>
      </c>
      <c r="E66" s="81">
        <v>7860297</v>
      </c>
      <c r="F66" s="62">
        <v>7860297</v>
      </c>
      <c r="G66" s="62">
        <f t="shared" ref="G66" si="27">SUM(G67:G84)</f>
        <v>7890725</v>
      </c>
      <c r="H66" s="61">
        <f t="shared" si="1"/>
        <v>30428</v>
      </c>
      <c r="I66" s="82"/>
      <c r="J66" s="62">
        <f t="shared" ref="J66" si="28">SUM(J67:J84)</f>
        <v>7890725</v>
      </c>
      <c r="K66" s="61">
        <f t="shared" si="2"/>
        <v>0</v>
      </c>
      <c r="L66" s="82"/>
    </row>
    <row r="67" spans="1:12" x14ac:dyDescent="0.25">
      <c r="A67" s="1" t="s">
        <v>181</v>
      </c>
      <c r="B67" s="1" t="s">
        <v>182</v>
      </c>
      <c r="C67" s="53" t="s">
        <v>183</v>
      </c>
      <c r="D67" s="79" t="s">
        <v>184</v>
      </c>
      <c r="E67" s="48">
        <v>0</v>
      </c>
      <c r="F67" s="39">
        <v>0</v>
      </c>
      <c r="G67" s="39">
        <f t="shared" ref="G67:G84" si="29">ROUND(F67,0)</f>
        <v>0</v>
      </c>
      <c r="H67" s="38">
        <f t="shared" si="1"/>
        <v>0</v>
      </c>
      <c r="I67" s="50"/>
      <c r="J67" s="39">
        <f t="shared" ref="J67:J83" si="30">ROUND(G67,0)</f>
        <v>0</v>
      </c>
      <c r="K67" s="38">
        <f t="shared" si="2"/>
        <v>0</v>
      </c>
      <c r="L67" s="50"/>
    </row>
    <row r="68" spans="1:12" ht="28.5" customHeight="1" x14ac:dyDescent="0.25">
      <c r="B68" s="76" t="s">
        <v>185</v>
      </c>
      <c r="C68" s="53" t="s">
        <v>186</v>
      </c>
      <c r="D68" s="79" t="s">
        <v>187</v>
      </c>
      <c r="E68" s="48">
        <v>0</v>
      </c>
      <c r="F68" s="39">
        <v>0</v>
      </c>
      <c r="G68" s="39">
        <f t="shared" si="29"/>
        <v>0</v>
      </c>
      <c r="H68" s="38">
        <f t="shared" si="1"/>
        <v>0</v>
      </c>
      <c r="I68" s="41"/>
      <c r="J68" s="39">
        <f t="shared" si="30"/>
        <v>0</v>
      </c>
      <c r="K68" s="38">
        <f t="shared" si="2"/>
        <v>0</v>
      </c>
      <c r="L68" s="41"/>
    </row>
    <row r="69" spans="1:12" ht="30" customHeight="1" x14ac:dyDescent="0.25">
      <c r="B69" s="1" t="s">
        <v>188</v>
      </c>
      <c r="C69" s="53" t="s">
        <v>189</v>
      </c>
      <c r="D69" s="79" t="s">
        <v>190</v>
      </c>
      <c r="E69" s="48">
        <v>638646</v>
      </c>
      <c r="F69" s="39">
        <v>638646</v>
      </c>
      <c r="G69" s="39">
        <f t="shared" si="29"/>
        <v>638646</v>
      </c>
      <c r="H69" s="38">
        <f t="shared" si="1"/>
        <v>0</v>
      </c>
      <c r="I69" s="50"/>
      <c r="J69" s="39">
        <f t="shared" si="30"/>
        <v>638646</v>
      </c>
      <c r="K69" s="38">
        <f t="shared" si="2"/>
        <v>0</v>
      </c>
      <c r="L69" s="50"/>
    </row>
    <row r="70" spans="1:12" ht="30" x14ac:dyDescent="0.25">
      <c r="B70" s="1" t="s">
        <v>191</v>
      </c>
      <c r="C70" s="53" t="s">
        <v>183</v>
      </c>
      <c r="D70" s="79" t="s">
        <v>192</v>
      </c>
      <c r="E70" s="48">
        <v>103070</v>
      </c>
      <c r="F70" s="39">
        <v>103070</v>
      </c>
      <c r="G70" s="39">
        <f t="shared" si="29"/>
        <v>103070</v>
      </c>
      <c r="H70" s="38">
        <f t="shared" si="1"/>
        <v>0</v>
      </c>
      <c r="I70" s="50"/>
      <c r="J70" s="39">
        <f t="shared" si="30"/>
        <v>103070</v>
      </c>
      <c r="K70" s="38">
        <f t="shared" si="2"/>
        <v>0</v>
      </c>
      <c r="L70" s="50"/>
    </row>
    <row r="71" spans="1:12" ht="13.9" hidden="1" outlineLevel="1" x14ac:dyDescent="0.25">
      <c r="B71" s="83"/>
      <c r="C71" s="53" t="s">
        <v>193</v>
      </c>
      <c r="D71" s="79" t="s">
        <v>194</v>
      </c>
      <c r="E71" s="48">
        <v>0</v>
      </c>
      <c r="F71" s="39">
        <v>0</v>
      </c>
      <c r="G71" s="39">
        <f t="shared" si="29"/>
        <v>0</v>
      </c>
      <c r="H71" s="38">
        <f t="shared" ref="H71:H119" si="31">G71-F71</f>
        <v>0</v>
      </c>
      <c r="I71" s="50"/>
      <c r="J71" s="39">
        <f t="shared" si="30"/>
        <v>0</v>
      </c>
      <c r="K71" s="38">
        <f t="shared" ref="K71:K119" si="32">J71-G71</f>
        <v>0</v>
      </c>
      <c r="L71" s="50"/>
    </row>
    <row r="72" spans="1:12" ht="55.15" hidden="1" outlineLevel="1" x14ac:dyDescent="0.25">
      <c r="B72" s="1" t="s">
        <v>173</v>
      </c>
      <c r="C72" s="53" t="s">
        <v>195</v>
      </c>
      <c r="D72" s="79" t="s">
        <v>196</v>
      </c>
      <c r="E72" s="48">
        <v>0</v>
      </c>
      <c r="F72" s="39">
        <v>0</v>
      </c>
      <c r="G72" s="39">
        <f t="shared" si="29"/>
        <v>0</v>
      </c>
      <c r="H72" s="38">
        <f t="shared" si="31"/>
        <v>0</v>
      </c>
      <c r="I72" s="50"/>
      <c r="J72" s="39">
        <f t="shared" si="30"/>
        <v>0</v>
      </c>
      <c r="K72" s="38">
        <f t="shared" si="32"/>
        <v>0</v>
      </c>
      <c r="L72" s="50"/>
    </row>
    <row r="73" spans="1:12" ht="41.45" hidden="1" outlineLevel="1" x14ac:dyDescent="0.25">
      <c r="B73" s="83"/>
      <c r="C73" s="53" t="s">
        <v>197</v>
      </c>
      <c r="D73" s="79" t="s">
        <v>198</v>
      </c>
      <c r="E73" s="48">
        <v>0</v>
      </c>
      <c r="F73" s="39">
        <v>0</v>
      </c>
      <c r="G73" s="39">
        <f t="shared" si="29"/>
        <v>0</v>
      </c>
      <c r="H73" s="38">
        <f t="shared" si="31"/>
        <v>0</v>
      </c>
      <c r="I73" s="50"/>
      <c r="J73" s="39">
        <f t="shared" si="30"/>
        <v>0</v>
      </c>
      <c r="K73" s="38">
        <f t="shared" si="32"/>
        <v>0</v>
      </c>
      <c r="L73" s="50"/>
    </row>
    <row r="74" spans="1:12" collapsed="1" x14ac:dyDescent="0.25">
      <c r="A74" s="76" t="s">
        <v>199</v>
      </c>
      <c r="B74" s="83"/>
      <c r="C74" s="53" t="s">
        <v>200</v>
      </c>
      <c r="D74" s="79" t="s">
        <v>201</v>
      </c>
      <c r="E74" s="48">
        <v>267455</v>
      </c>
      <c r="F74" s="39">
        <v>267455</v>
      </c>
      <c r="G74" s="39">
        <f t="shared" si="29"/>
        <v>267455</v>
      </c>
      <c r="H74" s="38">
        <f t="shared" si="31"/>
        <v>0</v>
      </c>
      <c r="I74" s="50"/>
      <c r="J74" s="39">
        <f t="shared" si="30"/>
        <v>267455</v>
      </c>
      <c r="K74" s="38">
        <f t="shared" si="32"/>
        <v>0</v>
      </c>
      <c r="L74" s="50"/>
    </row>
    <row r="75" spans="1:12" ht="58.15" hidden="1" customHeight="1" outlineLevel="1" x14ac:dyDescent="0.25">
      <c r="A75" s="76" t="s">
        <v>173</v>
      </c>
      <c r="B75" s="83"/>
      <c r="C75" s="53" t="s">
        <v>202</v>
      </c>
      <c r="D75" s="79" t="s">
        <v>203</v>
      </c>
      <c r="E75" s="48">
        <v>0</v>
      </c>
      <c r="F75" s="39">
        <v>0</v>
      </c>
      <c r="G75" s="39">
        <f t="shared" si="29"/>
        <v>0</v>
      </c>
      <c r="H75" s="38">
        <f t="shared" si="31"/>
        <v>0</v>
      </c>
      <c r="I75" s="50"/>
      <c r="J75" s="39">
        <f t="shared" si="30"/>
        <v>0</v>
      </c>
      <c r="K75" s="38">
        <f t="shared" si="32"/>
        <v>0</v>
      </c>
      <c r="L75" s="50"/>
    </row>
    <row r="76" spans="1:12" ht="41.45" hidden="1" outlineLevel="1" x14ac:dyDescent="0.25">
      <c r="B76" s="1" t="s">
        <v>204</v>
      </c>
      <c r="C76" s="53" t="s">
        <v>205</v>
      </c>
      <c r="D76" s="79" t="s">
        <v>206</v>
      </c>
      <c r="E76" s="48">
        <v>0</v>
      </c>
      <c r="F76" s="39">
        <v>0</v>
      </c>
      <c r="G76" s="39">
        <f t="shared" si="29"/>
        <v>0</v>
      </c>
      <c r="H76" s="38">
        <f t="shared" si="31"/>
        <v>0</v>
      </c>
      <c r="I76" s="52"/>
      <c r="J76" s="39">
        <f t="shared" si="30"/>
        <v>0</v>
      </c>
      <c r="K76" s="38">
        <f t="shared" si="32"/>
        <v>0</v>
      </c>
      <c r="L76" s="52"/>
    </row>
    <row r="77" spans="1:12" ht="45" collapsed="1" x14ac:dyDescent="0.25">
      <c r="B77" s="51" t="s">
        <v>207</v>
      </c>
      <c r="C77" s="53" t="s">
        <v>208</v>
      </c>
      <c r="D77" s="79" t="s">
        <v>209</v>
      </c>
      <c r="E77" s="48">
        <v>217332</v>
      </c>
      <c r="F77" s="39">
        <v>217332</v>
      </c>
      <c r="G77" s="39">
        <f t="shared" si="29"/>
        <v>217332</v>
      </c>
      <c r="H77" s="38">
        <f t="shared" si="31"/>
        <v>0</v>
      </c>
      <c r="I77" s="84"/>
      <c r="J77" s="39">
        <f t="shared" si="30"/>
        <v>217332</v>
      </c>
      <c r="K77" s="38">
        <f t="shared" si="32"/>
        <v>0</v>
      </c>
      <c r="L77" s="84"/>
    </row>
    <row r="78" spans="1:12" x14ac:dyDescent="0.25">
      <c r="B78" s="51" t="s">
        <v>210</v>
      </c>
      <c r="C78" s="53" t="s">
        <v>211</v>
      </c>
      <c r="D78" s="79" t="s">
        <v>212</v>
      </c>
      <c r="E78" s="48">
        <v>308659</v>
      </c>
      <c r="F78" s="39">
        <v>308659</v>
      </c>
      <c r="G78" s="39">
        <f t="shared" si="29"/>
        <v>308659</v>
      </c>
      <c r="H78" s="38">
        <f t="shared" si="31"/>
        <v>0</v>
      </c>
      <c r="I78" s="84"/>
      <c r="J78" s="39">
        <f t="shared" si="30"/>
        <v>308659</v>
      </c>
      <c r="K78" s="38">
        <f t="shared" si="32"/>
        <v>0</v>
      </c>
      <c r="L78" s="84"/>
    </row>
    <row r="79" spans="1:12" ht="14.45" hidden="1" outlineLevel="1" x14ac:dyDescent="0.3">
      <c r="B79" s="51"/>
      <c r="C79" s="53" t="s">
        <v>213</v>
      </c>
      <c r="D79" s="79" t="s">
        <v>214</v>
      </c>
      <c r="E79" s="48">
        <v>0</v>
      </c>
      <c r="F79" s="39">
        <v>0</v>
      </c>
      <c r="G79" s="39">
        <f t="shared" si="29"/>
        <v>0</v>
      </c>
      <c r="H79" s="38">
        <f t="shared" si="31"/>
        <v>0</v>
      </c>
      <c r="I79" s="84"/>
      <c r="J79" s="39">
        <f t="shared" si="30"/>
        <v>0</v>
      </c>
      <c r="K79" s="38">
        <f t="shared" si="32"/>
        <v>0</v>
      </c>
      <c r="L79" s="84"/>
    </row>
    <row r="80" spans="1:12" ht="30" collapsed="1" x14ac:dyDescent="0.25">
      <c r="B80" s="51" t="s">
        <v>215</v>
      </c>
      <c r="C80" s="53" t="s">
        <v>216</v>
      </c>
      <c r="D80" s="79" t="s">
        <v>217</v>
      </c>
      <c r="E80" s="48">
        <v>2500000</v>
      </c>
      <c r="F80" s="39">
        <v>2500000</v>
      </c>
      <c r="G80" s="39">
        <f t="shared" si="29"/>
        <v>2500000</v>
      </c>
      <c r="H80" s="38">
        <f t="shared" si="31"/>
        <v>0</v>
      </c>
      <c r="I80" s="84"/>
      <c r="J80" s="39">
        <f t="shared" si="30"/>
        <v>2500000</v>
      </c>
      <c r="K80" s="38">
        <f t="shared" si="32"/>
        <v>0</v>
      </c>
      <c r="L80" s="84"/>
    </row>
    <row r="81" spans="1:12" ht="30.75" customHeight="1" x14ac:dyDescent="0.25">
      <c r="B81" s="85" t="s">
        <v>218</v>
      </c>
      <c r="C81" s="53" t="s">
        <v>219</v>
      </c>
      <c r="D81" s="79" t="s">
        <v>220</v>
      </c>
      <c r="E81" s="48">
        <v>0</v>
      </c>
      <c r="F81" s="39">
        <v>0</v>
      </c>
      <c r="G81" s="39">
        <f>ROUND(F81,0)+30428</f>
        <v>30428</v>
      </c>
      <c r="H81" s="38">
        <f t="shared" si="31"/>
        <v>30428</v>
      </c>
      <c r="I81" s="86" t="s">
        <v>221</v>
      </c>
      <c r="J81" s="39">
        <f t="shared" si="30"/>
        <v>30428</v>
      </c>
      <c r="K81" s="38">
        <f t="shared" si="32"/>
        <v>0</v>
      </c>
      <c r="L81" s="86"/>
    </row>
    <row r="82" spans="1:12" ht="48.6" customHeight="1" x14ac:dyDescent="0.25">
      <c r="B82" s="51" t="s">
        <v>222</v>
      </c>
      <c r="C82" s="53" t="s">
        <v>223</v>
      </c>
      <c r="D82" s="79" t="s">
        <v>224</v>
      </c>
      <c r="E82" s="48">
        <v>830550</v>
      </c>
      <c r="F82" s="39">
        <v>830550</v>
      </c>
      <c r="G82" s="39">
        <f t="shared" si="29"/>
        <v>830550</v>
      </c>
      <c r="H82" s="38">
        <f t="shared" si="31"/>
        <v>0</v>
      </c>
      <c r="I82" s="84"/>
      <c r="J82" s="39">
        <f t="shared" si="30"/>
        <v>830550</v>
      </c>
      <c r="K82" s="38">
        <f t="shared" si="32"/>
        <v>0</v>
      </c>
      <c r="L82" s="84"/>
    </row>
    <row r="83" spans="1:12" ht="30" x14ac:dyDescent="0.25">
      <c r="B83" s="85" t="s">
        <v>225</v>
      </c>
      <c r="C83" s="53" t="s">
        <v>226</v>
      </c>
      <c r="D83" s="79" t="s">
        <v>227</v>
      </c>
      <c r="E83" s="48">
        <v>2661252</v>
      </c>
      <c r="F83" s="39">
        <v>2661252</v>
      </c>
      <c r="G83" s="39">
        <f t="shared" si="29"/>
        <v>2661252</v>
      </c>
      <c r="H83" s="38">
        <f t="shared" si="31"/>
        <v>0</v>
      </c>
      <c r="I83" s="84"/>
      <c r="J83" s="39">
        <f t="shared" si="30"/>
        <v>2661252</v>
      </c>
      <c r="K83" s="38">
        <f t="shared" si="32"/>
        <v>0</v>
      </c>
      <c r="L83" s="84"/>
    </row>
    <row r="84" spans="1:12" ht="30" x14ac:dyDescent="0.25">
      <c r="B84" s="76" t="s">
        <v>173</v>
      </c>
      <c r="C84" s="53" t="s">
        <v>228</v>
      </c>
      <c r="D84" s="79" t="s">
        <v>229</v>
      </c>
      <c r="E84" s="48">
        <v>333333</v>
      </c>
      <c r="F84" s="39">
        <v>333333</v>
      </c>
      <c r="G84" s="39">
        <f t="shared" si="29"/>
        <v>333333</v>
      </c>
      <c r="H84" s="38">
        <f t="shared" si="31"/>
        <v>0</v>
      </c>
      <c r="I84" s="84"/>
      <c r="J84" s="39">
        <f>ROUND(G84,0)</f>
        <v>333333</v>
      </c>
      <c r="K84" s="38">
        <f t="shared" si="32"/>
        <v>0</v>
      </c>
      <c r="L84" s="84"/>
    </row>
    <row r="85" spans="1:12" ht="30" x14ac:dyDescent="0.25">
      <c r="B85" s="35" t="s">
        <v>230</v>
      </c>
      <c r="C85" s="59" t="s">
        <v>231</v>
      </c>
      <c r="D85" s="60" t="s">
        <v>232</v>
      </c>
      <c r="E85" s="81">
        <v>0</v>
      </c>
      <c r="F85" s="62">
        <v>0</v>
      </c>
      <c r="G85" s="62">
        <f>ROUND(E85,0)</f>
        <v>0</v>
      </c>
      <c r="H85" s="61">
        <f t="shared" si="31"/>
        <v>0</v>
      </c>
      <c r="I85" s="82"/>
      <c r="J85" s="62">
        <f>ROUND(G85,0)+952269</f>
        <v>952269</v>
      </c>
      <c r="K85" s="61">
        <f t="shared" si="32"/>
        <v>952269</v>
      </c>
      <c r="L85" s="82" t="s">
        <v>21</v>
      </c>
    </row>
    <row r="86" spans="1:12" x14ac:dyDescent="0.25">
      <c r="C86" s="58" t="s">
        <v>233</v>
      </c>
      <c r="D86" s="43" t="s">
        <v>234</v>
      </c>
      <c r="E86" s="46">
        <v>350000</v>
      </c>
      <c r="F86" s="45">
        <v>350000</v>
      </c>
      <c r="G86" s="45">
        <f>G87+G88</f>
        <v>350000</v>
      </c>
      <c r="H86" s="44">
        <f t="shared" si="31"/>
        <v>0</v>
      </c>
      <c r="I86" s="47"/>
      <c r="J86" s="45">
        <f>J87+J88</f>
        <v>350000</v>
      </c>
      <c r="K86" s="44">
        <f t="shared" si="32"/>
        <v>0</v>
      </c>
      <c r="L86" s="47"/>
    </row>
    <row r="87" spans="1:12" ht="32.25" customHeight="1" x14ac:dyDescent="0.25">
      <c r="B87" s="1" t="s">
        <v>235</v>
      </c>
      <c r="C87" s="36" t="s">
        <v>236</v>
      </c>
      <c r="D87" s="37" t="s">
        <v>237</v>
      </c>
      <c r="E87" s="48">
        <v>350000</v>
      </c>
      <c r="F87" s="39">
        <v>350000</v>
      </c>
      <c r="G87" s="39">
        <f>ROUND(F87,0)</f>
        <v>350000</v>
      </c>
      <c r="H87" s="38">
        <f t="shared" si="31"/>
        <v>0</v>
      </c>
      <c r="I87" s="41"/>
      <c r="J87" s="39">
        <f t="shared" ref="J87:J88" si="33">ROUND(G87,0)</f>
        <v>350000</v>
      </c>
      <c r="K87" s="38">
        <f t="shared" si="32"/>
        <v>0</v>
      </c>
      <c r="L87" s="41"/>
    </row>
    <row r="88" spans="1:12" ht="16.149999999999999" customHeight="1" x14ac:dyDescent="0.25">
      <c r="B88" s="1" t="s">
        <v>238</v>
      </c>
      <c r="C88" s="36" t="s">
        <v>239</v>
      </c>
      <c r="D88" s="37" t="s">
        <v>240</v>
      </c>
      <c r="E88" s="48">
        <v>0</v>
      </c>
      <c r="F88" s="39">
        <v>0</v>
      </c>
      <c r="G88" s="39">
        <f>ROUND(F88,0)</f>
        <v>0</v>
      </c>
      <c r="H88" s="38">
        <f t="shared" si="31"/>
        <v>0</v>
      </c>
      <c r="I88" s="40"/>
      <c r="J88" s="39">
        <f t="shared" si="33"/>
        <v>0</v>
      </c>
      <c r="K88" s="38">
        <f t="shared" si="32"/>
        <v>0</v>
      </c>
      <c r="L88" s="40"/>
    </row>
    <row r="89" spans="1:12" ht="35.450000000000003" customHeight="1" x14ac:dyDescent="0.25">
      <c r="C89" s="58" t="s">
        <v>241</v>
      </c>
      <c r="D89" s="43" t="s">
        <v>242</v>
      </c>
      <c r="E89" s="46">
        <v>800455</v>
      </c>
      <c r="F89" s="45">
        <v>800455</v>
      </c>
      <c r="G89" s="45">
        <f t="shared" ref="G89" si="34">G90+G93+G96+G100+G103</f>
        <v>801955</v>
      </c>
      <c r="H89" s="44">
        <f t="shared" si="31"/>
        <v>1500</v>
      </c>
      <c r="I89" s="87"/>
      <c r="J89" s="45">
        <f t="shared" ref="J89" si="35">J90+J93+J96+J100+J103</f>
        <v>801955</v>
      </c>
      <c r="K89" s="44">
        <f t="shared" si="32"/>
        <v>0</v>
      </c>
      <c r="L89" s="87"/>
    </row>
    <row r="90" spans="1:12" x14ac:dyDescent="0.25">
      <c r="A90" s="1" t="s">
        <v>17</v>
      </c>
      <c r="B90" s="1" t="s">
        <v>243</v>
      </c>
      <c r="C90" s="36" t="s">
        <v>244</v>
      </c>
      <c r="D90" s="37" t="s">
        <v>245</v>
      </c>
      <c r="E90" s="48">
        <v>219800</v>
      </c>
      <c r="F90" s="39">
        <v>219800</v>
      </c>
      <c r="G90" s="39">
        <f>SUM(G91:G92)</f>
        <v>219800</v>
      </c>
      <c r="H90" s="38">
        <f t="shared" si="31"/>
        <v>0</v>
      </c>
      <c r="I90" s="40"/>
      <c r="J90" s="39">
        <f>SUM(J91:J92)</f>
        <v>219800</v>
      </c>
      <c r="K90" s="38">
        <f t="shared" si="32"/>
        <v>0</v>
      </c>
      <c r="L90" s="40"/>
    </row>
    <row r="91" spans="1:12" ht="14.25" customHeight="1" x14ac:dyDescent="0.25">
      <c r="B91" s="1" t="s">
        <v>246</v>
      </c>
      <c r="C91" s="88" t="s">
        <v>247</v>
      </c>
      <c r="D91" s="89" t="s">
        <v>248</v>
      </c>
      <c r="E91" s="48">
        <v>61000</v>
      </c>
      <c r="F91" s="39">
        <v>61000</v>
      </c>
      <c r="G91" s="39">
        <f>ROUND(F91,0)</f>
        <v>61000</v>
      </c>
      <c r="H91" s="38">
        <f t="shared" si="31"/>
        <v>0</v>
      </c>
      <c r="I91" s="49"/>
      <c r="J91" s="39">
        <f t="shared" ref="J91:J92" si="36">ROUND(G91,0)</f>
        <v>61000</v>
      </c>
      <c r="K91" s="38">
        <f t="shared" si="32"/>
        <v>0</v>
      </c>
      <c r="L91" s="49"/>
    </row>
    <row r="92" spans="1:12" ht="30" customHeight="1" x14ac:dyDescent="0.25">
      <c r="B92" s="1" t="s">
        <v>249</v>
      </c>
      <c r="C92" s="88" t="s">
        <v>250</v>
      </c>
      <c r="D92" s="89" t="s">
        <v>251</v>
      </c>
      <c r="E92" s="48">
        <v>158800</v>
      </c>
      <c r="F92" s="39">
        <v>158800</v>
      </c>
      <c r="G92" s="39">
        <f>ROUND(F92,0)</f>
        <v>158800</v>
      </c>
      <c r="H92" s="38">
        <f t="shared" si="31"/>
        <v>0</v>
      </c>
      <c r="I92" s="49"/>
      <c r="J92" s="39">
        <f t="shared" si="36"/>
        <v>158800</v>
      </c>
      <c r="K92" s="38">
        <f t="shared" si="32"/>
        <v>0</v>
      </c>
      <c r="L92" s="49"/>
    </row>
    <row r="93" spans="1:12" ht="13.9" customHeight="1" x14ac:dyDescent="0.25">
      <c r="C93" s="36" t="s">
        <v>252</v>
      </c>
      <c r="D93" s="37" t="s">
        <v>253</v>
      </c>
      <c r="E93" s="48">
        <v>59312</v>
      </c>
      <c r="F93" s="39">
        <v>59312</v>
      </c>
      <c r="G93" s="39">
        <f t="shared" ref="G93" si="37">G94+G95</f>
        <v>60812</v>
      </c>
      <c r="H93" s="38">
        <f t="shared" si="31"/>
        <v>1500</v>
      </c>
      <c r="I93" s="90"/>
      <c r="J93" s="39">
        <f t="shared" ref="J93" si="38">J94+J95</f>
        <v>60812</v>
      </c>
      <c r="K93" s="38">
        <f t="shared" si="32"/>
        <v>0</v>
      </c>
      <c r="L93" s="90"/>
    </row>
    <row r="94" spans="1:12" ht="30" x14ac:dyDescent="0.25">
      <c r="B94" s="1" t="s">
        <v>254</v>
      </c>
      <c r="C94" s="88" t="s">
        <v>255</v>
      </c>
      <c r="D94" s="89" t="s">
        <v>256</v>
      </c>
      <c r="E94" s="48">
        <v>59312</v>
      </c>
      <c r="F94" s="39">
        <v>59312</v>
      </c>
      <c r="G94" s="39">
        <f>ROUND(F94,0)+1500</f>
        <v>60812</v>
      </c>
      <c r="H94" s="38">
        <f>G94-F94</f>
        <v>1500</v>
      </c>
      <c r="I94" s="80" t="s">
        <v>257</v>
      </c>
      <c r="J94" s="39">
        <f t="shared" ref="J94:J95" si="39">ROUND(G94,0)</f>
        <v>60812</v>
      </c>
      <c r="K94" s="38">
        <f t="shared" si="32"/>
        <v>0</v>
      </c>
      <c r="L94" s="80"/>
    </row>
    <row r="95" spans="1:12" ht="15.75" customHeight="1" x14ac:dyDescent="0.25">
      <c r="B95" s="91" t="s">
        <v>258</v>
      </c>
      <c r="C95" s="88" t="s">
        <v>259</v>
      </c>
      <c r="D95" s="79" t="s">
        <v>260</v>
      </c>
      <c r="E95" s="48">
        <v>0</v>
      </c>
      <c r="F95" s="39">
        <v>0</v>
      </c>
      <c r="G95" s="39">
        <f>ROUND(F95,0)</f>
        <v>0</v>
      </c>
      <c r="H95" s="38">
        <f t="shared" si="31"/>
        <v>0</v>
      </c>
      <c r="I95" s="49"/>
      <c r="J95" s="39">
        <f t="shared" si="39"/>
        <v>0</v>
      </c>
      <c r="K95" s="38">
        <f t="shared" si="32"/>
        <v>0</v>
      </c>
      <c r="L95" s="49"/>
    </row>
    <row r="96" spans="1:12" x14ac:dyDescent="0.25">
      <c r="A96" s="1" t="s">
        <v>17</v>
      </c>
      <c r="B96" s="1" t="s">
        <v>261</v>
      </c>
      <c r="C96" s="36" t="s">
        <v>262</v>
      </c>
      <c r="D96" s="37" t="s">
        <v>263</v>
      </c>
      <c r="E96" s="48">
        <v>322370</v>
      </c>
      <c r="F96" s="39">
        <v>322370</v>
      </c>
      <c r="G96" s="39">
        <f>SUM(G97:G99)</f>
        <v>322370</v>
      </c>
      <c r="H96" s="38">
        <f t="shared" si="31"/>
        <v>0</v>
      </c>
      <c r="I96" s="40"/>
      <c r="J96" s="39">
        <f>SUM(J97:J99)</f>
        <v>322370</v>
      </c>
      <c r="K96" s="38">
        <f t="shared" si="32"/>
        <v>0</v>
      </c>
      <c r="L96" s="40"/>
    </row>
    <row r="97" spans="1:12" ht="16.5" customHeight="1" x14ac:dyDescent="0.25">
      <c r="B97" s="1" t="s">
        <v>264</v>
      </c>
      <c r="C97" s="88" t="s">
        <v>265</v>
      </c>
      <c r="D97" s="89" t="s">
        <v>266</v>
      </c>
      <c r="E97" s="48">
        <v>236370</v>
      </c>
      <c r="F97" s="39">
        <v>236370</v>
      </c>
      <c r="G97" s="39">
        <f>ROUND(F97,0)</f>
        <v>236370</v>
      </c>
      <c r="H97" s="38">
        <f t="shared" si="31"/>
        <v>0</v>
      </c>
      <c r="I97" s="41"/>
      <c r="J97" s="39">
        <f t="shared" ref="J97:J99" si="40">ROUND(G97,0)</f>
        <v>236370</v>
      </c>
      <c r="K97" s="38">
        <f t="shared" si="32"/>
        <v>0</v>
      </c>
      <c r="L97" s="41"/>
    </row>
    <row r="98" spans="1:12" x14ac:dyDescent="0.25">
      <c r="B98" s="1" t="s">
        <v>267</v>
      </c>
      <c r="C98" s="88" t="s">
        <v>268</v>
      </c>
      <c r="D98" s="89" t="s">
        <v>269</v>
      </c>
      <c r="E98" s="48">
        <v>86000</v>
      </c>
      <c r="F98" s="39">
        <v>86000</v>
      </c>
      <c r="G98" s="39">
        <f>ROUND(F98,0)</f>
        <v>86000</v>
      </c>
      <c r="H98" s="38">
        <f t="shared" si="31"/>
        <v>0</v>
      </c>
      <c r="I98" s="40"/>
      <c r="J98" s="39">
        <f t="shared" si="40"/>
        <v>86000</v>
      </c>
      <c r="K98" s="38">
        <f t="shared" si="32"/>
        <v>0</v>
      </c>
      <c r="L98" s="40"/>
    </row>
    <row r="99" spans="1:12" x14ac:dyDescent="0.25">
      <c r="B99" s="1" t="s">
        <v>270</v>
      </c>
      <c r="C99" s="88" t="s">
        <v>271</v>
      </c>
      <c r="D99" s="79" t="s">
        <v>272</v>
      </c>
      <c r="E99" s="48">
        <v>0</v>
      </c>
      <c r="F99" s="39">
        <v>0</v>
      </c>
      <c r="G99" s="39">
        <f>ROUND(F99,0)</f>
        <v>0</v>
      </c>
      <c r="H99" s="38">
        <f t="shared" si="31"/>
        <v>0</v>
      </c>
      <c r="I99" s="40"/>
      <c r="J99" s="39">
        <f t="shared" si="40"/>
        <v>0</v>
      </c>
      <c r="K99" s="38">
        <f t="shared" si="32"/>
        <v>0</v>
      </c>
      <c r="L99" s="40"/>
    </row>
    <row r="100" spans="1:12" ht="25.15" customHeight="1" x14ac:dyDescent="0.25">
      <c r="A100" s="1" t="s">
        <v>17</v>
      </c>
      <c r="B100" s="1" t="s">
        <v>273</v>
      </c>
      <c r="C100" s="36" t="s">
        <v>274</v>
      </c>
      <c r="D100" s="37" t="s">
        <v>275</v>
      </c>
      <c r="E100" s="48">
        <v>98350</v>
      </c>
      <c r="F100" s="39">
        <v>98350</v>
      </c>
      <c r="G100" s="39">
        <f t="shared" ref="G100" si="41">SUM(G101:G102)</f>
        <v>98350</v>
      </c>
      <c r="H100" s="38">
        <f t="shared" si="31"/>
        <v>0</v>
      </c>
      <c r="I100" s="41"/>
      <c r="J100" s="39">
        <f t="shared" ref="J100" si="42">SUM(J101:J102)</f>
        <v>98350</v>
      </c>
      <c r="K100" s="38">
        <f t="shared" si="32"/>
        <v>0</v>
      </c>
      <c r="L100" s="41"/>
    </row>
    <row r="101" spans="1:12" ht="28.15" customHeight="1" x14ac:dyDescent="0.25">
      <c r="A101" s="76" t="s">
        <v>276</v>
      </c>
      <c r="C101" s="88" t="s">
        <v>277</v>
      </c>
      <c r="D101" s="89" t="s">
        <v>275</v>
      </c>
      <c r="E101" s="48">
        <v>98350</v>
      </c>
      <c r="F101" s="39">
        <v>98350</v>
      </c>
      <c r="G101" s="39">
        <f>ROUND(F101,0)</f>
        <v>98350</v>
      </c>
      <c r="H101" s="38">
        <f t="shared" si="31"/>
        <v>0</v>
      </c>
      <c r="I101" s="40"/>
      <c r="J101" s="39">
        <f t="shared" ref="J101:J103" si="43">ROUND(G101,0)</f>
        <v>98350</v>
      </c>
      <c r="K101" s="38">
        <f t="shared" si="32"/>
        <v>0</v>
      </c>
      <c r="L101" s="40"/>
    </row>
    <row r="102" spans="1:12" ht="16.5" customHeight="1" x14ac:dyDescent="0.25">
      <c r="B102" s="1" t="s">
        <v>278</v>
      </c>
      <c r="C102" s="88" t="s">
        <v>279</v>
      </c>
      <c r="D102" s="89" t="s">
        <v>280</v>
      </c>
      <c r="E102" s="48">
        <v>0</v>
      </c>
      <c r="F102" s="39">
        <v>0</v>
      </c>
      <c r="G102" s="39">
        <f>ROUND(F102,0)</f>
        <v>0</v>
      </c>
      <c r="H102" s="38">
        <f t="shared" si="31"/>
        <v>0</v>
      </c>
      <c r="I102" s="40"/>
      <c r="J102" s="39">
        <f t="shared" si="43"/>
        <v>0</v>
      </c>
      <c r="K102" s="38">
        <f t="shared" si="32"/>
        <v>0</v>
      </c>
      <c r="L102" s="40"/>
    </row>
    <row r="103" spans="1:12" ht="15" customHeight="1" thickBot="1" x14ac:dyDescent="0.3">
      <c r="A103" s="1" t="s">
        <v>17</v>
      </c>
      <c r="B103" s="51" t="s">
        <v>281</v>
      </c>
      <c r="C103" s="36" t="s">
        <v>282</v>
      </c>
      <c r="D103" s="37" t="s">
        <v>283</v>
      </c>
      <c r="E103" s="48">
        <v>100623</v>
      </c>
      <c r="F103" s="39">
        <v>100623</v>
      </c>
      <c r="G103" s="39">
        <f>ROUND(F103,0)</f>
        <v>100623</v>
      </c>
      <c r="H103" s="38">
        <f t="shared" si="31"/>
        <v>0</v>
      </c>
      <c r="I103" s="41"/>
      <c r="J103" s="39">
        <f t="shared" si="43"/>
        <v>100623</v>
      </c>
      <c r="K103" s="38">
        <f t="shared" si="32"/>
        <v>0</v>
      </c>
      <c r="L103" s="41"/>
    </row>
    <row r="104" spans="1:12" ht="15" customHeight="1" thickBot="1" x14ac:dyDescent="0.3">
      <c r="C104" s="92"/>
      <c r="D104" s="93" t="s">
        <v>284</v>
      </c>
      <c r="E104" s="96">
        <v>61794402</v>
      </c>
      <c r="F104" s="95">
        <v>61794402</v>
      </c>
      <c r="G104" s="95">
        <f t="shared" ref="G104" si="44">G7+G10+G13+G16+G19+G22+G34+G37+G41+G42+G86+G89</f>
        <v>61849590</v>
      </c>
      <c r="H104" s="94">
        <f t="shared" si="31"/>
        <v>55188</v>
      </c>
      <c r="I104" s="97"/>
      <c r="J104" s="95">
        <f t="shared" ref="J104" si="45">J7+J10+J13+J16+J19+J22+J34+J37+J41+J42+J86+J89</f>
        <v>61987171</v>
      </c>
      <c r="K104" s="94">
        <f t="shared" si="32"/>
        <v>137581</v>
      </c>
      <c r="L104" s="97"/>
    </row>
    <row r="105" spans="1:12" ht="15.75" thickBot="1" x14ac:dyDescent="0.3">
      <c r="C105" s="98" t="s">
        <v>285</v>
      </c>
      <c r="D105" s="99" t="s">
        <v>286</v>
      </c>
      <c r="E105" s="102">
        <v>6694243.2000000002</v>
      </c>
      <c r="F105" s="101">
        <v>6694243.2000000002</v>
      </c>
      <c r="G105" s="101">
        <f>SUM(G106:G107)</f>
        <v>6694243</v>
      </c>
      <c r="H105" s="100">
        <f t="shared" si="31"/>
        <v>-0.20000000018626451</v>
      </c>
      <c r="I105" s="103"/>
      <c r="J105" s="101">
        <f>SUM(J106:J107)</f>
        <v>6694243</v>
      </c>
      <c r="K105" s="100">
        <f t="shared" si="32"/>
        <v>0</v>
      </c>
      <c r="L105" s="103"/>
    </row>
    <row r="106" spans="1:12" ht="14.45" customHeight="1" x14ac:dyDescent="0.25">
      <c r="C106" s="36" t="s">
        <v>287</v>
      </c>
      <c r="D106" s="37" t="s">
        <v>288</v>
      </c>
      <c r="E106" s="48">
        <v>1040957</v>
      </c>
      <c r="F106" s="39">
        <v>1040957</v>
      </c>
      <c r="G106" s="39">
        <f>ROUND(F106,0)</f>
        <v>1040957</v>
      </c>
      <c r="H106" s="38">
        <f t="shared" si="31"/>
        <v>0</v>
      </c>
      <c r="I106" s="41"/>
      <c r="J106" s="39">
        <f t="shared" ref="J106:J107" si="46">ROUND(G106,0)</f>
        <v>1040957</v>
      </c>
      <c r="K106" s="38">
        <f t="shared" si="32"/>
        <v>0</v>
      </c>
      <c r="L106" s="41"/>
    </row>
    <row r="107" spans="1:12" x14ac:dyDescent="0.25">
      <c r="C107" s="36" t="s">
        <v>289</v>
      </c>
      <c r="D107" s="37" t="s">
        <v>290</v>
      </c>
      <c r="E107" s="48">
        <v>5653286</v>
      </c>
      <c r="F107" s="39">
        <v>5653286</v>
      </c>
      <c r="G107" s="39">
        <f>ROUND(F107,0)</f>
        <v>5653286</v>
      </c>
      <c r="H107" s="38">
        <f t="shared" si="31"/>
        <v>0</v>
      </c>
      <c r="I107" s="40"/>
      <c r="J107" s="39">
        <f t="shared" si="46"/>
        <v>5653286</v>
      </c>
      <c r="K107" s="38">
        <f t="shared" si="32"/>
        <v>0</v>
      </c>
      <c r="L107" s="40"/>
    </row>
    <row r="108" spans="1:12" x14ac:dyDescent="0.25">
      <c r="C108" s="58" t="s">
        <v>291</v>
      </c>
      <c r="D108" s="104" t="s">
        <v>292</v>
      </c>
      <c r="E108" s="106">
        <v>6608118</v>
      </c>
      <c r="F108" s="105">
        <v>6608118</v>
      </c>
      <c r="G108" s="105">
        <f t="shared" ref="G108" si="47">SUM(G109:G118)</f>
        <v>6608118</v>
      </c>
      <c r="H108" s="44">
        <f t="shared" si="31"/>
        <v>0</v>
      </c>
      <c r="I108" s="47"/>
      <c r="J108" s="105">
        <f t="shared" ref="J108" si="48">SUM(J109:J118)</f>
        <v>6668106</v>
      </c>
      <c r="K108" s="44">
        <f t="shared" si="32"/>
        <v>59988</v>
      </c>
      <c r="L108" s="47"/>
    </row>
    <row r="109" spans="1:12" ht="30" outlineLevel="1" x14ac:dyDescent="0.25">
      <c r="A109" s="76"/>
      <c r="B109" s="76"/>
      <c r="C109" s="88" t="s">
        <v>293</v>
      </c>
      <c r="D109" s="107" t="s">
        <v>294</v>
      </c>
      <c r="E109" s="109">
        <v>85000</v>
      </c>
      <c r="F109" s="108">
        <v>85000</v>
      </c>
      <c r="G109" s="110">
        <f t="shared" ref="G109:G118" si="49">ROUND(F109,0)</f>
        <v>85000</v>
      </c>
      <c r="H109" s="111">
        <f t="shared" si="31"/>
        <v>0</v>
      </c>
      <c r="I109" s="52"/>
      <c r="J109" s="110">
        <f t="shared" ref="J109:J118" si="50">ROUND(G109,0)</f>
        <v>85000</v>
      </c>
      <c r="K109" s="111">
        <f t="shared" si="32"/>
        <v>0</v>
      </c>
      <c r="L109" s="52"/>
    </row>
    <row r="110" spans="1:12" ht="30" customHeight="1" x14ac:dyDescent="0.25">
      <c r="A110" s="76" t="s">
        <v>215</v>
      </c>
      <c r="B110" s="76"/>
      <c r="C110" s="88" t="s">
        <v>295</v>
      </c>
      <c r="D110" s="107" t="s">
        <v>217</v>
      </c>
      <c r="E110" s="109">
        <v>3100179</v>
      </c>
      <c r="F110" s="108">
        <v>3100179</v>
      </c>
      <c r="G110" s="110">
        <f t="shared" si="49"/>
        <v>3100179</v>
      </c>
      <c r="H110" s="111">
        <f t="shared" si="31"/>
        <v>0</v>
      </c>
      <c r="I110" s="52"/>
      <c r="J110" s="110">
        <f t="shared" si="50"/>
        <v>3100179</v>
      </c>
      <c r="K110" s="111">
        <f t="shared" si="32"/>
        <v>0</v>
      </c>
      <c r="L110" s="52"/>
    </row>
    <row r="111" spans="1:12" x14ac:dyDescent="0.25">
      <c r="A111" s="76" t="s">
        <v>181</v>
      </c>
      <c r="B111" s="76" t="s">
        <v>296</v>
      </c>
      <c r="C111" s="88" t="s">
        <v>297</v>
      </c>
      <c r="D111" s="107" t="s">
        <v>298</v>
      </c>
      <c r="E111" s="109">
        <v>85000</v>
      </c>
      <c r="F111" s="108">
        <v>85000</v>
      </c>
      <c r="G111" s="110">
        <f t="shared" si="49"/>
        <v>85000</v>
      </c>
      <c r="H111" s="111">
        <f t="shared" si="31"/>
        <v>0</v>
      </c>
      <c r="I111" s="52"/>
      <c r="J111" s="110">
        <f t="shared" si="50"/>
        <v>85000</v>
      </c>
      <c r="K111" s="111">
        <f t="shared" si="32"/>
        <v>0</v>
      </c>
      <c r="L111" s="52"/>
    </row>
    <row r="112" spans="1:12" ht="32.450000000000003" customHeight="1" x14ac:dyDescent="0.25">
      <c r="A112" s="76"/>
      <c r="B112" s="76"/>
      <c r="C112" s="88" t="s">
        <v>299</v>
      </c>
      <c r="D112" s="107" t="s">
        <v>300</v>
      </c>
      <c r="E112" s="109">
        <v>255000</v>
      </c>
      <c r="F112" s="108">
        <v>255000</v>
      </c>
      <c r="G112" s="110">
        <f t="shared" si="49"/>
        <v>255000</v>
      </c>
      <c r="H112" s="111">
        <f t="shared" si="31"/>
        <v>0</v>
      </c>
      <c r="I112" s="50"/>
      <c r="J112" s="110">
        <f t="shared" si="50"/>
        <v>255000</v>
      </c>
      <c r="K112" s="111">
        <f t="shared" si="32"/>
        <v>0</v>
      </c>
      <c r="L112" s="50"/>
    </row>
    <row r="113" spans="1:12" ht="67.900000000000006" customHeight="1" x14ac:dyDescent="0.25">
      <c r="A113" s="76"/>
      <c r="B113" s="76"/>
      <c r="C113" s="88" t="s">
        <v>301</v>
      </c>
      <c r="D113" s="113" t="s">
        <v>302</v>
      </c>
      <c r="E113" s="109">
        <v>474147</v>
      </c>
      <c r="F113" s="114">
        <v>474147</v>
      </c>
      <c r="G113" s="115">
        <f t="shared" si="49"/>
        <v>474147</v>
      </c>
      <c r="H113" s="116">
        <f t="shared" si="31"/>
        <v>0</v>
      </c>
      <c r="I113" s="50"/>
      <c r="J113" s="115">
        <f t="shared" si="50"/>
        <v>474147</v>
      </c>
      <c r="K113" s="116">
        <f t="shared" si="32"/>
        <v>0</v>
      </c>
      <c r="L113" s="50"/>
    </row>
    <row r="114" spans="1:12" ht="16.899999999999999" customHeight="1" x14ac:dyDescent="0.25">
      <c r="B114" s="76"/>
      <c r="C114" s="88" t="s">
        <v>297</v>
      </c>
      <c r="D114" s="107" t="s">
        <v>303</v>
      </c>
      <c r="E114" s="109">
        <v>510000</v>
      </c>
      <c r="F114" s="108">
        <v>510000</v>
      </c>
      <c r="G114" s="117">
        <f t="shared" si="49"/>
        <v>510000</v>
      </c>
      <c r="H114" s="116">
        <f t="shared" si="31"/>
        <v>0</v>
      </c>
      <c r="I114" s="50"/>
      <c r="J114" s="117">
        <f t="shared" si="50"/>
        <v>510000</v>
      </c>
      <c r="K114" s="116">
        <f t="shared" si="32"/>
        <v>0</v>
      </c>
      <c r="L114" s="50"/>
    </row>
    <row r="115" spans="1:12" ht="29.25" customHeight="1" x14ac:dyDescent="0.25">
      <c r="B115" s="76" t="s">
        <v>188</v>
      </c>
      <c r="C115" s="88" t="s">
        <v>304</v>
      </c>
      <c r="D115" s="113" t="s">
        <v>190</v>
      </c>
      <c r="E115" s="109">
        <v>295238</v>
      </c>
      <c r="F115" s="114">
        <v>295238</v>
      </c>
      <c r="G115" s="115">
        <f t="shared" si="49"/>
        <v>295238</v>
      </c>
      <c r="H115" s="38">
        <f t="shared" si="31"/>
        <v>0</v>
      </c>
      <c r="I115" s="118"/>
      <c r="J115" s="115">
        <f t="shared" si="50"/>
        <v>295238</v>
      </c>
      <c r="K115" s="38">
        <f t="shared" si="32"/>
        <v>0</v>
      </c>
      <c r="L115" s="118"/>
    </row>
    <row r="116" spans="1:12" ht="18.600000000000001" customHeight="1" outlineLevel="1" x14ac:dyDescent="0.25">
      <c r="B116" s="76" t="s">
        <v>210</v>
      </c>
      <c r="C116" s="119" t="s">
        <v>305</v>
      </c>
      <c r="D116" s="113" t="s">
        <v>212</v>
      </c>
      <c r="E116" s="109">
        <v>70622</v>
      </c>
      <c r="F116" s="114">
        <v>70622</v>
      </c>
      <c r="G116" s="112">
        <f t="shared" si="49"/>
        <v>70622</v>
      </c>
      <c r="H116" s="120">
        <f t="shared" si="31"/>
        <v>0</v>
      </c>
      <c r="I116" s="50"/>
      <c r="J116" s="112">
        <f t="shared" si="50"/>
        <v>70622</v>
      </c>
      <c r="K116" s="120">
        <f t="shared" si="32"/>
        <v>0</v>
      </c>
      <c r="L116" s="50"/>
    </row>
    <row r="117" spans="1:12" ht="27.6" customHeight="1" outlineLevel="1" x14ac:dyDescent="0.25">
      <c r="B117" s="76" t="s">
        <v>222</v>
      </c>
      <c r="C117" s="88" t="s">
        <v>306</v>
      </c>
      <c r="D117" s="113" t="s">
        <v>224</v>
      </c>
      <c r="E117" s="109">
        <v>123536</v>
      </c>
      <c r="F117" s="114">
        <v>123536</v>
      </c>
      <c r="G117" s="115">
        <f t="shared" si="49"/>
        <v>123536</v>
      </c>
      <c r="H117" s="116">
        <f t="shared" si="31"/>
        <v>0</v>
      </c>
      <c r="I117" s="50"/>
      <c r="J117" s="115">
        <f>ROUND(G117,0)+59988</f>
        <v>183524</v>
      </c>
      <c r="K117" s="116">
        <f t="shared" si="32"/>
        <v>59988</v>
      </c>
      <c r="L117" s="50" t="s">
        <v>665</v>
      </c>
    </row>
    <row r="118" spans="1:12" ht="26.45" customHeight="1" outlineLevel="1" x14ac:dyDescent="0.25">
      <c r="B118" s="76" t="s">
        <v>225</v>
      </c>
      <c r="C118" s="88" t="s">
        <v>307</v>
      </c>
      <c r="D118" s="121" t="s">
        <v>227</v>
      </c>
      <c r="E118" s="109">
        <v>1609396</v>
      </c>
      <c r="F118" s="114">
        <v>1609396</v>
      </c>
      <c r="G118" s="115">
        <f t="shared" si="49"/>
        <v>1609396</v>
      </c>
      <c r="H118" s="38">
        <f t="shared" si="31"/>
        <v>0</v>
      </c>
      <c r="I118" s="118"/>
      <c r="J118" s="115">
        <f t="shared" si="50"/>
        <v>1609396</v>
      </c>
      <c r="K118" s="38">
        <f t="shared" si="32"/>
        <v>0</v>
      </c>
      <c r="L118" s="118"/>
    </row>
    <row r="119" spans="1:12" ht="15.75" thickBot="1" x14ac:dyDescent="0.3">
      <c r="C119" s="122"/>
      <c r="D119" s="123" t="s">
        <v>308</v>
      </c>
      <c r="E119" s="102">
        <v>75096763.200000003</v>
      </c>
      <c r="F119" s="101">
        <v>75096763.200000003</v>
      </c>
      <c r="G119" s="101">
        <f t="shared" ref="G119" si="51">G104+G105+G108</f>
        <v>75151951</v>
      </c>
      <c r="H119" s="100">
        <f t="shared" si="31"/>
        <v>55187.79999999702</v>
      </c>
      <c r="I119" s="124"/>
      <c r="J119" s="101">
        <f t="shared" ref="J119" si="52">J104+J105+J108</f>
        <v>75349520</v>
      </c>
      <c r="K119" s="100">
        <f t="shared" si="32"/>
        <v>197569</v>
      </c>
      <c r="L119" s="124"/>
    </row>
    <row r="121" spans="1:12" x14ac:dyDescent="0.25">
      <c r="H121" s="5"/>
      <c r="K121" s="5"/>
    </row>
    <row r="122" spans="1:12" ht="20.25" x14ac:dyDescent="0.3">
      <c r="C122" s="231" t="s">
        <v>309</v>
      </c>
      <c r="D122" s="231"/>
      <c r="H122" s="5"/>
      <c r="K122" s="5"/>
    </row>
    <row r="123" spans="1:12" ht="15.75" thickBot="1" x14ac:dyDescent="0.3">
      <c r="C123" s="232"/>
      <c r="D123" s="232"/>
      <c r="H123" s="126"/>
      <c r="K123" s="126"/>
    </row>
    <row r="124" spans="1:12" ht="57" customHeight="1" thickBot="1" x14ac:dyDescent="0.3">
      <c r="C124" s="17" t="s">
        <v>3</v>
      </c>
      <c r="D124" s="18" t="s">
        <v>4</v>
      </c>
      <c r="E124" s="21" t="s">
        <v>310</v>
      </c>
      <c r="F124" s="20" t="s">
        <v>310</v>
      </c>
      <c r="G124" s="20" t="str">
        <f>G5</f>
        <v>27.03.2025. grozījumi</v>
      </c>
      <c r="H124" s="19" t="s">
        <v>311</v>
      </c>
      <c r="I124" s="22" t="s">
        <v>312</v>
      </c>
      <c r="J124" s="20" t="str">
        <f>J5</f>
        <v>29.05.2025. grozījumi</v>
      </c>
      <c r="K124" s="19" t="str">
        <f>K5</f>
        <v>Izmaiņa 29.05.2025. - 27.03.2025.</v>
      </c>
      <c r="L124" s="22" t="s">
        <v>312</v>
      </c>
    </row>
    <row r="125" spans="1:12" x14ac:dyDescent="0.25">
      <c r="C125" s="127" t="s">
        <v>15</v>
      </c>
      <c r="D125" s="128" t="s">
        <v>313</v>
      </c>
      <c r="E125" s="131">
        <v>12264534</v>
      </c>
      <c r="F125" s="130">
        <v>12264534</v>
      </c>
      <c r="G125" s="130">
        <f t="shared" ref="G125" si="53">SUM(G126:G134)</f>
        <v>12264534</v>
      </c>
      <c r="H125" s="129">
        <f t="shared" ref="H125:H188" si="54">G125-F125</f>
        <v>0</v>
      </c>
      <c r="I125" s="132"/>
      <c r="J125" s="130">
        <f t="shared" ref="J125" si="55">SUM(J126:J134)</f>
        <v>12263884</v>
      </c>
      <c r="K125" s="129">
        <f t="shared" ref="K125:K188" si="56">J125-G125</f>
        <v>-650</v>
      </c>
      <c r="L125" s="132"/>
    </row>
    <row r="126" spans="1:12" ht="31.5" customHeight="1" x14ac:dyDescent="0.25">
      <c r="B126" s="76" t="s">
        <v>314</v>
      </c>
      <c r="C126" s="133" t="s">
        <v>19</v>
      </c>
      <c r="D126" s="134" t="s">
        <v>315</v>
      </c>
      <c r="E126" s="135">
        <v>2120144</v>
      </c>
      <c r="F126" s="62">
        <v>2120144</v>
      </c>
      <c r="G126" s="62">
        <f t="shared" ref="G126:G135" si="57">ROUND(F126,0)</f>
        <v>2120144</v>
      </c>
      <c r="H126" s="61">
        <f t="shared" si="54"/>
        <v>0</v>
      </c>
      <c r="I126" s="82"/>
      <c r="J126" s="62">
        <f>ROUND(G126,0)-650</f>
        <v>2119494</v>
      </c>
      <c r="K126" s="61">
        <f t="shared" si="56"/>
        <v>-650</v>
      </c>
      <c r="L126" s="82" t="s">
        <v>316</v>
      </c>
    </row>
    <row r="127" spans="1:12" x14ac:dyDescent="0.25">
      <c r="B127" s="76" t="s">
        <v>317</v>
      </c>
      <c r="C127" s="133" t="s">
        <v>318</v>
      </c>
      <c r="D127" s="134" t="s">
        <v>319</v>
      </c>
      <c r="E127" s="135">
        <v>377185</v>
      </c>
      <c r="F127" s="62">
        <v>377185</v>
      </c>
      <c r="G127" s="62">
        <f t="shared" si="57"/>
        <v>377185</v>
      </c>
      <c r="H127" s="61">
        <f t="shared" si="54"/>
        <v>0</v>
      </c>
      <c r="I127" s="136"/>
      <c r="J127" s="62">
        <f t="shared" ref="J127:J134" si="58">ROUND(G127,0)</f>
        <v>377185</v>
      </c>
      <c r="K127" s="61">
        <f t="shared" si="56"/>
        <v>0</v>
      </c>
      <c r="L127" s="136"/>
    </row>
    <row r="128" spans="1:12" ht="13.15" customHeight="1" x14ac:dyDescent="0.25">
      <c r="B128" s="76" t="s">
        <v>320</v>
      </c>
      <c r="C128" s="133" t="s">
        <v>321</v>
      </c>
      <c r="D128" s="134" t="s">
        <v>322</v>
      </c>
      <c r="E128" s="135">
        <v>62822</v>
      </c>
      <c r="F128" s="62">
        <v>62822</v>
      </c>
      <c r="G128" s="62">
        <f t="shared" si="57"/>
        <v>62822</v>
      </c>
      <c r="H128" s="61">
        <f t="shared" si="54"/>
        <v>0</v>
      </c>
      <c r="I128" s="82"/>
      <c r="J128" s="62">
        <f t="shared" si="58"/>
        <v>62822</v>
      </c>
      <c r="K128" s="61">
        <f t="shared" si="56"/>
        <v>0</v>
      </c>
      <c r="L128" s="82"/>
    </row>
    <row r="129" spans="2:12" ht="14.45" customHeight="1" x14ac:dyDescent="0.25">
      <c r="B129" s="76" t="s">
        <v>323</v>
      </c>
      <c r="C129" s="133" t="s">
        <v>324</v>
      </c>
      <c r="D129" s="134" t="s">
        <v>325</v>
      </c>
      <c r="E129" s="135">
        <v>45177</v>
      </c>
      <c r="F129" s="62">
        <v>45177</v>
      </c>
      <c r="G129" s="62">
        <f t="shared" si="57"/>
        <v>45177</v>
      </c>
      <c r="H129" s="61">
        <f t="shared" si="54"/>
        <v>0</v>
      </c>
      <c r="I129" s="82"/>
      <c r="J129" s="62">
        <f t="shared" si="58"/>
        <v>45177</v>
      </c>
      <c r="K129" s="61">
        <f t="shared" si="56"/>
        <v>0</v>
      </c>
      <c r="L129" s="82"/>
    </row>
    <row r="130" spans="2:12" ht="15.6" customHeight="1" x14ac:dyDescent="0.25">
      <c r="B130" s="76" t="s">
        <v>326</v>
      </c>
      <c r="C130" s="133" t="s">
        <v>327</v>
      </c>
      <c r="D130" s="134" t="s">
        <v>328</v>
      </c>
      <c r="E130" s="135">
        <v>88097</v>
      </c>
      <c r="F130" s="62">
        <v>88097</v>
      </c>
      <c r="G130" s="62">
        <f t="shared" si="57"/>
        <v>88097</v>
      </c>
      <c r="H130" s="61">
        <f t="shared" si="54"/>
        <v>0</v>
      </c>
      <c r="I130" s="82"/>
      <c r="J130" s="62">
        <f t="shared" si="58"/>
        <v>88097</v>
      </c>
      <c r="K130" s="61">
        <f t="shared" si="56"/>
        <v>0</v>
      </c>
      <c r="L130" s="82"/>
    </row>
    <row r="131" spans="2:12" ht="14.45" customHeight="1" x14ac:dyDescent="0.25">
      <c r="B131" s="76" t="s">
        <v>329</v>
      </c>
      <c r="C131" s="133" t="s">
        <v>330</v>
      </c>
      <c r="D131" s="134" t="s">
        <v>331</v>
      </c>
      <c r="E131" s="135">
        <v>33489</v>
      </c>
      <c r="F131" s="62">
        <v>33489</v>
      </c>
      <c r="G131" s="62">
        <f t="shared" si="57"/>
        <v>33489</v>
      </c>
      <c r="H131" s="61">
        <f t="shared" si="54"/>
        <v>0</v>
      </c>
      <c r="I131" s="136"/>
      <c r="J131" s="62">
        <f t="shared" si="58"/>
        <v>33489</v>
      </c>
      <c r="K131" s="61">
        <f t="shared" si="56"/>
        <v>0</v>
      </c>
      <c r="L131" s="136"/>
    </row>
    <row r="132" spans="2:12" ht="30" customHeight="1" x14ac:dyDescent="0.25">
      <c r="B132" s="76" t="s">
        <v>314</v>
      </c>
      <c r="C132" s="133" t="s">
        <v>332</v>
      </c>
      <c r="D132" s="134" t="s">
        <v>333</v>
      </c>
      <c r="E132" s="135">
        <v>2102431</v>
      </c>
      <c r="F132" s="62">
        <v>2102431</v>
      </c>
      <c r="G132" s="62">
        <f t="shared" si="57"/>
        <v>2102431</v>
      </c>
      <c r="H132" s="61">
        <f t="shared" si="54"/>
        <v>0</v>
      </c>
      <c r="I132" s="82"/>
      <c r="J132" s="62">
        <f t="shared" si="58"/>
        <v>2102431</v>
      </c>
      <c r="K132" s="61">
        <f t="shared" si="56"/>
        <v>0</v>
      </c>
      <c r="L132" s="82"/>
    </row>
    <row r="133" spans="2:12" ht="13.9" customHeight="1" x14ac:dyDescent="0.25">
      <c r="B133" s="76" t="s">
        <v>314</v>
      </c>
      <c r="C133" s="133" t="s">
        <v>334</v>
      </c>
      <c r="D133" s="134" t="s">
        <v>335</v>
      </c>
      <c r="E133" s="135">
        <v>6917724</v>
      </c>
      <c r="F133" s="62">
        <v>6917724</v>
      </c>
      <c r="G133" s="62">
        <f t="shared" si="57"/>
        <v>6917724</v>
      </c>
      <c r="H133" s="61">
        <f t="shared" si="54"/>
        <v>0</v>
      </c>
      <c r="I133" s="136"/>
      <c r="J133" s="62">
        <f t="shared" si="58"/>
        <v>6917724</v>
      </c>
      <c r="K133" s="61">
        <f t="shared" si="56"/>
        <v>0</v>
      </c>
      <c r="L133" s="136"/>
    </row>
    <row r="134" spans="2:12" ht="42" customHeight="1" x14ac:dyDescent="0.25">
      <c r="B134" s="76" t="s">
        <v>336</v>
      </c>
      <c r="C134" s="133" t="s">
        <v>337</v>
      </c>
      <c r="D134" s="134" t="s">
        <v>338</v>
      </c>
      <c r="E134" s="81">
        <v>517465</v>
      </c>
      <c r="F134" s="62">
        <v>517465</v>
      </c>
      <c r="G134" s="62">
        <f t="shared" si="57"/>
        <v>517465</v>
      </c>
      <c r="H134" s="61">
        <f t="shared" si="54"/>
        <v>0</v>
      </c>
      <c r="I134" s="82"/>
      <c r="J134" s="62">
        <f t="shared" si="58"/>
        <v>517465</v>
      </c>
      <c r="K134" s="61">
        <f t="shared" si="56"/>
        <v>0</v>
      </c>
      <c r="L134" s="82"/>
    </row>
    <row r="135" spans="2:12" ht="33.6" customHeight="1" collapsed="1" x14ac:dyDescent="0.25">
      <c r="B135" s="76" t="s">
        <v>339</v>
      </c>
      <c r="C135" s="137" t="s">
        <v>25</v>
      </c>
      <c r="D135" s="138" t="s">
        <v>340</v>
      </c>
      <c r="E135" s="46">
        <v>1114238</v>
      </c>
      <c r="F135" s="45">
        <v>1114238</v>
      </c>
      <c r="G135" s="45">
        <f t="shared" si="57"/>
        <v>1114238</v>
      </c>
      <c r="H135" s="44">
        <f t="shared" si="54"/>
        <v>0</v>
      </c>
      <c r="I135" s="56"/>
      <c r="J135" s="45">
        <f>ROUND(G135,0)+15584</f>
        <v>1129822</v>
      </c>
      <c r="K135" s="44">
        <f t="shared" si="56"/>
        <v>15584</v>
      </c>
      <c r="L135" s="56" t="s">
        <v>178</v>
      </c>
    </row>
    <row r="136" spans="2:12" s="139" customFormat="1" ht="16.899999999999999" customHeight="1" x14ac:dyDescent="0.25">
      <c r="C136" s="137" t="s">
        <v>33</v>
      </c>
      <c r="D136" s="138" t="s">
        <v>341</v>
      </c>
      <c r="E136" s="46">
        <v>646058</v>
      </c>
      <c r="F136" s="45">
        <v>646058</v>
      </c>
      <c r="G136" s="45">
        <f t="shared" ref="G136" si="59">G137+G140</f>
        <v>646058</v>
      </c>
      <c r="H136" s="44">
        <f t="shared" si="54"/>
        <v>0</v>
      </c>
      <c r="I136" s="56"/>
      <c r="J136" s="45">
        <f t="shared" ref="J136" si="60">J137+J140</f>
        <v>646058</v>
      </c>
      <c r="K136" s="44">
        <f t="shared" si="56"/>
        <v>0</v>
      </c>
      <c r="L136" s="56"/>
    </row>
    <row r="137" spans="2:12" x14ac:dyDescent="0.25">
      <c r="B137" s="76" t="s">
        <v>342</v>
      </c>
      <c r="C137" s="133" t="s">
        <v>36</v>
      </c>
      <c r="D137" s="134" t="s">
        <v>343</v>
      </c>
      <c r="E137" s="81">
        <v>200531</v>
      </c>
      <c r="F137" s="62">
        <v>200531</v>
      </c>
      <c r="G137" s="62">
        <f>SUM(G138:G139)</f>
        <v>200531</v>
      </c>
      <c r="H137" s="61">
        <f t="shared" si="54"/>
        <v>0</v>
      </c>
      <c r="I137" s="61"/>
      <c r="J137" s="62">
        <f>SUM(J138:J139)</f>
        <v>200531</v>
      </c>
      <c r="K137" s="61">
        <f t="shared" si="56"/>
        <v>0</v>
      </c>
      <c r="L137" s="61"/>
    </row>
    <row r="138" spans="2:12" ht="15.75" customHeight="1" x14ac:dyDescent="0.25">
      <c r="B138" s="76" t="s">
        <v>342</v>
      </c>
      <c r="C138" s="140" t="s">
        <v>344</v>
      </c>
      <c r="D138" s="141" t="s">
        <v>345</v>
      </c>
      <c r="E138" s="48">
        <v>166223</v>
      </c>
      <c r="F138" s="39">
        <v>166223</v>
      </c>
      <c r="G138" s="39">
        <f>ROUND(F138,0)</f>
        <v>166223</v>
      </c>
      <c r="H138" s="38">
        <f t="shared" si="54"/>
        <v>0</v>
      </c>
      <c r="I138" s="40"/>
      <c r="J138" s="39">
        <f>ROUND(G138,0)-587</f>
        <v>165636</v>
      </c>
      <c r="K138" s="38">
        <f t="shared" si="56"/>
        <v>-587</v>
      </c>
      <c r="L138" s="233" t="s">
        <v>346</v>
      </c>
    </row>
    <row r="139" spans="2:12" ht="15.6" customHeight="1" x14ac:dyDescent="0.25">
      <c r="B139" s="76"/>
      <c r="C139" s="140" t="s">
        <v>347</v>
      </c>
      <c r="D139" s="141" t="s">
        <v>348</v>
      </c>
      <c r="E139" s="48">
        <v>34308</v>
      </c>
      <c r="F139" s="39">
        <v>34308</v>
      </c>
      <c r="G139" s="39">
        <f>ROUND(F139,0)</f>
        <v>34308</v>
      </c>
      <c r="H139" s="38">
        <f t="shared" si="54"/>
        <v>0</v>
      </c>
      <c r="I139" s="40"/>
      <c r="J139" s="39">
        <f>ROUND(G139,0)+587</f>
        <v>34895</v>
      </c>
      <c r="K139" s="38">
        <f t="shared" si="56"/>
        <v>587</v>
      </c>
      <c r="L139" s="234"/>
    </row>
    <row r="140" spans="2:12" x14ac:dyDescent="0.25">
      <c r="B140" s="76" t="s">
        <v>349</v>
      </c>
      <c r="C140" s="133" t="s">
        <v>39</v>
      </c>
      <c r="D140" s="134" t="s">
        <v>350</v>
      </c>
      <c r="E140" s="81">
        <v>445527</v>
      </c>
      <c r="F140" s="62">
        <v>445527</v>
      </c>
      <c r="G140" s="62">
        <f>ROUND(F140,0)</f>
        <v>445527</v>
      </c>
      <c r="H140" s="61">
        <f t="shared" si="54"/>
        <v>0</v>
      </c>
      <c r="I140" s="82"/>
      <c r="J140" s="62">
        <f>ROUND(G140,0)</f>
        <v>445527</v>
      </c>
      <c r="K140" s="61">
        <f t="shared" si="56"/>
        <v>0</v>
      </c>
      <c r="L140" s="82"/>
    </row>
    <row r="141" spans="2:12" x14ac:dyDescent="0.25">
      <c r="C141" s="137" t="s">
        <v>41</v>
      </c>
      <c r="D141" s="138" t="s">
        <v>351</v>
      </c>
      <c r="E141" s="46">
        <v>225687</v>
      </c>
      <c r="F141" s="45">
        <v>225687</v>
      </c>
      <c r="G141" s="45">
        <f t="shared" ref="G141" si="61">G142</f>
        <v>225687</v>
      </c>
      <c r="H141" s="44">
        <f t="shared" si="54"/>
        <v>0</v>
      </c>
      <c r="I141" s="47"/>
      <c r="J141" s="45">
        <f t="shared" ref="J141" si="62">J142</f>
        <v>225687</v>
      </c>
      <c r="K141" s="44">
        <f t="shared" si="56"/>
        <v>0</v>
      </c>
      <c r="L141" s="47"/>
    </row>
    <row r="142" spans="2:12" ht="16.149999999999999" customHeight="1" x14ac:dyDescent="0.25">
      <c r="B142" s="76" t="s">
        <v>352</v>
      </c>
      <c r="C142" s="133" t="s">
        <v>44</v>
      </c>
      <c r="D142" s="134" t="s">
        <v>353</v>
      </c>
      <c r="E142" s="81">
        <v>225687</v>
      </c>
      <c r="F142" s="62">
        <v>225687</v>
      </c>
      <c r="G142" s="62">
        <f>ROUND(F142,0)</f>
        <v>225687</v>
      </c>
      <c r="H142" s="61">
        <f t="shared" si="54"/>
        <v>0</v>
      </c>
      <c r="I142" s="82"/>
      <c r="J142" s="62">
        <f>ROUND(G142,0)</f>
        <v>225687</v>
      </c>
      <c r="K142" s="61">
        <f t="shared" si="56"/>
        <v>0</v>
      </c>
      <c r="L142" s="82"/>
    </row>
    <row r="143" spans="2:12" ht="29.25" x14ac:dyDescent="0.25">
      <c r="C143" s="137" t="s">
        <v>47</v>
      </c>
      <c r="D143" s="138" t="s">
        <v>354</v>
      </c>
      <c r="E143" s="46">
        <v>18129422</v>
      </c>
      <c r="F143" s="45">
        <v>18129422</v>
      </c>
      <c r="G143" s="45">
        <f>G144+G145+G146+G147+G148+G162</f>
        <v>18123822</v>
      </c>
      <c r="H143" s="44">
        <f t="shared" si="54"/>
        <v>-5600</v>
      </c>
      <c r="I143" s="44"/>
      <c r="J143" s="45">
        <f>J144+J145+J146+J147+J148+J162</f>
        <v>17992555</v>
      </c>
      <c r="K143" s="44">
        <f t="shared" si="56"/>
        <v>-131267</v>
      </c>
      <c r="L143" s="44"/>
    </row>
    <row r="144" spans="2:12" ht="15.6" customHeight="1" x14ac:dyDescent="0.25">
      <c r="B144" s="76" t="s">
        <v>355</v>
      </c>
      <c r="C144" s="133" t="s">
        <v>50</v>
      </c>
      <c r="D144" s="142" t="s">
        <v>356</v>
      </c>
      <c r="E144" s="145">
        <v>70000</v>
      </c>
      <c r="F144" s="144">
        <v>70000</v>
      </c>
      <c r="G144" s="62">
        <f>ROUND(F144,0)</f>
        <v>70000</v>
      </c>
      <c r="H144" s="61">
        <f t="shared" si="54"/>
        <v>0</v>
      </c>
      <c r="I144" s="136"/>
      <c r="J144" s="62">
        <f t="shared" ref="J144:J147" si="63">ROUND(G144,0)</f>
        <v>70000</v>
      </c>
      <c r="K144" s="61">
        <f t="shared" si="56"/>
        <v>0</v>
      </c>
      <c r="L144" s="136"/>
    </row>
    <row r="145" spans="2:12" ht="15.6" customHeight="1" x14ac:dyDescent="0.25">
      <c r="B145" s="76" t="s">
        <v>357</v>
      </c>
      <c r="C145" s="133" t="s">
        <v>358</v>
      </c>
      <c r="D145" s="142" t="s">
        <v>359</v>
      </c>
      <c r="E145" s="145">
        <v>52568</v>
      </c>
      <c r="F145" s="144">
        <v>52568</v>
      </c>
      <c r="G145" s="62">
        <f>ROUND(F145,0)</f>
        <v>52568</v>
      </c>
      <c r="H145" s="61">
        <f t="shared" si="54"/>
        <v>0</v>
      </c>
      <c r="I145" s="136"/>
      <c r="J145" s="62">
        <f t="shared" si="63"/>
        <v>52568</v>
      </c>
      <c r="K145" s="61">
        <f t="shared" si="56"/>
        <v>0</v>
      </c>
      <c r="L145" s="136"/>
    </row>
    <row r="146" spans="2:12" ht="15" customHeight="1" x14ac:dyDescent="0.25">
      <c r="B146" s="76" t="s">
        <v>360</v>
      </c>
      <c r="C146" s="133" t="s">
        <v>361</v>
      </c>
      <c r="D146" s="142" t="s">
        <v>362</v>
      </c>
      <c r="E146" s="145">
        <v>333393</v>
      </c>
      <c r="F146" s="144">
        <v>333393</v>
      </c>
      <c r="G146" s="144">
        <f>ROUND(F146,0)</f>
        <v>333393</v>
      </c>
      <c r="H146" s="143">
        <f t="shared" si="54"/>
        <v>0</v>
      </c>
      <c r="I146" s="82"/>
      <c r="J146" s="144">
        <f t="shared" si="63"/>
        <v>333393</v>
      </c>
      <c r="K146" s="143">
        <f t="shared" si="56"/>
        <v>0</v>
      </c>
      <c r="L146" s="82"/>
    </row>
    <row r="147" spans="2:12" ht="15" customHeight="1" x14ac:dyDescent="0.25">
      <c r="B147" s="76" t="s">
        <v>363</v>
      </c>
      <c r="C147" s="133" t="s">
        <v>364</v>
      </c>
      <c r="D147" s="142" t="s">
        <v>365</v>
      </c>
      <c r="E147" s="145">
        <v>334779</v>
      </c>
      <c r="F147" s="144">
        <v>334779</v>
      </c>
      <c r="G147" s="144">
        <f>ROUND(F147,0)</f>
        <v>334779</v>
      </c>
      <c r="H147" s="143">
        <f t="shared" si="54"/>
        <v>0</v>
      </c>
      <c r="I147" s="82"/>
      <c r="J147" s="144">
        <f t="shared" si="63"/>
        <v>334779</v>
      </c>
      <c r="K147" s="143">
        <f t="shared" si="56"/>
        <v>0</v>
      </c>
      <c r="L147" s="82"/>
    </row>
    <row r="148" spans="2:12" x14ac:dyDescent="0.25">
      <c r="C148" s="133" t="s">
        <v>366</v>
      </c>
      <c r="D148" s="142" t="s">
        <v>367</v>
      </c>
      <c r="E148" s="145">
        <v>8401067</v>
      </c>
      <c r="F148" s="144">
        <v>8401067</v>
      </c>
      <c r="G148" s="144">
        <f>SUM(G149:G161)</f>
        <v>8401067</v>
      </c>
      <c r="H148" s="143">
        <f t="shared" si="54"/>
        <v>0</v>
      </c>
      <c r="I148" s="143"/>
      <c r="J148" s="144">
        <f>SUM(J149:J161)</f>
        <v>8461055</v>
      </c>
      <c r="K148" s="143">
        <f t="shared" si="56"/>
        <v>59988</v>
      </c>
      <c r="L148" s="143"/>
    </row>
    <row r="149" spans="2:12" ht="30.75" customHeight="1" x14ac:dyDescent="0.25">
      <c r="B149" s="76" t="s">
        <v>173</v>
      </c>
      <c r="C149" s="140" t="s">
        <v>368</v>
      </c>
      <c r="D149" s="113" t="s">
        <v>369</v>
      </c>
      <c r="E149" s="48">
        <v>524909</v>
      </c>
      <c r="F149" s="39">
        <v>524909</v>
      </c>
      <c r="G149" s="39">
        <f>ROUND(F149,0)-2000</f>
        <v>522909</v>
      </c>
      <c r="H149" s="38">
        <f t="shared" si="54"/>
        <v>-2000</v>
      </c>
      <c r="I149" s="146" t="s">
        <v>370</v>
      </c>
      <c r="J149" s="39">
        <f t="shared" ref="J149:J161" si="64">ROUND(G149,0)</f>
        <v>522909</v>
      </c>
      <c r="K149" s="38">
        <f t="shared" si="56"/>
        <v>0</v>
      </c>
      <c r="L149" s="146"/>
    </row>
    <row r="150" spans="2:12" ht="18.600000000000001" customHeight="1" x14ac:dyDescent="0.25">
      <c r="B150" s="76" t="s">
        <v>371</v>
      </c>
      <c r="C150" s="140" t="s">
        <v>372</v>
      </c>
      <c r="D150" s="113" t="s">
        <v>373</v>
      </c>
      <c r="E150" s="48">
        <v>40000</v>
      </c>
      <c r="F150" s="39">
        <v>40000</v>
      </c>
      <c r="G150" s="39">
        <f t="shared" ref="G150:G161" si="65">ROUND(F150,0)</f>
        <v>40000</v>
      </c>
      <c r="H150" s="38">
        <f t="shared" si="54"/>
        <v>0</v>
      </c>
      <c r="I150" s="146"/>
      <c r="J150" s="39">
        <f t="shared" si="64"/>
        <v>40000</v>
      </c>
      <c r="K150" s="38">
        <f t="shared" si="56"/>
        <v>0</v>
      </c>
      <c r="L150" s="146"/>
    </row>
    <row r="151" spans="2:12" ht="30" customHeight="1" x14ac:dyDescent="0.25">
      <c r="B151" s="76" t="s">
        <v>371</v>
      </c>
      <c r="C151" s="140" t="s">
        <v>374</v>
      </c>
      <c r="D151" s="113" t="s">
        <v>375</v>
      </c>
      <c r="E151" s="48">
        <v>11400</v>
      </c>
      <c r="F151" s="39">
        <v>11400</v>
      </c>
      <c r="G151" s="39">
        <f>ROUND(F151,0)+2000</f>
        <v>13400</v>
      </c>
      <c r="H151" s="38">
        <f t="shared" si="54"/>
        <v>2000</v>
      </c>
      <c r="I151" s="146" t="s">
        <v>370</v>
      </c>
      <c r="J151" s="39">
        <f t="shared" si="64"/>
        <v>13400</v>
      </c>
      <c r="K151" s="38">
        <f t="shared" si="56"/>
        <v>0</v>
      </c>
      <c r="L151" s="146"/>
    </row>
    <row r="152" spans="2:12" ht="28.15" customHeight="1" x14ac:dyDescent="0.25">
      <c r="B152" s="76" t="s">
        <v>185</v>
      </c>
      <c r="C152" s="147" t="s">
        <v>376</v>
      </c>
      <c r="D152" s="79" t="s">
        <v>187</v>
      </c>
      <c r="E152" s="48">
        <v>49346</v>
      </c>
      <c r="F152" s="39">
        <v>49346</v>
      </c>
      <c r="G152" s="39">
        <f t="shared" si="65"/>
        <v>49346</v>
      </c>
      <c r="H152" s="38">
        <f t="shared" si="54"/>
        <v>0</v>
      </c>
      <c r="I152" s="146"/>
      <c r="J152" s="39">
        <f t="shared" si="64"/>
        <v>49346</v>
      </c>
      <c r="K152" s="38">
        <f t="shared" si="56"/>
        <v>0</v>
      </c>
      <c r="L152" s="146"/>
    </row>
    <row r="153" spans="2:12" ht="42.6" customHeight="1" x14ac:dyDescent="0.25">
      <c r="B153" s="76" t="s">
        <v>377</v>
      </c>
      <c r="C153" s="147" t="s">
        <v>378</v>
      </c>
      <c r="D153" s="148" t="s">
        <v>379</v>
      </c>
      <c r="E153" s="48">
        <v>985558</v>
      </c>
      <c r="F153" s="39">
        <v>985558</v>
      </c>
      <c r="G153" s="39">
        <f t="shared" si="65"/>
        <v>985558</v>
      </c>
      <c r="H153" s="38">
        <f t="shared" si="54"/>
        <v>0</v>
      </c>
      <c r="I153" s="146"/>
      <c r="J153" s="39">
        <f>ROUND(G153,0)+59988</f>
        <v>1045546</v>
      </c>
      <c r="K153" s="38">
        <f t="shared" si="56"/>
        <v>59988</v>
      </c>
      <c r="L153" s="146" t="s">
        <v>665</v>
      </c>
    </row>
    <row r="154" spans="2:12" ht="28.9" customHeight="1" x14ac:dyDescent="0.25">
      <c r="B154" s="76" t="s">
        <v>225</v>
      </c>
      <c r="C154" s="147" t="s">
        <v>380</v>
      </c>
      <c r="D154" s="148" t="s">
        <v>227</v>
      </c>
      <c r="E154" s="48">
        <v>4425220</v>
      </c>
      <c r="F154" s="39">
        <v>4425220</v>
      </c>
      <c r="G154" s="39">
        <f t="shared" si="65"/>
        <v>4425220</v>
      </c>
      <c r="H154" s="38">
        <f t="shared" si="54"/>
        <v>0</v>
      </c>
      <c r="I154" s="146"/>
      <c r="J154" s="39">
        <f t="shared" si="64"/>
        <v>4425220</v>
      </c>
      <c r="K154" s="38">
        <f t="shared" si="56"/>
        <v>0</v>
      </c>
      <c r="L154" s="146"/>
    </row>
    <row r="155" spans="2:12" ht="42.75" customHeight="1" x14ac:dyDescent="0.25">
      <c r="B155" s="76" t="s">
        <v>381</v>
      </c>
      <c r="C155" s="147" t="s">
        <v>382</v>
      </c>
      <c r="D155" s="148" t="s">
        <v>383</v>
      </c>
      <c r="E155" s="48">
        <v>34550</v>
      </c>
      <c r="F155" s="39">
        <v>34550</v>
      </c>
      <c r="G155" s="39">
        <f t="shared" si="65"/>
        <v>34550</v>
      </c>
      <c r="H155" s="38">
        <f t="shared" si="54"/>
        <v>0</v>
      </c>
      <c r="I155" s="41"/>
      <c r="J155" s="39">
        <f t="shared" si="64"/>
        <v>34550</v>
      </c>
      <c r="K155" s="38">
        <f t="shared" si="56"/>
        <v>0</v>
      </c>
      <c r="L155" s="41"/>
    </row>
    <row r="156" spans="2:12" ht="33.75" customHeight="1" x14ac:dyDescent="0.25">
      <c r="B156" s="76" t="s">
        <v>188</v>
      </c>
      <c r="C156" s="147" t="s">
        <v>384</v>
      </c>
      <c r="D156" s="148" t="s">
        <v>190</v>
      </c>
      <c r="E156" s="48">
        <v>950824</v>
      </c>
      <c r="F156" s="39">
        <v>950824</v>
      </c>
      <c r="G156" s="39">
        <f>ROUND(F156,0)</f>
        <v>950824</v>
      </c>
      <c r="H156" s="38">
        <f t="shared" si="54"/>
        <v>0</v>
      </c>
      <c r="I156" s="41"/>
      <c r="J156" s="39">
        <f t="shared" si="64"/>
        <v>950824</v>
      </c>
      <c r="K156" s="38">
        <f t="shared" si="56"/>
        <v>0</v>
      </c>
      <c r="L156" s="41"/>
    </row>
    <row r="157" spans="2:12" ht="27.75" customHeight="1" x14ac:dyDescent="0.25">
      <c r="B157" s="76" t="s">
        <v>191</v>
      </c>
      <c r="C157" s="147" t="s">
        <v>385</v>
      </c>
      <c r="D157" s="148" t="s">
        <v>192</v>
      </c>
      <c r="E157" s="48">
        <v>138477</v>
      </c>
      <c r="F157" s="39">
        <v>138477</v>
      </c>
      <c r="G157" s="39">
        <f t="shared" si="65"/>
        <v>138477</v>
      </c>
      <c r="H157" s="38">
        <f t="shared" si="54"/>
        <v>0</v>
      </c>
      <c r="I157" s="41"/>
      <c r="J157" s="39">
        <f t="shared" si="64"/>
        <v>138477</v>
      </c>
      <c r="K157" s="38">
        <f t="shared" si="56"/>
        <v>0</v>
      </c>
      <c r="L157" s="41"/>
    </row>
    <row r="158" spans="2:12" ht="62.25" customHeight="1" x14ac:dyDescent="0.25">
      <c r="B158" s="76" t="s">
        <v>173</v>
      </c>
      <c r="C158" s="147" t="s">
        <v>386</v>
      </c>
      <c r="D158" s="148" t="s">
        <v>196</v>
      </c>
      <c r="E158" s="48">
        <v>3200</v>
      </c>
      <c r="F158" s="39">
        <v>3200</v>
      </c>
      <c r="G158" s="39">
        <f t="shared" si="65"/>
        <v>3200</v>
      </c>
      <c r="H158" s="38">
        <f t="shared" si="54"/>
        <v>0</v>
      </c>
      <c r="I158" s="41"/>
      <c r="J158" s="39">
        <f t="shared" si="64"/>
        <v>3200</v>
      </c>
      <c r="K158" s="38">
        <f t="shared" si="56"/>
        <v>0</v>
      </c>
      <c r="L158" s="41"/>
    </row>
    <row r="159" spans="2:12" ht="16.899999999999999" customHeight="1" x14ac:dyDescent="0.25">
      <c r="B159" s="76" t="s">
        <v>199</v>
      </c>
      <c r="C159" s="147" t="s">
        <v>387</v>
      </c>
      <c r="D159" s="148" t="s">
        <v>201</v>
      </c>
      <c r="E159" s="48">
        <v>434122</v>
      </c>
      <c r="F159" s="39">
        <v>434122</v>
      </c>
      <c r="G159" s="39">
        <f t="shared" si="65"/>
        <v>434122</v>
      </c>
      <c r="H159" s="38">
        <f t="shared" si="54"/>
        <v>0</v>
      </c>
      <c r="I159" s="41"/>
      <c r="J159" s="39">
        <f t="shared" si="64"/>
        <v>434122</v>
      </c>
      <c r="K159" s="38">
        <f t="shared" si="56"/>
        <v>0</v>
      </c>
      <c r="L159" s="41"/>
    </row>
    <row r="160" spans="2:12" ht="30" customHeight="1" x14ac:dyDescent="0.25">
      <c r="B160" s="76" t="s">
        <v>388</v>
      </c>
      <c r="C160" s="147" t="s">
        <v>389</v>
      </c>
      <c r="D160" s="148" t="s">
        <v>390</v>
      </c>
      <c r="E160" s="48">
        <v>416333</v>
      </c>
      <c r="F160" s="39">
        <v>416333</v>
      </c>
      <c r="G160" s="39">
        <f t="shared" si="65"/>
        <v>416333</v>
      </c>
      <c r="H160" s="38">
        <f t="shared" si="54"/>
        <v>0</v>
      </c>
      <c r="I160" s="41"/>
      <c r="J160" s="39">
        <f t="shared" si="64"/>
        <v>416333</v>
      </c>
      <c r="K160" s="38">
        <f t="shared" si="56"/>
        <v>0</v>
      </c>
      <c r="L160" s="41"/>
    </row>
    <row r="161" spans="2:12" ht="16.5" customHeight="1" x14ac:dyDescent="0.25">
      <c r="B161" s="76" t="s">
        <v>210</v>
      </c>
      <c r="C161" s="147" t="s">
        <v>391</v>
      </c>
      <c r="D161" s="79" t="s">
        <v>212</v>
      </c>
      <c r="E161" s="48">
        <v>387128</v>
      </c>
      <c r="F161" s="39">
        <v>387128</v>
      </c>
      <c r="G161" s="39">
        <f t="shared" si="65"/>
        <v>387128</v>
      </c>
      <c r="H161" s="38">
        <f t="shared" si="54"/>
        <v>0</v>
      </c>
      <c r="I161" s="146"/>
      <c r="J161" s="39">
        <f t="shared" si="64"/>
        <v>387128</v>
      </c>
      <c r="K161" s="38">
        <f t="shared" si="56"/>
        <v>0</v>
      </c>
      <c r="L161" s="146"/>
    </row>
    <row r="162" spans="2:12" ht="29.25" customHeight="1" x14ac:dyDescent="0.25">
      <c r="C162" s="133" t="s">
        <v>392</v>
      </c>
      <c r="D162" s="142" t="s">
        <v>393</v>
      </c>
      <c r="E162" s="145">
        <v>8937615</v>
      </c>
      <c r="F162" s="144">
        <v>8937615</v>
      </c>
      <c r="G162" s="144">
        <f>SUM(G163:G166,G170:G179)</f>
        <v>8932015</v>
      </c>
      <c r="H162" s="143">
        <f t="shared" si="54"/>
        <v>-5600</v>
      </c>
      <c r="I162" s="149"/>
      <c r="J162" s="144">
        <f>SUM(J163:J166,J170:J179)</f>
        <v>8740760</v>
      </c>
      <c r="K162" s="143">
        <f t="shared" si="56"/>
        <v>-191255</v>
      </c>
      <c r="L162" s="149"/>
    </row>
    <row r="163" spans="2:12" ht="27.6" customHeight="1" x14ac:dyDescent="0.25">
      <c r="B163" s="76" t="s">
        <v>394</v>
      </c>
      <c r="C163" s="140" t="s">
        <v>395</v>
      </c>
      <c r="D163" s="148" t="s">
        <v>396</v>
      </c>
      <c r="E163" s="48">
        <v>242016</v>
      </c>
      <c r="F163" s="39">
        <v>242016</v>
      </c>
      <c r="G163" s="39">
        <f>ROUND(F163,0)</f>
        <v>242016</v>
      </c>
      <c r="H163" s="38">
        <f t="shared" si="54"/>
        <v>0</v>
      </c>
      <c r="I163" s="150"/>
      <c r="J163" s="39">
        <f>ROUND(G163,0)-8000</f>
        <v>234016</v>
      </c>
      <c r="K163" s="38">
        <f t="shared" si="56"/>
        <v>-8000</v>
      </c>
      <c r="L163" s="150" t="s">
        <v>669</v>
      </c>
    </row>
    <row r="164" spans="2:12" ht="49.5" customHeight="1" x14ac:dyDescent="0.25">
      <c r="B164" s="76" t="s">
        <v>181</v>
      </c>
      <c r="C164" s="140" t="s">
        <v>397</v>
      </c>
      <c r="D164" s="148" t="s">
        <v>398</v>
      </c>
      <c r="E164" s="48">
        <v>191255</v>
      </c>
      <c r="F164" s="39">
        <v>191255</v>
      </c>
      <c r="G164" s="39">
        <f>ROUND(F164,0)</f>
        <v>191255</v>
      </c>
      <c r="H164" s="38">
        <f t="shared" si="54"/>
        <v>0</v>
      </c>
      <c r="I164" s="146"/>
      <c r="J164" s="39">
        <f>ROUND(G164,0)-191255</f>
        <v>0</v>
      </c>
      <c r="K164" s="38">
        <f t="shared" si="56"/>
        <v>-191255</v>
      </c>
      <c r="L164" s="41" t="s">
        <v>666</v>
      </c>
    </row>
    <row r="165" spans="2:12" ht="30" customHeight="1" x14ac:dyDescent="0.25">
      <c r="B165" s="76" t="s">
        <v>207</v>
      </c>
      <c r="C165" s="140" t="s">
        <v>400</v>
      </c>
      <c r="D165" s="148" t="s">
        <v>209</v>
      </c>
      <c r="E165" s="48">
        <v>255685</v>
      </c>
      <c r="F165" s="39">
        <v>255685</v>
      </c>
      <c r="G165" s="39">
        <f>ROUND(F165,0)</f>
        <v>255685</v>
      </c>
      <c r="H165" s="38">
        <f t="shared" si="54"/>
        <v>0</v>
      </c>
      <c r="I165" s="146"/>
      <c r="J165" s="39">
        <f t="shared" ref="J163:J165" si="66">ROUND(G165,0)</f>
        <v>255685</v>
      </c>
      <c r="K165" s="38">
        <f t="shared" si="56"/>
        <v>0</v>
      </c>
      <c r="L165" s="146"/>
    </row>
    <row r="166" spans="2:12" ht="32.25" customHeight="1" x14ac:dyDescent="0.25">
      <c r="B166" s="76" t="s">
        <v>5</v>
      </c>
      <c r="C166" s="140" t="s">
        <v>401</v>
      </c>
      <c r="D166" s="148" t="s">
        <v>402</v>
      </c>
      <c r="E166" s="151">
        <v>5767122</v>
      </c>
      <c r="F166" s="152">
        <v>5767122</v>
      </c>
      <c r="G166" s="152">
        <f>SUM(G167:G169)</f>
        <v>5761522</v>
      </c>
      <c r="H166" s="153">
        <f t="shared" si="54"/>
        <v>-5600</v>
      </c>
      <c r="I166" s="146"/>
      <c r="J166" s="152">
        <f>SUM(J167:J169)</f>
        <v>5769522</v>
      </c>
      <c r="K166" s="38">
        <f t="shared" si="56"/>
        <v>8000</v>
      </c>
      <c r="L166" s="146"/>
    </row>
    <row r="167" spans="2:12" s="162" customFormat="1" ht="75" customHeight="1" x14ac:dyDescent="0.25">
      <c r="B167" s="154"/>
      <c r="C167" s="155" t="s">
        <v>403</v>
      </c>
      <c r="D167" s="156" t="s">
        <v>404</v>
      </c>
      <c r="E167" s="157">
        <v>5037221</v>
      </c>
      <c r="F167" s="158">
        <v>5037221</v>
      </c>
      <c r="G167" s="158">
        <f>ROUND(F167,0)-4000-1600</f>
        <v>5031621</v>
      </c>
      <c r="H167" s="159">
        <f t="shared" si="54"/>
        <v>-5600</v>
      </c>
      <c r="I167" s="160" t="s">
        <v>405</v>
      </c>
      <c r="J167" s="158">
        <f>ROUND(G167,0)-5070+8000</f>
        <v>5034551</v>
      </c>
      <c r="K167" s="161">
        <f t="shared" si="56"/>
        <v>2930</v>
      </c>
      <c r="L167" s="160" t="s">
        <v>670</v>
      </c>
    </row>
    <row r="168" spans="2:12" s="162" customFormat="1" ht="18" customHeight="1" x14ac:dyDescent="0.25">
      <c r="B168" s="154"/>
      <c r="C168" s="155" t="s">
        <v>407</v>
      </c>
      <c r="D168" s="156" t="s">
        <v>408</v>
      </c>
      <c r="E168" s="157">
        <v>413000</v>
      </c>
      <c r="F168" s="158">
        <v>413000</v>
      </c>
      <c r="G168" s="158">
        <f>ROUND(F168,0)</f>
        <v>413000</v>
      </c>
      <c r="H168" s="161">
        <f t="shared" si="54"/>
        <v>0</v>
      </c>
      <c r="I168" s="160"/>
      <c r="J168" s="158">
        <f t="shared" ref="J168:J172" si="67">ROUND(G168,0)</f>
        <v>413000</v>
      </c>
      <c r="K168" s="161">
        <f t="shared" si="56"/>
        <v>0</v>
      </c>
      <c r="L168" s="160"/>
    </row>
    <row r="169" spans="2:12" s="162" customFormat="1" ht="46.5" customHeight="1" x14ac:dyDescent="0.25">
      <c r="B169" s="154"/>
      <c r="C169" s="155" t="s">
        <v>409</v>
      </c>
      <c r="D169" s="156" t="s">
        <v>410</v>
      </c>
      <c r="E169" s="157">
        <v>316901</v>
      </c>
      <c r="F169" s="158">
        <v>316901</v>
      </c>
      <c r="G169" s="158">
        <f>ROUND(F169,0)</f>
        <v>316901</v>
      </c>
      <c r="H169" s="161">
        <f t="shared" si="54"/>
        <v>0</v>
      </c>
      <c r="I169" s="160"/>
      <c r="J169" s="158">
        <f>ROUND(G169,0)+5070</f>
        <v>321971</v>
      </c>
      <c r="K169" s="161">
        <f t="shared" si="56"/>
        <v>5070</v>
      </c>
      <c r="L169" s="160" t="s">
        <v>406</v>
      </c>
    </row>
    <row r="170" spans="2:12" ht="27.6" customHeight="1" x14ac:dyDescent="0.25">
      <c r="B170" s="76" t="s">
        <v>5</v>
      </c>
      <c r="C170" s="147" t="s">
        <v>411</v>
      </c>
      <c r="D170" s="148" t="s">
        <v>412</v>
      </c>
      <c r="E170" s="48">
        <v>237443</v>
      </c>
      <c r="F170" s="39">
        <v>237443</v>
      </c>
      <c r="G170" s="39">
        <f>ROUND(F170,0)</f>
        <v>237443</v>
      </c>
      <c r="H170" s="38">
        <f t="shared" si="54"/>
        <v>0</v>
      </c>
      <c r="I170" s="146"/>
      <c r="J170" s="39">
        <f t="shared" si="67"/>
        <v>237443</v>
      </c>
      <c r="K170" s="38">
        <f t="shared" si="56"/>
        <v>0</v>
      </c>
      <c r="L170" s="146"/>
    </row>
    <row r="171" spans="2:12" ht="28.15" customHeight="1" x14ac:dyDescent="0.25">
      <c r="B171" s="76" t="s">
        <v>5</v>
      </c>
      <c r="C171" s="147" t="s">
        <v>413</v>
      </c>
      <c r="D171" s="148" t="s">
        <v>414</v>
      </c>
      <c r="E171" s="48">
        <v>418784</v>
      </c>
      <c r="F171" s="39">
        <v>418784</v>
      </c>
      <c r="G171" s="39">
        <f>ROUND(F171,0)-78842</f>
        <v>339942</v>
      </c>
      <c r="H171" s="38">
        <f t="shared" si="54"/>
        <v>-78842</v>
      </c>
      <c r="I171" s="235" t="s">
        <v>415</v>
      </c>
      <c r="J171" s="39">
        <f t="shared" si="67"/>
        <v>339942</v>
      </c>
      <c r="K171" s="38">
        <f t="shared" si="56"/>
        <v>0</v>
      </c>
      <c r="L171" s="235"/>
    </row>
    <row r="172" spans="2:12" ht="28.15" customHeight="1" x14ac:dyDescent="0.25">
      <c r="B172" s="76" t="s">
        <v>5</v>
      </c>
      <c r="C172" s="147" t="s">
        <v>416</v>
      </c>
      <c r="D172" s="148" t="s">
        <v>417</v>
      </c>
      <c r="E172" s="48">
        <v>1825310</v>
      </c>
      <c r="F172" s="39">
        <v>1825310</v>
      </c>
      <c r="G172" s="39">
        <f>ROUND(F172,0)+78842</f>
        <v>1904152</v>
      </c>
      <c r="H172" s="38">
        <f t="shared" si="54"/>
        <v>78842</v>
      </c>
      <c r="I172" s="236"/>
      <c r="J172" s="39">
        <f t="shared" si="67"/>
        <v>1904152</v>
      </c>
      <c r="K172" s="38">
        <f t="shared" si="56"/>
        <v>0</v>
      </c>
      <c r="L172" s="236"/>
    </row>
    <row r="173" spans="2:12" ht="18.600000000000001" customHeight="1" outlineLevel="1" x14ac:dyDescent="0.25">
      <c r="B173" s="76" t="s">
        <v>5</v>
      </c>
      <c r="C173" s="147" t="s">
        <v>418</v>
      </c>
      <c r="D173" s="148" t="s">
        <v>419</v>
      </c>
      <c r="E173" s="48"/>
      <c r="F173" s="39"/>
      <c r="G173" s="39">
        <f t="shared" ref="G173:G179" si="68">ROUND(E173,0)</f>
        <v>0</v>
      </c>
      <c r="H173" s="38">
        <f t="shared" si="54"/>
        <v>0</v>
      </c>
      <c r="I173" s="146"/>
      <c r="J173" s="39">
        <f t="shared" ref="J173:J179" si="69">ROUND(H173,0)</f>
        <v>0</v>
      </c>
      <c r="K173" s="38">
        <f t="shared" si="56"/>
        <v>0</v>
      </c>
      <c r="L173" s="146"/>
    </row>
    <row r="174" spans="2:12" ht="43.5" customHeight="1" outlineLevel="1" x14ac:dyDescent="0.25">
      <c r="B174" s="76" t="s">
        <v>5</v>
      </c>
      <c r="C174" s="147" t="s">
        <v>420</v>
      </c>
      <c r="D174" s="148" t="s">
        <v>421</v>
      </c>
      <c r="E174" s="48"/>
      <c r="F174" s="39"/>
      <c r="G174" s="39">
        <f t="shared" si="68"/>
        <v>0</v>
      </c>
      <c r="H174" s="38">
        <f t="shared" si="54"/>
        <v>0</v>
      </c>
      <c r="I174" s="146"/>
      <c r="J174" s="39">
        <f t="shared" si="69"/>
        <v>0</v>
      </c>
      <c r="K174" s="38">
        <f t="shared" si="56"/>
        <v>0</v>
      </c>
      <c r="L174" s="146"/>
    </row>
    <row r="175" spans="2:12" ht="25.9" customHeight="1" outlineLevel="1" x14ac:dyDescent="0.25">
      <c r="B175" s="76" t="s">
        <v>5</v>
      </c>
      <c r="C175" s="147" t="s">
        <v>422</v>
      </c>
      <c r="D175" s="148" t="s">
        <v>423</v>
      </c>
      <c r="E175" s="48"/>
      <c r="F175" s="39"/>
      <c r="G175" s="39">
        <f t="shared" si="68"/>
        <v>0</v>
      </c>
      <c r="H175" s="38">
        <f t="shared" si="54"/>
        <v>0</v>
      </c>
      <c r="I175" s="146"/>
      <c r="J175" s="39">
        <f t="shared" si="69"/>
        <v>0</v>
      </c>
      <c r="K175" s="38">
        <f t="shared" si="56"/>
        <v>0</v>
      </c>
      <c r="L175" s="146"/>
    </row>
    <row r="176" spans="2:12" ht="45.6" customHeight="1" outlineLevel="1" x14ac:dyDescent="0.25">
      <c r="B176" s="76" t="s">
        <v>5</v>
      </c>
      <c r="C176" s="147" t="s">
        <v>424</v>
      </c>
      <c r="D176" s="148" t="s">
        <v>425</v>
      </c>
      <c r="E176" s="48"/>
      <c r="F176" s="39"/>
      <c r="G176" s="39">
        <f t="shared" si="68"/>
        <v>0</v>
      </c>
      <c r="H176" s="38">
        <f t="shared" si="54"/>
        <v>0</v>
      </c>
      <c r="I176" s="146"/>
      <c r="J176" s="39">
        <f t="shared" si="69"/>
        <v>0</v>
      </c>
      <c r="K176" s="38">
        <f t="shared" si="56"/>
        <v>0</v>
      </c>
      <c r="L176" s="146"/>
    </row>
    <row r="177" spans="2:12" ht="18.600000000000001" customHeight="1" outlineLevel="1" x14ac:dyDescent="0.25">
      <c r="B177" s="76" t="s">
        <v>426</v>
      </c>
      <c r="C177" s="147" t="s">
        <v>427</v>
      </c>
      <c r="D177" s="148" t="s">
        <v>428</v>
      </c>
      <c r="E177" s="48"/>
      <c r="F177" s="39"/>
      <c r="G177" s="39">
        <f t="shared" si="68"/>
        <v>0</v>
      </c>
      <c r="H177" s="38">
        <f t="shared" si="54"/>
        <v>0</v>
      </c>
      <c r="I177" s="146"/>
      <c r="J177" s="39">
        <f t="shared" si="69"/>
        <v>0</v>
      </c>
      <c r="K177" s="38">
        <f t="shared" si="56"/>
        <v>0</v>
      </c>
      <c r="L177" s="146"/>
    </row>
    <row r="178" spans="2:12" ht="29.45" customHeight="1" outlineLevel="1" x14ac:dyDescent="0.25">
      <c r="B178" s="76"/>
      <c r="C178" s="147" t="s">
        <v>429</v>
      </c>
      <c r="D178" s="148" t="s">
        <v>430</v>
      </c>
      <c r="E178" s="48">
        <v>0</v>
      </c>
      <c r="F178" s="39">
        <v>0</v>
      </c>
      <c r="G178" s="39">
        <f t="shared" si="68"/>
        <v>0</v>
      </c>
      <c r="H178" s="38">
        <f t="shared" si="54"/>
        <v>0</v>
      </c>
      <c r="I178" s="146"/>
      <c r="J178" s="39">
        <f t="shared" si="69"/>
        <v>0</v>
      </c>
      <c r="K178" s="38">
        <f t="shared" si="56"/>
        <v>0</v>
      </c>
      <c r="L178" s="146"/>
    </row>
    <row r="179" spans="2:12" ht="29.45" customHeight="1" outlineLevel="1" x14ac:dyDescent="0.25">
      <c r="B179" s="76" t="s">
        <v>431</v>
      </c>
      <c r="C179" s="147" t="s">
        <v>432</v>
      </c>
      <c r="D179" s="148" t="s">
        <v>433</v>
      </c>
      <c r="E179" s="48">
        <v>0</v>
      </c>
      <c r="F179" s="39">
        <v>0</v>
      </c>
      <c r="G179" s="39">
        <f t="shared" si="68"/>
        <v>0</v>
      </c>
      <c r="H179" s="38">
        <f t="shared" si="54"/>
        <v>0</v>
      </c>
      <c r="I179" s="41"/>
      <c r="J179" s="39">
        <f t="shared" si="69"/>
        <v>0</v>
      </c>
      <c r="K179" s="38">
        <f t="shared" si="56"/>
        <v>0</v>
      </c>
      <c r="L179" s="41"/>
    </row>
    <row r="180" spans="2:12" x14ac:dyDescent="0.25">
      <c r="C180" s="137" t="s">
        <v>55</v>
      </c>
      <c r="D180" s="138" t="s">
        <v>434</v>
      </c>
      <c r="E180" s="164">
        <v>2552007</v>
      </c>
      <c r="F180" s="44">
        <v>2552007</v>
      </c>
      <c r="G180" s="45">
        <f>SUM(G181,G186:G190)+G193+G194</f>
        <v>2552007</v>
      </c>
      <c r="H180" s="44">
        <f t="shared" si="54"/>
        <v>0</v>
      </c>
      <c r="I180" s="44"/>
      <c r="J180" s="45">
        <f>SUM(J181,J186:J190)+J193+J194</f>
        <v>2536621</v>
      </c>
      <c r="K180" s="44">
        <f t="shared" si="56"/>
        <v>-15386</v>
      </c>
      <c r="L180" s="44"/>
    </row>
    <row r="181" spans="2:12" ht="23.25" customHeight="1" x14ac:dyDescent="0.25">
      <c r="C181" s="133" t="s">
        <v>58</v>
      </c>
      <c r="D181" s="134" t="s">
        <v>435</v>
      </c>
      <c r="E181" s="81">
        <v>1535520</v>
      </c>
      <c r="F181" s="62">
        <v>1535520</v>
      </c>
      <c r="G181" s="62">
        <f>SUM(G182:G185)</f>
        <v>1535520</v>
      </c>
      <c r="H181" s="62">
        <f t="shared" si="54"/>
        <v>0</v>
      </c>
      <c r="I181" s="62">
        <f>SUM(I182:I185)</f>
        <v>0</v>
      </c>
      <c r="J181" s="62">
        <f>SUM(J182:J185)</f>
        <v>1535520</v>
      </c>
      <c r="K181" s="62">
        <f t="shared" si="56"/>
        <v>0</v>
      </c>
      <c r="L181" s="62">
        <f>SUM(L182:L185)</f>
        <v>0</v>
      </c>
    </row>
    <row r="182" spans="2:12" ht="15.75" customHeight="1" x14ac:dyDescent="0.25">
      <c r="B182" s="76" t="s">
        <v>436</v>
      </c>
      <c r="C182" s="140" t="s">
        <v>61</v>
      </c>
      <c r="D182" s="141" t="s">
        <v>437</v>
      </c>
      <c r="E182" s="48">
        <v>793277</v>
      </c>
      <c r="F182" s="39">
        <v>793277</v>
      </c>
      <c r="G182" s="39">
        <f t="shared" ref="G182:G189" si="70">ROUND(F182,0)</f>
        <v>793277</v>
      </c>
      <c r="H182" s="38">
        <f t="shared" si="54"/>
        <v>0</v>
      </c>
      <c r="I182" s="146"/>
      <c r="J182" s="39">
        <f t="shared" ref="J182:J185" si="71">ROUND(G182,0)</f>
        <v>793277</v>
      </c>
      <c r="K182" s="38">
        <f t="shared" si="56"/>
        <v>0</v>
      </c>
      <c r="L182" s="146"/>
    </row>
    <row r="183" spans="2:12" ht="14.25" customHeight="1" x14ac:dyDescent="0.25">
      <c r="B183" s="76" t="s">
        <v>438</v>
      </c>
      <c r="C183" s="140" t="s">
        <v>64</v>
      </c>
      <c r="D183" s="141" t="s">
        <v>439</v>
      </c>
      <c r="E183" s="48">
        <v>526028</v>
      </c>
      <c r="F183" s="39">
        <v>526028</v>
      </c>
      <c r="G183" s="39">
        <f t="shared" si="70"/>
        <v>526028</v>
      </c>
      <c r="H183" s="38">
        <f t="shared" si="54"/>
        <v>0</v>
      </c>
      <c r="I183" s="146"/>
      <c r="J183" s="39">
        <f t="shared" si="71"/>
        <v>526028</v>
      </c>
      <c r="K183" s="38">
        <f t="shared" si="56"/>
        <v>0</v>
      </c>
      <c r="L183" s="146"/>
    </row>
    <row r="184" spans="2:12" ht="24.6" customHeight="1" x14ac:dyDescent="0.25">
      <c r="B184" s="76" t="s">
        <v>440</v>
      </c>
      <c r="C184" s="140" t="s">
        <v>67</v>
      </c>
      <c r="D184" s="141" t="s">
        <v>441</v>
      </c>
      <c r="E184" s="48">
        <v>185916</v>
      </c>
      <c r="F184" s="39">
        <v>185916</v>
      </c>
      <c r="G184" s="39">
        <f t="shared" si="70"/>
        <v>185916</v>
      </c>
      <c r="H184" s="38">
        <f t="shared" si="54"/>
        <v>0</v>
      </c>
      <c r="I184" s="41"/>
      <c r="J184" s="39">
        <f t="shared" si="71"/>
        <v>185916</v>
      </c>
      <c r="K184" s="38">
        <f t="shared" si="56"/>
        <v>0</v>
      </c>
      <c r="L184" s="41"/>
    </row>
    <row r="185" spans="2:12" ht="23.25" customHeight="1" x14ac:dyDescent="0.25">
      <c r="B185" s="76" t="s">
        <v>442</v>
      </c>
      <c r="C185" s="140" t="s">
        <v>443</v>
      </c>
      <c r="D185" s="141" t="s">
        <v>444</v>
      </c>
      <c r="E185" s="165">
        <v>30299</v>
      </c>
      <c r="F185" s="78">
        <v>30299</v>
      </c>
      <c r="G185" s="78">
        <f t="shared" si="70"/>
        <v>30299</v>
      </c>
      <c r="H185" s="38">
        <f t="shared" si="54"/>
        <v>0</v>
      </c>
      <c r="I185" s="166"/>
      <c r="J185" s="78">
        <f t="shared" si="71"/>
        <v>30299</v>
      </c>
      <c r="K185" s="38">
        <f t="shared" si="56"/>
        <v>0</v>
      </c>
      <c r="L185" s="166"/>
    </row>
    <row r="186" spans="2:12" ht="29.45" hidden="1" customHeight="1" outlineLevel="1" x14ac:dyDescent="0.25">
      <c r="B186" s="76" t="s">
        <v>445</v>
      </c>
      <c r="C186" s="167" t="s">
        <v>70</v>
      </c>
      <c r="D186" s="168" t="s">
        <v>446</v>
      </c>
      <c r="E186" s="81"/>
      <c r="F186" s="62"/>
      <c r="G186" s="62">
        <f t="shared" si="70"/>
        <v>0</v>
      </c>
      <c r="H186" s="61">
        <f t="shared" si="54"/>
        <v>0</v>
      </c>
      <c r="I186" s="169" t="s">
        <v>447</v>
      </c>
      <c r="J186" s="62"/>
      <c r="K186" s="61">
        <f t="shared" si="56"/>
        <v>0</v>
      </c>
      <c r="L186" s="82"/>
    </row>
    <row r="187" spans="2:12" ht="27" hidden="1" customHeight="1" outlineLevel="1" x14ac:dyDescent="0.25">
      <c r="B187" s="76" t="s">
        <v>448</v>
      </c>
      <c r="C187" s="167" t="s">
        <v>449</v>
      </c>
      <c r="D187" s="168" t="s">
        <v>450</v>
      </c>
      <c r="E187" s="81"/>
      <c r="F187" s="62"/>
      <c r="G187" s="62">
        <f t="shared" si="70"/>
        <v>0</v>
      </c>
      <c r="H187" s="61">
        <f t="shared" si="54"/>
        <v>0</v>
      </c>
      <c r="I187" s="82"/>
      <c r="J187" s="62"/>
      <c r="K187" s="61">
        <f t="shared" si="56"/>
        <v>0</v>
      </c>
      <c r="L187" s="82"/>
    </row>
    <row r="188" spans="2:12" ht="15" customHeight="1" collapsed="1" x14ac:dyDescent="0.25">
      <c r="B188" s="76" t="s">
        <v>451</v>
      </c>
      <c r="C188" s="133" t="s">
        <v>70</v>
      </c>
      <c r="D188" s="134" t="s">
        <v>452</v>
      </c>
      <c r="E188" s="81">
        <v>158076</v>
      </c>
      <c r="F188" s="62">
        <v>158076</v>
      </c>
      <c r="G188" s="62">
        <f t="shared" si="70"/>
        <v>158076</v>
      </c>
      <c r="H188" s="61">
        <f t="shared" si="54"/>
        <v>0</v>
      </c>
      <c r="I188" s="170"/>
      <c r="J188" s="62">
        <f t="shared" ref="J188:J189" si="72">ROUND(G188,0)</f>
        <v>158076</v>
      </c>
      <c r="K188" s="61">
        <f t="shared" si="56"/>
        <v>0</v>
      </c>
      <c r="L188" s="170"/>
    </row>
    <row r="189" spans="2:12" ht="15.6" customHeight="1" x14ac:dyDescent="0.25">
      <c r="B189" s="76" t="s">
        <v>453</v>
      </c>
      <c r="C189" s="133" t="s">
        <v>449</v>
      </c>
      <c r="D189" s="134" t="s">
        <v>454</v>
      </c>
      <c r="E189" s="81">
        <v>73071</v>
      </c>
      <c r="F189" s="62">
        <v>73071</v>
      </c>
      <c r="G189" s="62">
        <f t="shared" si="70"/>
        <v>73071</v>
      </c>
      <c r="H189" s="61">
        <f t="shared" ref="H189:H252" si="73">G189-F189</f>
        <v>0</v>
      </c>
      <c r="I189" s="170"/>
      <c r="J189" s="62">
        <f t="shared" si="72"/>
        <v>73071</v>
      </c>
      <c r="K189" s="61">
        <f t="shared" ref="K189:K252" si="74">J189-G189</f>
        <v>0</v>
      </c>
      <c r="L189" s="170"/>
    </row>
    <row r="190" spans="2:12" ht="15" customHeight="1" x14ac:dyDescent="0.25">
      <c r="B190" s="76" t="s">
        <v>276</v>
      </c>
      <c r="C190" s="133" t="s">
        <v>455</v>
      </c>
      <c r="D190" s="134" t="s">
        <v>456</v>
      </c>
      <c r="E190" s="81">
        <v>762112</v>
      </c>
      <c r="F190" s="62">
        <v>762112</v>
      </c>
      <c r="G190" s="62">
        <f t="shared" ref="G190" si="75">G191+G192</f>
        <v>762112</v>
      </c>
      <c r="H190" s="61">
        <f t="shared" si="73"/>
        <v>0</v>
      </c>
      <c r="I190" s="82"/>
      <c r="J190" s="62">
        <f t="shared" ref="J190" si="76">J191+J192</f>
        <v>746726</v>
      </c>
      <c r="K190" s="61">
        <f t="shared" si="74"/>
        <v>-15386</v>
      </c>
      <c r="L190" s="82"/>
    </row>
    <row r="191" spans="2:12" ht="25.9" customHeight="1" x14ac:dyDescent="0.25">
      <c r="B191" s="76"/>
      <c r="C191" s="171" t="s">
        <v>457</v>
      </c>
      <c r="D191" s="141" t="s">
        <v>458</v>
      </c>
      <c r="E191" s="165">
        <v>454642</v>
      </c>
      <c r="F191" s="78">
        <v>454642</v>
      </c>
      <c r="G191" s="78">
        <f>ROUND(F191,0)+10459</f>
        <v>465101</v>
      </c>
      <c r="H191" s="163">
        <f t="shared" si="73"/>
        <v>10459</v>
      </c>
      <c r="I191" s="237" t="s">
        <v>459</v>
      </c>
      <c r="J191" s="78">
        <f>ROUND(G191,0)+650</f>
        <v>465751</v>
      </c>
      <c r="K191" s="163">
        <f t="shared" si="74"/>
        <v>650</v>
      </c>
      <c r="L191" s="52" t="s">
        <v>316</v>
      </c>
    </row>
    <row r="192" spans="2:12" ht="54" customHeight="1" x14ac:dyDescent="0.25">
      <c r="B192" s="76"/>
      <c r="C192" s="171" t="s">
        <v>460</v>
      </c>
      <c r="D192" s="141" t="s">
        <v>461</v>
      </c>
      <c r="E192" s="165">
        <v>307470</v>
      </c>
      <c r="F192" s="78">
        <v>307470</v>
      </c>
      <c r="G192" s="78">
        <f>ROUND(F192,0)-10459</f>
        <v>297011</v>
      </c>
      <c r="H192" s="163">
        <f t="shared" si="73"/>
        <v>-10459</v>
      </c>
      <c r="I192" s="238"/>
      <c r="J192" s="78">
        <f>ROUND(G192,0)-14715-1321</f>
        <v>280975</v>
      </c>
      <c r="K192" s="163">
        <f t="shared" si="74"/>
        <v>-16036</v>
      </c>
      <c r="L192" s="172" t="s">
        <v>462</v>
      </c>
    </row>
    <row r="193" spans="2:12" ht="15.6" customHeight="1" x14ac:dyDescent="0.25">
      <c r="B193" s="76" t="s">
        <v>463</v>
      </c>
      <c r="C193" s="133" t="s">
        <v>464</v>
      </c>
      <c r="D193" s="134" t="s">
        <v>465</v>
      </c>
      <c r="E193" s="81">
        <v>4000</v>
      </c>
      <c r="F193" s="62">
        <v>4000</v>
      </c>
      <c r="G193" s="62">
        <f>ROUND(F193,0)</f>
        <v>4000</v>
      </c>
      <c r="H193" s="61">
        <f t="shared" si="73"/>
        <v>0</v>
      </c>
      <c r="I193" s="136"/>
      <c r="J193" s="62">
        <f t="shared" ref="J193:J194" si="77">ROUND(G193,0)</f>
        <v>4000</v>
      </c>
      <c r="K193" s="61">
        <f t="shared" si="74"/>
        <v>0</v>
      </c>
      <c r="L193" s="136"/>
    </row>
    <row r="194" spans="2:12" ht="15.6" customHeight="1" x14ac:dyDescent="0.25">
      <c r="B194" s="76" t="s">
        <v>466</v>
      </c>
      <c r="C194" s="133" t="s">
        <v>467</v>
      </c>
      <c r="D194" s="134" t="s">
        <v>468</v>
      </c>
      <c r="E194" s="81">
        <v>19228</v>
      </c>
      <c r="F194" s="62">
        <v>19228</v>
      </c>
      <c r="G194" s="62">
        <f>ROUND(F194,0)</f>
        <v>19228</v>
      </c>
      <c r="H194" s="61">
        <f t="shared" si="73"/>
        <v>0</v>
      </c>
      <c r="I194" s="136"/>
      <c r="J194" s="62">
        <f t="shared" si="77"/>
        <v>19228</v>
      </c>
      <c r="K194" s="61">
        <f t="shared" si="74"/>
        <v>0</v>
      </c>
      <c r="L194" s="136"/>
    </row>
    <row r="195" spans="2:12" s="125" customFormat="1" ht="15.6" customHeight="1" x14ac:dyDescent="0.2">
      <c r="C195" s="137" t="s">
        <v>91</v>
      </c>
      <c r="D195" s="138" t="s">
        <v>469</v>
      </c>
      <c r="E195" s="164">
        <v>3538928</v>
      </c>
      <c r="F195" s="44">
        <v>3538928</v>
      </c>
      <c r="G195" s="44">
        <f>G196+G202+G205+G210+G211+G212+G213+G214</f>
        <v>3546428</v>
      </c>
      <c r="H195" s="44">
        <f t="shared" si="73"/>
        <v>7500</v>
      </c>
      <c r="I195" s="44"/>
      <c r="J195" s="44">
        <f>J196+J202+J205+J210+J211+J212+J213+J214</f>
        <v>3546428</v>
      </c>
      <c r="K195" s="44">
        <f t="shared" si="74"/>
        <v>0</v>
      </c>
      <c r="L195" s="44"/>
    </row>
    <row r="196" spans="2:12" s="125" customFormat="1" ht="15" customHeight="1" x14ac:dyDescent="0.25">
      <c r="C196" s="133" t="s">
        <v>94</v>
      </c>
      <c r="D196" s="134" t="s">
        <v>470</v>
      </c>
      <c r="E196" s="173">
        <v>2760943</v>
      </c>
      <c r="F196" s="61">
        <v>2760943</v>
      </c>
      <c r="G196" s="61">
        <f>SUM(G197:G201)</f>
        <v>2768443</v>
      </c>
      <c r="H196" s="61">
        <f t="shared" si="73"/>
        <v>7500</v>
      </c>
      <c r="I196" s="61"/>
      <c r="J196" s="61">
        <f>SUM(J197:J201)</f>
        <v>2768443</v>
      </c>
      <c r="K196" s="61">
        <f t="shared" si="74"/>
        <v>0</v>
      </c>
      <c r="L196" s="61"/>
    </row>
    <row r="197" spans="2:12" s="174" customFormat="1" ht="33.6" customHeight="1" outlineLevel="1" x14ac:dyDescent="0.25">
      <c r="B197" s="174" t="s">
        <v>471</v>
      </c>
      <c r="C197" s="171" t="s">
        <v>472</v>
      </c>
      <c r="D197" s="175" t="s">
        <v>473</v>
      </c>
      <c r="E197" s="177">
        <v>638988</v>
      </c>
      <c r="F197" s="176">
        <v>638988</v>
      </c>
      <c r="G197" s="176">
        <f>ROUND(F197,0)+7500</f>
        <v>646488</v>
      </c>
      <c r="H197" s="163">
        <f t="shared" si="73"/>
        <v>7500</v>
      </c>
      <c r="I197" s="80" t="s">
        <v>177</v>
      </c>
      <c r="J197" s="176">
        <f t="shared" ref="J197:J201" si="78">ROUND(G197,0)</f>
        <v>646488</v>
      </c>
      <c r="K197" s="163">
        <f t="shared" si="74"/>
        <v>0</v>
      </c>
      <c r="L197" s="80"/>
    </row>
    <row r="198" spans="2:12" s="174" customFormat="1" ht="45" customHeight="1" outlineLevel="1" x14ac:dyDescent="0.25">
      <c r="B198" s="178" t="s">
        <v>474</v>
      </c>
      <c r="C198" s="171" t="s">
        <v>475</v>
      </c>
      <c r="D198" s="175" t="s">
        <v>476</v>
      </c>
      <c r="E198" s="177">
        <v>1540233</v>
      </c>
      <c r="F198" s="176">
        <v>1540233</v>
      </c>
      <c r="G198" s="176">
        <f t="shared" ref="G198:G236" si="79">ROUND(F198,0)</f>
        <v>1540233</v>
      </c>
      <c r="H198" s="163">
        <f t="shared" si="73"/>
        <v>0</v>
      </c>
      <c r="I198" s="41"/>
      <c r="J198" s="176">
        <f t="shared" si="78"/>
        <v>1540233</v>
      </c>
      <c r="K198" s="163">
        <f t="shared" si="74"/>
        <v>0</v>
      </c>
      <c r="L198" s="41"/>
    </row>
    <row r="199" spans="2:12" s="174" customFormat="1" ht="17.45" customHeight="1" outlineLevel="1" x14ac:dyDescent="0.25">
      <c r="B199" s="174">
        <v>1010</v>
      </c>
      <c r="C199" s="171" t="s">
        <v>477</v>
      </c>
      <c r="D199" s="175" t="s">
        <v>478</v>
      </c>
      <c r="E199" s="177">
        <v>0</v>
      </c>
      <c r="F199" s="176">
        <v>0</v>
      </c>
      <c r="G199" s="176">
        <f t="shared" si="79"/>
        <v>0</v>
      </c>
      <c r="H199" s="163">
        <f t="shared" si="73"/>
        <v>0</v>
      </c>
      <c r="I199" s="80"/>
      <c r="J199" s="176">
        <f t="shared" si="78"/>
        <v>0</v>
      </c>
      <c r="K199" s="163">
        <f t="shared" si="74"/>
        <v>0</v>
      </c>
      <c r="L199" s="80"/>
    </row>
    <row r="200" spans="2:12" s="174" customFormat="1" outlineLevel="1" x14ac:dyDescent="0.25">
      <c r="B200" s="174">
        <v>1012</v>
      </c>
      <c r="C200" s="171" t="s">
        <v>479</v>
      </c>
      <c r="D200" s="175" t="s">
        <v>480</v>
      </c>
      <c r="E200" s="177">
        <v>580000</v>
      </c>
      <c r="F200" s="176">
        <v>580000</v>
      </c>
      <c r="G200" s="176">
        <f t="shared" si="79"/>
        <v>580000</v>
      </c>
      <c r="H200" s="163">
        <f t="shared" si="73"/>
        <v>0</v>
      </c>
      <c r="I200" s="179"/>
      <c r="J200" s="176">
        <f t="shared" si="78"/>
        <v>580000</v>
      </c>
      <c r="K200" s="163">
        <f t="shared" si="74"/>
        <v>0</v>
      </c>
      <c r="L200" s="179"/>
    </row>
    <row r="201" spans="2:12" s="174" customFormat="1" outlineLevel="1" x14ac:dyDescent="0.25">
      <c r="C201" s="171" t="s">
        <v>481</v>
      </c>
      <c r="D201" s="175" t="s">
        <v>482</v>
      </c>
      <c r="E201" s="177">
        <v>1722</v>
      </c>
      <c r="F201" s="176">
        <v>1722</v>
      </c>
      <c r="G201" s="176">
        <f t="shared" si="79"/>
        <v>1722</v>
      </c>
      <c r="H201" s="163">
        <f t="shared" si="73"/>
        <v>0</v>
      </c>
      <c r="I201" s="179"/>
      <c r="J201" s="176">
        <f t="shared" si="78"/>
        <v>1722</v>
      </c>
      <c r="K201" s="163">
        <f t="shared" si="74"/>
        <v>0</v>
      </c>
      <c r="L201" s="179"/>
    </row>
    <row r="202" spans="2:12" s="125" customFormat="1" ht="19.5" customHeight="1" x14ac:dyDescent="0.25">
      <c r="C202" s="133" t="s">
        <v>96</v>
      </c>
      <c r="D202" s="134" t="s">
        <v>483</v>
      </c>
      <c r="E202" s="81">
        <v>14883</v>
      </c>
      <c r="F202" s="62">
        <v>14883</v>
      </c>
      <c r="G202" s="62">
        <f>G203+G204</f>
        <v>14883</v>
      </c>
      <c r="H202" s="61">
        <f t="shared" si="73"/>
        <v>0</v>
      </c>
      <c r="I202" s="82"/>
      <c r="J202" s="62">
        <f>J203+J204</f>
        <v>14883</v>
      </c>
      <c r="K202" s="61">
        <f t="shared" si="74"/>
        <v>0</v>
      </c>
      <c r="L202" s="82"/>
    </row>
    <row r="203" spans="2:12" s="174" customFormat="1" outlineLevel="1" x14ac:dyDescent="0.25">
      <c r="B203" s="174">
        <v>1011</v>
      </c>
      <c r="C203" s="180" t="s">
        <v>484</v>
      </c>
      <c r="D203" s="175" t="s">
        <v>485</v>
      </c>
      <c r="E203" s="177">
        <v>1407</v>
      </c>
      <c r="F203" s="176">
        <v>1407</v>
      </c>
      <c r="G203" s="176">
        <f t="shared" si="79"/>
        <v>1407</v>
      </c>
      <c r="H203" s="163">
        <f t="shared" si="73"/>
        <v>0</v>
      </c>
      <c r="I203" s="179"/>
      <c r="J203" s="176">
        <f t="shared" ref="J203:J204" si="80">ROUND(G203,0)</f>
        <v>1407</v>
      </c>
      <c r="K203" s="163">
        <f t="shared" si="74"/>
        <v>0</v>
      </c>
      <c r="L203" s="179"/>
    </row>
    <row r="204" spans="2:12" s="174" customFormat="1" outlineLevel="1" x14ac:dyDescent="0.25">
      <c r="B204" s="174">
        <v>1011</v>
      </c>
      <c r="C204" s="180" t="s">
        <v>486</v>
      </c>
      <c r="D204" s="175" t="s">
        <v>487</v>
      </c>
      <c r="E204" s="177">
        <v>13476</v>
      </c>
      <c r="F204" s="176">
        <v>13476</v>
      </c>
      <c r="G204" s="176">
        <f t="shared" si="79"/>
        <v>13476</v>
      </c>
      <c r="H204" s="163">
        <f t="shared" si="73"/>
        <v>0</v>
      </c>
      <c r="I204" s="179"/>
      <c r="J204" s="176">
        <f t="shared" si="80"/>
        <v>13476</v>
      </c>
      <c r="K204" s="163">
        <f t="shared" si="74"/>
        <v>0</v>
      </c>
      <c r="L204" s="179"/>
    </row>
    <row r="205" spans="2:12" s="125" customFormat="1" ht="26.25" customHeight="1" x14ac:dyDescent="0.25">
      <c r="C205" s="133" t="s">
        <v>488</v>
      </c>
      <c r="D205" s="134" t="s">
        <v>489</v>
      </c>
      <c r="E205" s="63">
        <v>444938</v>
      </c>
      <c r="F205" s="64">
        <v>444938</v>
      </c>
      <c r="G205" s="64">
        <f t="shared" ref="G205" si="81">SUM(G206:G209)</f>
        <v>444938</v>
      </c>
      <c r="H205" s="65">
        <f t="shared" si="73"/>
        <v>0</v>
      </c>
      <c r="I205" s="136"/>
      <c r="J205" s="64">
        <f t="shared" ref="J205" si="82">SUM(J206:J209)</f>
        <v>444938</v>
      </c>
      <c r="K205" s="65">
        <f t="shared" si="74"/>
        <v>0</v>
      </c>
      <c r="L205" s="136"/>
    </row>
    <row r="206" spans="2:12" s="125" customFormat="1" ht="15" customHeight="1" x14ac:dyDescent="0.25">
      <c r="B206" s="1" t="s">
        <v>490</v>
      </c>
      <c r="C206" s="181" t="s">
        <v>491</v>
      </c>
      <c r="D206" s="182" t="s">
        <v>492</v>
      </c>
      <c r="E206" s="48">
        <v>432274</v>
      </c>
      <c r="F206" s="39">
        <v>432274</v>
      </c>
      <c r="G206" s="39">
        <f t="shared" si="79"/>
        <v>432274</v>
      </c>
      <c r="H206" s="38">
        <f t="shared" si="73"/>
        <v>0</v>
      </c>
      <c r="I206" s="40"/>
      <c r="J206" s="39">
        <f t="shared" ref="J206:J214" si="83">ROUND(G206,0)</f>
        <v>432274</v>
      </c>
      <c r="K206" s="38">
        <f t="shared" si="74"/>
        <v>0</v>
      </c>
      <c r="L206" s="40"/>
    </row>
    <row r="207" spans="2:12" s="125" customFormat="1" ht="15" customHeight="1" x14ac:dyDescent="0.25">
      <c r="B207" s="1" t="s">
        <v>490</v>
      </c>
      <c r="C207" s="181" t="s">
        <v>493</v>
      </c>
      <c r="D207" s="182" t="s">
        <v>494</v>
      </c>
      <c r="E207" s="48">
        <v>12664</v>
      </c>
      <c r="F207" s="39">
        <v>12664</v>
      </c>
      <c r="G207" s="39">
        <f t="shared" si="79"/>
        <v>12664</v>
      </c>
      <c r="H207" s="38">
        <f t="shared" si="73"/>
        <v>0</v>
      </c>
      <c r="I207" s="40"/>
      <c r="J207" s="39">
        <f t="shared" si="83"/>
        <v>12664</v>
      </c>
      <c r="K207" s="38">
        <f t="shared" si="74"/>
        <v>0</v>
      </c>
      <c r="L207" s="40"/>
    </row>
    <row r="208" spans="2:12" s="125" customFormat="1" ht="15.75" customHeight="1" x14ac:dyDescent="0.25">
      <c r="B208" s="1" t="s">
        <v>490</v>
      </c>
      <c r="C208" s="183" t="s">
        <v>495</v>
      </c>
      <c r="D208" s="182" t="s">
        <v>496</v>
      </c>
      <c r="E208" s="48">
        <v>0</v>
      </c>
      <c r="F208" s="39">
        <v>0</v>
      </c>
      <c r="G208" s="39">
        <f t="shared" si="79"/>
        <v>0</v>
      </c>
      <c r="H208" s="38">
        <f t="shared" si="73"/>
        <v>0</v>
      </c>
      <c r="I208" s="40"/>
      <c r="J208" s="39">
        <f t="shared" si="83"/>
        <v>0</v>
      </c>
      <c r="K208" s="38">
        <f t="shared" si="74"/>
        <v>0</v>
      </c>
      <c r="L208" s="40"/>
    </row>
    <row r="209" spans="2:12" s="125" customFormat="1" ht="15.6" customHeight="1" x14ac:dyDescent="0.25">
      <c r="B209" s="1" t="s">
        <v>497</v>
      </c>
      <c r="C209" s="181" t="s">
        <v>498</v>
      </c>
      <c r="D209" s="182" t="s">
        <v>499</v>
      </c>
      <c r="E209" s="48">
        <v>0</v>
      </c>
      <c r="F209" s="39">
        <v>0</v>
      </c>
      <c r="G209" s="39">
        <f t="shared" si="79"/>
        <v>0</v>
      </c>
      <c r="H209" s="38">
        <f t="shared" si="73"/>
        <v>0</v>
      </c>
      <c r="I209" s="40"/>
      <c r="J209" s="39">
        <f t="shared" si="83"/>
        <v>0</v>
      </c>
      <c r="K209" s="38">
        <f t="shared" si="74"/>
        <v>0</v>
      </c>
      <c r="L209" s="40"/>
    </row>
    <row r="210" spans="2:12" s="125" customFormat="1" ht="16.149999999999999" customHeight="1" x14ac:dyDescent="0.25">
      <c r="C210" s="133" t="s">
        <v>500</v>
      </c>
      <c r="D210" s="134" t="s">
        <v>501</v>
      </c>
      <c r="E210" s="81">
        <v>158418</v>
      </c>
      <c r="F210" s="62">
        <v>158418</v>
      </c>
      <c r="G210" s="62">
        <f t="shared" si="79"/>
        <v>158418</v>
      </c>
      <c r="H210" s="61">
        <f t="shared" si="73"/>
        <v>0</v>
      </c>
      <c r="I210" s="136"/>
      <c r="J210" s="62">
        <f t="shared" si="83"/>
        <v>158418</v>
      </c>
      <c r="K210" s="61">
        <f t="shared" si="74"/>
        <v>0</v>
      </c>
      <c r="L210" s="136"/>
    </row>
    <row r="211" spans="2:12" s="125" customFormat="1" ht="16.5" customHeight="1" x14ac:dyDescent="0.25">
      <c r="B211" s="1">
        <v>1016</v>
      </c>
      <c r="C211" s="133" t="s">
        <v>502</v>
      </c>
      <c r="D211" s="134" t="s">
        <v>167</v>
      </c>
      <c r="E211" s="81">
        <v>70604</v>
      </c>
      <c r="F211" s="62">
        <v>70604</v>
      </c>
      <c r="G211" s="62">
        <f t="shared" si="79"/>
        <v>70604</v>
      </c>
      <c r="H211" s="61">
        <f t="shared" si="73"/>
        <v>0</v>
      </c>
      <c r="I211" s="136"/>
      <c r="J211" s="62">
        <f t="shared" si="83"/>
        <v>70604</v>
      </c>
      <c r="K211" s="61">
        <f t="shared" si="74"/>
        <v>0</v>
      </c>
      <c r="L211" s="136"/>
    </row>
    <row r="212" spans="2:12" s="125" customFormat="1" ht="18.75" hidden="1" customHeight="1" outlineLevel="1" x14ac:dyDescent="0.25">
      <c r="B212" s="1">
        <v>1017</v>
      </c>
      <c r="C212" s="133" t="s">
        <v>503</v>
      </c>
      <c r="D212" s="168" t="s">
        <v>169</v>
      </c>
      <c r="E212" s="81">
        <v>0</v>
      </c>
      <c r="F212" s="62">
        <v>0</v>
      </c>
      <c r="G212" s="62">
        <f t="shared" si="79"/>
        <v>0</v>
      </c>
      <c r="H212" s="61">
        <f t="shared" si="73"/>
        <v>0</v>
      </c>
      <c r="I212" s="136"/>
      <c r="J212" s="62">
        <f t="shared" si="83"/>
        <v>0</v>
      </c>
      <c r="K212" s="61">
        <f t="shared" si="74"/>
        <v>0</v>
      </c>
      <c r="L212" s="136"/>
    </row>
    <row r="213" spans="2:12" s="125" customFormat="1" ht="45" customHeight="1" collapsed="1" x14ac:dyDescent="0.25">
      <c r="B213" s="1">
        <v>1018</v>
      </c>
      <c r="C213" s="133" t="s">
        <v>503</v>
      </c>
      <c r="D213" s="134" t="s">
        <v>504</v>
      </c>
      <c r="E213" s="81">
        <v>44312</v>
      </c>
      <c r="F213" s="62">
        <v>44312</v>
      </c>
      <c r="G213" s="62">
        <f t="shared" si="79"/>
        <v>44312</v>
      </c>
      <c r="H213" s="61">
        <f t="shared" si="73"/>
        <v>0</v>
      </c>
      <c r="I213" s="136"/>
      <c r="J213" s="62">
        <f t="shared" si="83"/>
        <v>44312</v>
      </c>
      <c r="K213" s="61">
        <f t="shared" si="74"/>
        <v>0</v>
      </c>
      <c r="L213" s="136"/>
    </row>
    <row r="214" spans="2:12" ht="43.5" customHeight="1" x14ac:dyDescent="0.25">
      <c r="B214" s="1" t="s">
        <v>505</v>
      </c>
      <c r="C214" s="133" t="s">
        <v>506</v>
      </c>
      <c r="D214" s="134" t="s">
        <v>206</v>
      </c>
      <c r="E214" s="81">
        <v>44830</v>
      </c>
      <c r="F214" s="62">
        <v>44830</v>
      </c>
      <c r="G214" s="62">
        <f t="shared" si="79"/>
        <v>44830</v>
      </c>
      <c r="H214" s="61">
        <f t="shared" si="73"/>
        <v>0</v>
      </c>
      <c r="I214" s="136"/>
      <c r="J214" s="62">
        <f t="shared" si="83"/>
        <v>44830</v>
      </c>
      <c r="K214" s="61">
        <f t="shared" si="74"/>
        <v>0</v>
      </c>
      <c r="L214" s="136"/>
    </row>
    <row r="215" spans="2:12" x14ac:dyDescent="0.25">
      <c r="C215" s="137" t="s">
        <v>99</v>
      </c>
      <c r="D215" s="138" t="s">
        <v>507</v>
      </c>
      <c r="E215" s="164">
        <v>33093948</v>
      </c>
      <c r="F215" s="44">
        <v>33093948</v>
      </c>
      <c r="G215" s="44">
        <f>G216+G217+G221+G225+G229+G233+G237+G248+G266+G269+G272+G273+G274+G275+G276+G277+G278+G279+G280</f>
        <v>33147236</v>
      </c>
      <c r="H215" s="44">
        <f t="shared" si="73"/>
        <v>53288</v>
      </c>
      <c r="I215" s="44"/>
      <c r="J215" s="44">
        <f>J216+J217+J221+J225+J229+J233+J237+J248+J266+J269+J272+J273+J274+J275+J276+J277+J278+J279+J280</f>
        <v>33285269</v>
      </c>
      <c r="K215" s="44">
        <f t="shared" si="74"/>
        <v>138033</v>
      </c>
      <c r="L215" s="44"/>
    </row>
    <row r="216" spans="2:12" ht="27.6" customHeight="1" x14ac:dyDescent="0.25">
      <c r="B216" s="184" t="s">
        <v>508</v>
      </c>
      <c r="C216" s="133" t="s">
        <v>102</v>
      </c>
      <c r="D216" s="142" t="s">
        <v>509</v>
      </c>
      <c r="E216" s="81">
        <v>851975</v>
      </c>
      <c r="F216" s="62">
        <v>851975</v>
      </c>
      <c r="G216" s="62">
        <f t="shared" si="79"/>
        <v>851975</v>
      </c>
      <c r="H216" s="61">
        <f t="shared" si="73"/>
        <v>0</v>
      </c>
      <c r="I216" s="82"/>
      <c r="J216" s="62">
        <f>ROUND(G216,0)</f>
        <v>851975</v>
      </c>
      <c r="K216" s="61">
        <f t="shared" si="74"/>
        <v>0</v>
      </c>
      <c r="L216" s="82"/>
    </row>
    <row r="217" spans="2:12" ht="17.45" customHeight="1" x14ac:dyDescent="0.25">
      <c r="C217" s="133" t="s">
        <v>105</v>
      </c>
      <c r="D217" s="142" t="s">
        <v>510</v>
      </c>
      <c r="E217" s="81">
        <v>2529158</v>
      </c>
      <c r="F217" s="62">
        <v>2529158</v>
      </c>
      <c r="G217" s="62">
        <f t="shared" ref="G217" si="84">SUM(G218:G220)</f>
        <v>2529158</v>
      </c>
      <c r="H217" s="61">
        <f t="shared" si="73"/>
        <v>0</v>
      </c>
      <c r="I217" s="136"/>
      <c r="J217" s="62">
        <f t="shared" ref="J217" si="85">SUM(J218:J220)</f>
        <v>2535967</v>
      </c>
      <c r="K217" s="61">
        <f t="shared" si="74"/>
        <v>6809</v>
      </c>
      <c r="L217" s="136"/>
    </row>
    <row r="218" spans="2:12" ht="25.15" customHeight="1" x14ac:dyDescent="0.25">
      <c r="B218" s="76" t="s">
        <v>511</v>
      </c>
      <c r="C218" s="140" t="s">
        <v>512</v>
      </c>
      <c r="D218" s="113" t="s">
        <v>513</v>
      </c>
      <c r="E218" s="187">
        <v>361243</v>
      </c>
      <c r="F218" s="186">
        <v>361243</v>
      </c>
      <c r="G218" s="186">
        <f t="shared" si="79"/>
        <v>361243</v>
      </c>
      <c r="H218" s="185">
        <f t="shared" si="73"/>
        <v>0</v>
      </c>
      <c r="I218" s="41"/>
      <c r="J218" s="186">
        <f>ROUND(G218,0)+6809</f>
        <v>368052</v>
      </c>
      <c r="K218" s="185">
        <f t="shared" si="74"/>
        <v>6809</v>
      </c>
      <c r="L218" s="41" t="s">
        <v>132</v>
      </c>
    </row>
    <row r="219" spans="2:12" ht="16.5" customHeight="1" x14ac:dyDescent="0.25">
      <c r="B219" s="76" t="s">
        <v>514</v>
      </c>
      <c r="C219" s="140" t="s">
        <v>515</v>
      </c>
      <c r="D219" s="113" t="s">
        <v>516</v>
      </c>
      <c r="E219" s="187">
        <v>1638439</v>
      </c>
      <c r="F219" s="186">
        <v>1638439</v>
      </c>
      <c r="G219" s="186">
        <f>ROUND(F219,0)+32443</f>
        <v>1670882</v>
      </c>
      <c r="H219" s="185">
        <f t="shared" si="73"/>
        <v>32443</v>
      </c>
      <c r="I219" s="237" t="s">
        <v>517</v>
      </c>
      <c r="J219" s="186">
        <f t="shared" ref="J219:J220" si="86">ROUND(G219,0)</f>
        <v>1670882</v>
      </c>
      <c r="K219" s="185">
        <f t="shared" si="74"/>
        <v>0</v>
      </c>
      <c r="L219" s="237"/>
    </row>
    <row r="220" spans="2:12" ht="17.25" customHeight="1" x14ac:dyDescent="0.25">
      <c r="B220" s="76"/>
      <c r="C220" s="140" t="s">
        <v>518</v>
      </c>
      <c r="D220" s="113" t="s">
        <v>519</v>
      </c>
      <c r="E220" s="187">
        <v>529476</v>
      </c>
      <c r="F220" s="186">
        <v>529476</v>
      </c>
      <c r="G220" s="186">
        <f>ROUND(F220,0)-32443</f>
        <v>497033</v>
      </c>
      <c r="H220" s="185">
        <f t="shared" si="73"/>
        <v>-32443</v>
      </c>
      <c r="I220" s="238"/>
      <c r="J220" s="186">
        <f t="shared" si="86"/>
        <v>497033</v>
      </c>
      <c r="K220" s="185">
        <f t="shared" si="74"/>
        <v>0</v>
      </c>
      <c r="L220" s="238"/>
    </row>
    <row r="221" spans="2:12" ht="18" customHeight="1" x14ac:dyDescent="0.25">
      <c r="C221" s="133" t="s">
        <v>108</v>
      </c>
      <c r="D221" s="142" t="s">
        <v>520</v>
      </c>
      <c r="E221" s="81">
        <v>1499060</v>
      </c>
      <c r="F221" s="62">
        <v>1499060</v>
      </c>
      <c r="G221" s="62">
        <f t="shared" ref="G221" si="87">G222+G223+G224</f>
        <v>1499060</v>
      </c>
      <c r="H221" s="61">
        <f t="shared" si="73"/>
        <v>0</v>
      </c>
      <c r="I221" s="136"/>
      <c r="J221" s="62">
        <f t="shared" ref="J221" si="88">J222+J223+J224</f>
        <v>1501706</v>
      </c>
      <c r="K221" s="61">
        <f t="shared" si="74"/>
        <v>2646</v>
      </c>
      <c r="L221" s="136"/>
    </row>
    <row r="222" spans="2:12" ht="25.9" customHeight="1" x14ac:dyDescent="0.25">
      <c r="B222" s="76" t="s">
        <v>521</v>
      </c>
      <c r="C222" s="140" t="s">
        <v>522</v>
      </c>
      <c r="D222" s="113" t="s">
        <v>513</v>
      </c>
      <c r="E222" s="48">
        <v>144697</v>
      </c>
      <c r="F222" s="39">
        <v>144697</v>
      </c>
      <c r="G222" s="39">
        <f t="shared" si="79"/>
        <v>144697</v>
      </c>
      <c r="H222" s="38">
        <f t="shared" si="73"/>
        <v>0</v>
      </c>
      <c r="I222" s="41"/>
      <c r="J222" s="39">
        <f>ROUND(G222,0)+2646</f>
        <v>147343</v>
      </c>
      <c r="K222" s="38">
        <f t="shared" si="74"/>
        <v>2646</v>
      </c>
      <c r="L222" s="41" t="s">
        <v>132</v>
      </c>
    </row>
    <row r="223" spans="2:12" ht="13.5" customHeight="1" x14ac:dyDescent="0.25">
      <c r="B223" s="76" t="s">
        <v>523</v>
      </c>
      <c r="C223" s="140" t="s">
        <v>524</v>
      </c>
      <c r="D223" s="113" t="s">
        <v>516</v>
      </c>
      <c r="E223" s="48">
        <v>1108510</v>
      </c>
      <c r="F223" s="39">
        <v>1108510</v>
      </c>
      <c r="G223" s="39">
        <f t="shared" si="79"/>
        <v>1108510</v>
      </c>
      <c r="H223" s="38">
        <f t="shared" si="73"/>
        <v>0</v>
      </c>
      <c r="I223" s="41"/>
      <c r="J223" s="39">
        <f t="shared" ref="J223:J224" si="89">ROUND(G223,0)</f>
        <v>1108510</v>
      </c>
      <c r="K223" s="38">
        <f t="shared" si="74"/>
        <v>0</v>
      </c>
      <c r="L223" s="41"/>
    </row>
    <row r="224" spans="2:12" ht="16.899999999999999" customHeight="1" x14ac:dyDescent="0.25">
      <c r="B224" s="76"/>
      <c r="C224" s="140" t="s">
        <v>525</v>
      </c>
      <c r="D224" s="113" t="s">
        <v>519</v>
      </c>
      <c r="E224" s="48">
        <v>245853</v>
      </c>
      <c r="F224" s="39">
        <v>245853</v>
      </c>
      <c r="G224" s="39">
        <f t="shared" si="79"/>
        <v>245853</v>
      </c>
      <c r="H224" s="38">
        <f t="shared" si="73"/>
        <v>0</v>
      </c>
      <c r="I224" s="41"/>
      <c r="J224" s="39">
        <f t="shared" si="89"/>
        <v>245853</v>
      </c>
      <c r="K224" s="38">
        <f t="shared" si="74"/>
        <v>0</v>
      </c>
      <c r="L224" s="41"/>
    </row>
    <row r="225" spans="2:12" ht="27.6" customHeight="1" x14ac:dyDescent="0.25">
      <c r="C225" s="133" t="s">
        <v>526</v>
      </c>
      <c r="D225" s="142" t="s">
        <v>527</v>
      </c>
      <c r="E225" s="81">
        <v>1850322</v>
      </c>
      <c r="F225" s="62">
        <v>1850322</v>
      </c>
      <c r="G225" s="62">
        <f>G226+G227+G228</f>
        <v>1850322</v>
      </c>
      <c r="H225" s="61">
        <f t="shared" si="73"/>
        <v>0</v>
      </c>
      <c r="I225" s="136"/>
      <c r="J225" s="62">
        <f>J226+J227+J228</f>
        <v>1854025</v>
      </c>
      <c r="K225" s="61">
        <f t="shared" si="74"/>
        <v>3703</v>
      </c>
      <c r="L225" s="136"/>
    </row>
    <row r="226" spans="2:12" ht="13.5" customHeight="1" x14ac:dyDescent="0.25">
      <c r="B226" s="1" t="s">
        <v>528</v>
      </c>
      <c r="C226" s="140" t="s">
        <v>529</v>
      </c>
      <c r="D226" s="113" t="s">
        <v>513</v>
      </c>
      <c r="E226" s="48">
        <v>200053</v>
      </c>
      <c r="F226" s="39">
        <v>200053</v>
      </c>
      <c r="G226" s="39">
        <f t="shared" si="79"/>
        <v>200053</v>
      </c>
      <c r="H226" s="38">
        <f t="shared" si="73"/>
        <v>0</v>
      </c>
      <c r="I226" s="41"/>
      <c r="J226" s="39">
        <f>ROUND(G226,0)+3703</f>
        <v>203756</v>
      </c>
      <c r="K226" s="38">
        <f t="shared" si="74"/>
        <v>3703</v>
      </c>
      <c r="L226" s="41" t="s">
        <v>132</v>
      </c>
    </row>
    <row r="227" spans="2:12" ht="15.6" customHeight="1" x14ac:dyDescent="0.25">
      <c r="B227" s="1" t="s">
        <v>530</v>
      </c>
      <c r="C227" s="140" t="s">
        <v>531</v>
      </c>
      <c r="D227" s="113" t="s">
        <v>516</v>
      </c>
      <c r="E227" s="48">
        <v>1406595</v>
      </c>
      <c r="F227" s="39">
        <v>1406595</v>
      </c>
      <c r="G227" s="39">
        <f t="shared" si="79"/>
        <v>1406595</v>
      </c>
      <c r="H227" s="38">
        <f t="shared" si="73"/>
        <v>0</v>
      </c>
      <c r="I227" s="188"/>
      <c r="J227" s="39">
        <f t="shared" ref="J227:J228" si="90">ROUND(G227,0)</f>
        <v>1406595</v>
      </c>
      <c r="K227" s="38">
        <f t="shared" si="74"/>
        <v>0</v>
      </c>
      <c r="L227" s="188"/>
    </row>
    <row r="228" spans="2:12" ht="17.45" customHeight="1" x14ac:dyDescent="0.25">
      <c r="C228" s="140" t="s">
        <v>532</v>
      </c>
      <c r="D228" s="113" t="s">
        <v>519</v>
      </c>
      <c r="E228" s="48">
        <v>243674</v>
      </c>
      <c r="F228" s="39">
        <v>243674</v>
      </c>
      <c r="G228" s="39">
        <f t="shared" si="79"/>
        <v>243674</v>
      </c>
      <c r="H228" s="38">
        <f t="shared" si="73"/>
        <v>0</v>
      </c>
      <c r="I228" s="172"/>
      <c r="J228" s="39">
        <f t="shared" si="90"/>
        <v>243674</v>
      </c>
      <c r="K228" s="38">
        <f t="shared" si="74"/>
        <v>0</v>
      </c>
      <c r="L228" s="172"/>
    </row>
    <row r="229" spans="2:12" ht="29.25" x14ac:dyDescent="0.25">
      <c r="B229" s="1" t="s">
        <v>533</v>
      </c>
      <c r="C229" s="133" t="s">
        <v>534</v>
      </c>
      <c r="D229" s="142" t="s">
        <v>535</v>
      </c>
      <c r="E229" s="81">
        <v>1570891</v>
      </c>
      <c r="F229" s="62">
        <v>1570891</v>
      </c>
      <c r="G229" s="62">
        <f t="shared" ref="G229" si="91">SUM(G230:G232)</f>
        <v>1570891</v>
      </c>
      <c r="H229" s="61">
        <f t="shared" si="73"/>
        <v>0</v>
      </c>
      <c r="I229" s="136"/>
      <c r="J229" s="62">
        <f t="shared" ref="J229" si="92">SUM(J230:J232)</f>
        <v>1575794</v>
      </c>
      <c r="K229" s="61">
        <f t="shared" si="74"/>
        <v>4903</v>
      </c>
      <c r="L229" s="136"/>
    </row>
    <row r="230" spans="2:12" s="190" customFormat="1" ht="26.45" customHeight="1" x14ac:dyDescent="0.25">
      <c r="B230" s="189" t="s">
        <v>536</v>
      </c>
      <c r="C230" s="140" t="s">
        <v>537</v>
      </c>
      <c r="D230" s="113" t="s">
        <v>513</v>
      </c>
      <c r="E230" s="48">
        <v>263376</v>
      </c>
      <c r="F230" s="39">
        <v>263376</v>
      </c>
      <c r="G230" s="39">
        <f t="shared" si="79"/>
        <v>263376</v>
      </c>
      <c r="H230" s="185">
        <f t="shared" si="73"/>
        <v>0</v>
      </c>
      <c r="I230" s="41"/>
      <c r="J230" s="39">
        <f>ROUND(G230,0)+4903</f>
        <v>268279</v>
      </c>
      <c r="K230" s="185">
        <f t="shared" si="74"/>
        <v>4903</v>
      </c>
      <c r="L230" s="41" t="s">
        <v>132</v>
      </c>
    </row>
    <row r="231" spans="2:12" s="190" customFormat="1" ht="15.6" customHeight="1" x14ac:dyDescent="0.25">
      <c r="C231" s="140" t="s">
        <v>538</v>
      </c>
      <c r="D231" s="113" t="s">
        <v>516</v>
      </c>
      <c r="E231" s="48">
        <v>1141525</v>
      </c>
      <c r="F231" s="39">
        <v>1141525</v>
      </c>
      <c r="G231" s="39">
        <f t="shared" si="79"/>
        <v>1141525</v>
      </c>
      <c r="H231" s="185">
        <f t="shared" si="73"/>
        <v>0</v>
      </c>
      <c r="I231" s="41"/>
      <c r="J231" s="39">
        <f t="shared" ref="J231:J232" si="93">ROUND(G231,0)</f>
        <v>1141525</v>
      </c>
      <c r="K231" s="185">
        <f t="shared" si="74"/>
        <v>0</v>
      </c>
      <c r="L231" s="41"/>
    </row>
    <row r="232" spans="2:12" s="190" customFormat="1" ht="13.9" customHeight="1" x14ac:dyDescent="0.25">
      <c r="C232" s="140" t="s">
        <v>539</v>
      </c>
      <c r="D232" s="113" t="s">
        <v>519</v>
      </c>
      <c r="E232" s="48">
        <v>165990</v>
      </c>
      <c r="F232" s="39">
        <v>165990</v>
      </c>
      <c r="G232" s="39">
        <f t="shared" si="79"/>
        <v>165990</v>
      </c>
      <c r="H232" s="185">
        <f t="shared" si="73"/>
        <v>0</v>
      </c>
      <c r="I232" s="41"/>
      <c r="J232" s="39">
        <f t="shared" si="93"/>
        <v>165990</v>
      </c>
      <c r="K232" s="185">
        <f t="shared" si="74"/>
        <v>0</v>
      </c>
      <c r="L232" s="41"/>
    </row>
    <row r="233" spans="2:12" x14ac:dyDescent="0.25">
      <c r="C233" s="133" t="s">
        <v>540</v>
      </c>
      <c r="D233" s="142" t="s">
        <v>541</v>
      </c>
      <c r="E233" s="81">
        <v>3805461</v>
      </c>
      <c r="F233" s="62">
        <v>3805461</v>
      </c>
      <c r="G233" s="62">
        <f>G234+G235+G236</f>
        <v>3797888</v>
      </c>
      <c r="H233" s="61">
        <f t="shared" si="73"/>
        <v>-7573</v>
      </c>
      <c r="I233" s="136"/>
      <c r="J233" s="62">
        <f>J234+J235+J236</f>
        <v>3797888</v>
      </c>
      <c r="K233" s="61">
        <f t="shared" si="74"/>
        <v>0</v>
      </c>
      <c r="L233" s="136"/>
    </row>
    <row r="234" spans="2:12" s="190" customFormat="1" ht="18.600000000000001" customHeight="1" x14ac:dyDescent="0.25">
      <c r="B234" s="189" t="s">
        <v>542</v>
      </c>
      <c r="C234" s="191" t="s">
        <v>543</v>
      </c>
      <c r="D234" s="192" t="s">
        <v>544</v>
      </c>
      <c r="E234" s="48">
        <v>705444</v>
      </c>
      <c r="F234" s="39">
        <v>705444</v>
      </c>
      <c r="G234" s="39">
        <f>ROUND(F234,0)-7573</f>
        <v>697871</v>
      </c>
      <c r="H234" s="185">
        <f t="shared" si="73"/>
        <v>-7573</v>
      </c>
      <c r="I234" s="41" t="s">
        <v>146</v>
      </c>
      <c r="J234" s="39">
        <f t="shared" ref="J234:J236" si="94">ROUND(G234,0)</f>
        <v>697871</v>
      </c>
      <c r="K234" s="185">
        <f t="shared" si="74"/>
        <v>0</v>
      </c>
      <c r="L234" s="41"/>
    </row>
    <row r="235" spans="2:12" s="190" customFormat="1" ht="16.149999999999999" customHeight="1" x14ac:dyDescent="0.25">
      <c r="B235" s="189" t="s">
        <v>545</v>
      </c>
      <c r="C235" s="191" t="s">
        <v>546</v>
      </c>
      <c r="D235" s="192" t="s">
        <v>547</v>
      </c>
      <c r="E235" s="48">
        <v>2846110</v>
      </c>
      <c r="F235" s="39">
        <v>2846110</v>
      </c>
      <c r="G235" s="39">
        <f t="shared" si="79"/>
        <v>2846110</v>
      </c>
      <c r="H235" s="185">
        <f t="shared" si="73"/>
        <v>0</v>
      </c>
      <c r="I235" s="40"/>
      <c r="J235" s="39">
        <f t="shared" si="94"/>
        <v>2846110</v>
      </c>
      <c r="K235" s="185">
        <f t="shared" si="74"/>
        <v>0</v>
      </c>
      <c r="L235" s="40"/>
    </row>
    <row r="236" spans="2:12" ht="14.45" customHeight="1" x14ac:dyDescent="0.25">
      <c r="B236" s="76" t="s">
        <v>548</v>
      </c>
      <c r="C236" s="140" t="s">
        <v>549</v>
      </c>
      <c r="D236" s="113" t="s">
        <v>550</v>
      </c>
      <c r="E236" s="48">
        <v>253907</v>
      </c>
      <c r="F236" s="39">
        <v>253907</v>
      </c>
      <c r="G236" s="39">
        <f t="shared" si="79"/>
        <v>253907</v>
      </c>
      <c r="H236" s="185">
        <f t="shared" si="73"/>
        <v>0</v>
      </c>
      <c r="I236" s="40"/>
      <c r="J236" s="39">
        <f t="shared" si="94"/>
        <v>253907</v>
      </c>
      <c r="K236" s="185">
        <f t="shared" si="74"/>
        <v>0</v>
      </c>
      <c r="L236" s="40"/>
    </row>
    <row r="237" spans="2:12" s="125" customFormat="1" ht="15.75" customHeight="1" x14ac:dyDescent="0.25">
      <c r="C237" s="133" t="s">
        <v>551</v>
      </c>
      <c r="D237" s="142" t="s">
        <v>552</v>
      </c>
      <c r="E237" s="145">
        <v>2754926</v>
      </c>
      <c r="F237" s="144">
        <v>2754926</v>
      </c>
      <c r="G237" s="144">
        <f>G238+G242+G243+G244+G245+G246+G247</f>
        <v>2709458</v>
      </c>
      <c r="H237" s="143">
        <f t="shared" si="73"/>
        <v>-45468</v>
      </c>
      <c r="I237" s="149"/>
      <c r="J237" s="144">
        <f>J238+J242+J243+J244+J245+J246+J247</f>
        <v>2734011</v>
      </c>
      <c r="K237" s="143">
        <f t="shared" si="74"/>
        <v>24553</v>
      </c>
      <c r="L237" s="149"/>
    </row>
    <row r="238" spans="2:12" s="35" customFormat="1" ht="24.6" customHeight="1" x14ac:dyDescent="0.25">
      <c r="B238" s="55"/>
      <c r="C238" s="140" t="s">
        <v>553</v>
      </c>
      <c r="D238" s="113" t="s">
        <v>513</v>
      </c>
      <c r="E238" s="48">
        <v>1540363</v>
      </c>
      <c r="F238" s="39">
        <v>1540363</v>
      </c>
      <c r="G238" s="39">
        <f>G239+G240+G241</f>
        <v>1494895</v>
      </c>
      <c r="H238" s="38">
        <f t="shared" si="73"/>
        <v>-45468</v>
      </c>
      <c r="I238" s="41"/>
      <c r="J238" s="39">
        <f>J239+J240+J241</f>
        <v>1519448</v>
      </c>
      <c r="K238" s="38">
        <f t="shared" si="74"/>
        <v>24553</v>
      </c>
      <c r="L238" s="41"/>
    </row>
    <row r="239" spans="2:12" s="196" customFormat="1" ht="33.75" customHeight="1" x14ac:dyDescent="0.25">
      <c r="B239" s="193" t="s">
        <v>554</v>
      </c>
      <c r="C239" s="155" t="s">
        <v>555</v>
      </c>
      <c r="D239" s="156" t="s">
        <v>556</v>
      </c>
      <c r="E239" s="195">
        <v>1364718</v>
      </c>
      <c r="F239" s="194">
        <v>1364718</v>
      </c>
      <c r="G239" s="194">
        <f>ROUND(F239,0)+1113</f>
        <v>1365831</v>
      </c>
      <c r="H239" s="161">
        <f t="shared" si="73"/>
        <v>1113</v>
      </c>
      <c r="I239" s="166" t="s">
        <v>557</v>
      </c>
      <c r="J239" s="194">
        <f t="shared" ref="J239:J247" si="95">ROUND(G239,0)</f>
        <v>1365831</v>
      </c>
      <c r="K239" s="161">
        <f t="shared" si="74"/>
        <v>0</v>
      </c>
      <c r="L239" s="166"/>
    </row>
    <row r="240" spans="2:12" s="196" customFormat="1" ht="29.45" customHeight="1" x14ac:dyDescent="0.25">
      <c r="B240" s="193" t="s">
        <v>558</v>
      </c>
      <c r="C240" s="155" t="s">
        <v>559</v>
      </c>
      <c r="D240" s="156" t="s">
        <v>560</v>
      </c>
      <c r="E240" s="195">
        <v>175645</v>
      </c>
      <c r="F240" s="194">
        <v>175645</v>
      </c>
      <c r="G240" s="194">
        <f>ROUND(F240,0)-46581</f>
        <v>129064</v>
      </c>
      <c r="H240" s="161">
        <f t="shared" si="73"/>
        <v>-46581</v>
      </c>
      <c r="I240" s="166" t="s">
        <v>146</v>
      </c>
      <c r="J240" s="194">
        <f t="shared" si="95"/>
        <v>129064</v>
      </c>
      <c r="K240" s="161">
        <f t="shared" si="74"/>
        <v>0</v>
      </c>
      <c r="L240" s="166"/>
    </row>
    <row r="241" spans="2:12" s="196" customFormat="1" ht="17.25" customHeight="1" x14ac:dyDescent="0.25">
      <c r="B241" s="193"/>
      <c r="C241" s="155" t="s">
        <v>561</v>
      </c>
      <c r="D241" s="156" t="s">
        <v>562</v>
      </c>
      <c r="E241" s="195">
        <v>0</v>
      </c>
      <c r="F241" s="194">
        <v>0</v>
      </c>
      <c r="G241" s="194">
        <f t="shared" ref="G241:G247" si="96">ROUND(F241,0)</f>
        <v>0</v>
      </c>
      <c r="H241" s="161">
        <f t="shared" si="73"/>
        <v>0</v>
      </c>
      <c r="I241" s="166"/>
      <c r="J241" s="194">
        <f>ROUND(G241,0)+24553</f>
        <v>24553</v>
      </c>
      <c r="K241" s="161">
        <f t="shared" si="74"/>
        <v>24553</v>
      </c>
      <c r="L241" s="41" t="s">
        <v>132</v>
      </c>
    </row>
    <row r="242" spans="2:12" s="35" customFormat="1" x14ac:dyDescent="0.25">
      <c r="B242" s="35" t="s">
        <v>554</v>
      </c>
      <c r="C242" s="140" t="s">
        <v>563</v>
      </c>
      <c r="D242" s="113" t="s">
        <v>564</v>
      </c>
      <c r="E242" s="165">
        <v>94076</v>
      </c>
      <c r="F242" s="78">
        <v>94076</v>
      </c>
      <c r="G242" s="78">
        <f t="shared" si="96"/>
        <v>94076</v>
      </c>
      <c r="H242" s="38">
        <f t="shared" si="73"/>
        <v>0</v>
      </c>
      <c r="I242" s="41"/>
      <c r="J242" s="78">
        <f t="shared" si="95"/>
        <v>94076</v>
      </c>
      <c r="K242" s="38">
        <f t="shared" si="74"/>
        <v>0</v>
      </c>
      <c r="L242" s="41"/>
    </row>
    <row r="243" spans="2:12" s="35" customFormat="1" ht="15.75" customHeight="1" x14ac:dyDescent="0.25">
      <c r="B243" s="55" t="s">
        <v>565</v>
      </c>
      <c r="C243" s="140" t="s">
        <v>566</v>
      </c>
      <c r="D243" s="113" t="s">
        <v>516</v>
      </c>
      <c r="E243" s="48">
        <v>645648</v>
      </c>
      <c r="F243" s="39">
        <v>645648</v>
      </c>
      <c r="G243" s="39">
        <f>ROUND(F243,0)+44124</f>
        <v>689772</v>
      </c>
      <c r="H243" s="38">
        <f t="shared" si="73"/>
        <v>44124</v>
      </c>
      <c r="I243" s="237" t="s">
        <v>567</v>
      </c>
      <c r="J243" s="39">
        <f t="shared" si="95"/>
        <v>689772</v>
      </c>
      <c r="K243" s="38">
        <f t="shared" si="74"/>
        <v>0</v>
      </c>
      <c r="L243" s="237"/>
    </row>
    <row r="244" spans="2:12" s="35" customFormat="1" ht="16.899999999999999" customHeight="1" x14ac:dyDescent="0.25">
      <c r="B244" s="55"/>
      <c r="C244" s="140" t="s">
        <v>568</v>
      </c>
      <c r="D244" s="113" t="s">
        <v>519</v>
      </c>
      <c r="E244" s="48">
        <v>386671</v>
      </c>
      <c r="F244" s="39">
        <v>386671</v>
      </c>
      <c r="G244" s="39">
        <f>ROUND(F244,0)-44124</f>
        <v>342547</v>
      </c>
      <c r="H244" s="38">
        <f t="shared" si="73"/>
        <v>-44124</v>
      </c>
      <c r="I244" s="238"/>
      <c r="J244" s="39">
        <f t="shared" si="95"/>
        <v>342547</v>
      </c>
      <c r="K244" s="38">
        <f t="shared" si="74"/>
        <v>0</v>
      </c>
      <c r="L244" s="238"/>
    </row>
    <row r="245" spans="2:12" s="35" customFormat="1" ht="16.899999999999999" customHeight="1" x14ac:dyDescent="0.25">
      <c r="B245" s="55" t="s">
        <v>569</v>
      </c>
      <c r="C245" s="140" t="s">
        <v>570</v>
      </c>
      <c r="D245" s="113" t="s">
        <v>571</v>
      </c>
      <c r="E245" s="48">
        <v>11200</v>
      </c>
      <c r="F245" s="39">
        <v>11200</v>
      </c>
      <c r="G245" s="39">
        <f t="shared" si="96"/>
        <v>11200</v>
      </c>
      <c r="H245" s="38">
        <f t="shared" si="73"/>
        <v>0</v>
      </c>
      <c r="I245" s="40"/>
      <c r="J245" s="39">
        <f t="shared" si="95"/>
        <v>11200</v>
      </c>
      <c r="K245" s="38">
        <f t="shared" si="74"/>
        <v>0</v>
      </c>
      <c r="L245" s="40"/>
    </row>
    <row r="246" spans="2:12" s="125" customFormat="1" ht="15.6" customHeight="1" x14ac:dyDescent="0.25">
      <c r="B246" s="76" t="s">
        <v>572</v>
      </c>
      <c r="C246" s="140" t="s">
        <v>573</v>
      </c>
      <c r="D246" s="113" t="s">
        <v>574</v>
      </c>
      <c r="E246" s="48">
        <v>76968</v>
      </c>
      <c r="F246" s="39">
        <v>76968</v>
      </c>
      <c r="G246" s="39">
        <f t="shared" si="96"/>
        <v>76968</v>
      </c>
      <c r="H246" s="38">
        <f t="shared" si="73"/>
        <v>0</v>
      </c>
      <c r="I246" s="40"/>
      <c r="J246" s="39">
        <f t="shared" si="95"/>
        <v>76968</v>
      </c>
      <c r="K246" s="38">
        <f t="shared" si="74"/>
        <v>0</v>
      </c>
      <c r="L246" s="40"/>
    </row>
    <row r="247" spans="2:12" s="125" customFormat="1" ht="15" customHeight="1" x14ac:dyDescent="0.25">
      <c r="B247" s="76" t="s">
        <v>565</v>
      </c>
      <c r="C247" s="140" t="s">
        <v>575</v>
      </c>
      <c r="D247" s="113" t="s">
        <v>576</v>
      </c>
      <c r="E247" s="48">
        <v>0</v>
      </c>
      <c r="F247" s="39">
        <v>0</v>
      </c>
      <c r="G247" s="39">
        <f t="shared" si="96"/>
        <v>0</v>
      </c>
      <c r="H247" s="38">
        <f t="shared" si="73"/>
        <v>0</v>
      </c>
      <c r="I247" s="40"/>
      <c r="J247" s="39">
        <f t="shared" si="95"/>
        <v>0</v>
      </c>
      <c r="K247" s="38">
        <f t="shared" si="74"/>
        <v>0</v>
      </c>
      <c r="L247" s="40"/>
    </row>
    <row r="248" spans="2:12" s="35" customFormat="1" ht="15.75" customHeight="1" x14ac:dyDescent="0.25">
      <c r="B248" s="55"/>
      <c r="C248" s="133" t="s">
        <v>577</v>
      </c>
      <c r="D248" s="142" t="s">
        <v>578</v>
      </c>
      <c r="E248" s="197">
        <v>8902379</v>
      </c>
      <c r="F248" s="143">
        <v>8902379</v>
      </c>
      <c r="G248" s="143">
        <f>G249+G253+G254+G255+G256+G257+G258+G259+G260+G261+G262</f>
        <v>8976780</v>
      </c>
      <c r="H248" s="144">
        <f t="shared" si="73"/>
        <v>74401</v>
      </c>
      <c r="I248" s="144"/>
      <c r="J248" s="143">
        <f>J249+J253+J254+J255+J256+J257+J258+J259+J260+J261+J262</f>
        <v>9067744</v>
      </c>
      <c r="K248" s="144">
        <f t="shared" si="74"/>
        <v>90964</v>
      </c>
      <c r="L248" s="144"/>
    </row>
    <row r="249" spans="2:12" s="35" customFormat="1" ht="27" customHeight="1" x14ac:dyDescent="0.25">
      <c r="B249" s="55"/>
      <c r="C249" s="140" t="s">
        <v>579</v>
      </c>
      <c r="D249" s="113" t="s">
        <v>513</v>
      </c>
      <c r="E249" s="48">
        <v>4520522</v>
      </c>
      <c r="F249" s="39">
        <v>4520522</v>
      </c>
      <c r="G249" s="39">
        <f>SUM(G250:G252)</f>
        <v>4589323</v>
      </c>
      <c r="H249" s="38">
        <f t="shared" si="73"/>
        <v>68801</v>
      </c>
      <c r="I249" s="41"/>
      <c r="J249" s="39">
        <f>SUM(J250:J252)</f>
        <v>4662311</v>
      </c>
      <c r="K249" s="38">
        <f t="shared" si="74"/>
        <v>72988</v>
      </c>
      <c r="L249" s="41"/>
    </row>
    <row r="250" spans="2:12" s="196" customFormat="1" ht="30.75" customHeight="1" x14ac:dyDescent="0.25">
      <c r="B250" s="193" t="s">
        <v>580</v>
      </c>
      <c r="C250" s="155" t="s">
        <v>581</v>
      </c>
      <c r="D250" s="156" t="s">
        <v>556</v>
      </c>
      <c r="E250" s="195">
        <v>4199279</v>
      </c>
      <c r="F250" s="194">
        <v>4199279</v>
      </c>
      <c r="G250" s="194">
        <f>ROUND(F250,0)-1113</f>
        <v>4198166</v>
      </c>
      <c r="H250" s="161">
        <f t="shared" si="73"/>
        <v>-1113</v>
      </c>
      <c r="I250" s="166" t="s">
        <v>582</v>
      </c>
      <c r="J250" s="194">
        <f t="shared" ref="J250:J261" si="97">ROUND(G250,0)</f>
        <v>4198166</v>
      </c>
      <c r="K250" s="161">
        <f t="shared" si="74"/>
        <v>0</v>
      </c>
      <c r="L250" s="166"/>
    </row>
    <row r="251" spans="2:12" s="196" customFormat="1" ht="32.450000000000003" customHeight="1" x14ac:dyDescent="0.25">
      <c r="B251" s="193" t="s">
        <v>583</v>
      </c>
      <c r="C251" s="155" t="s">
        <v>584</v>
      </c>
      <c r="D251" s="156" t="s">
        <v>560</v>
      </c>
      <c r="E251" s="195">
        <v>321243</v>
      </c>
      <c r="F251" s="194">
        <v>321243</v>
      </c>
      <c r="G251" s="194">
        <f>ROUND(F251,0)+59839+10075</f>
        <v>391157</v>
      </c>
      <c r="H251" s="161">
        <f t="shared" si="73"/>
        <v>69914</v>
      </c>
      <c r="I251" s="166" t="s">
        <v>146</v>
      </c>
      <c r="J251" s="194">
        <f t="shared" si="97"/>
        <v>391157</v>
      </c>
      <c r="K251" s="161">
        <f t="shared" si="74"/>
        <v>0</v>
      </c>
      <c r="L251" s="166"/>
    </row>
    <row r="252" spans="2:12" s="196" customFormat="1" ht="17.25" customHeight="1" x14ac:dyDescent="0.25">
      <c r="B252" s="193" t="s">
        <v>580</v>
      </c>
      <c r="C252" s="155" t="s">
        <v>585</v>
      </c>
      <c r="D252" s="156" t="s">
        <v>562</v>
      </c>
      <c r="E252" s="195">
        <v>0</v>
      </c>
      <c r="F252" s="194">
        <v>0</v>
      </c>
      <c r="G252" s="194">
        <f t="shared" ref="G252:G261" si="98">ROUND(F252,0)</f>
        <v>0</v>
      </c>
      <c r="H252" s="161">
        <f t="shared" si="73"/>
        <v>0</v>
      </c>
      <c r="I252" s="166"/>
      <c r="J252" s="194">
        <f>ROUND(G252,0)+72988</f>
        <v>72988</v>
      </c>
      <c r="K252" s="161">
        <f t="shared" si="74"/>
        <v>72988</v>
      </c>
      <c r="L252" s="41" t="s">
        <v>132</v>
      </c>
    </row>
    <row r="253" spans="2:12" s="35" customFormat="1" ht="15" customHeight="1" x14ac:dyDescent="0.25">
      <c r="B253" s="55" t="s">
        <v>586</v>
      </c>
      <c r="C253" s="140" t="s">
        <v>587</v>
      </c>
      <c r="D253" s="113" t="s">
        <v>516</v>
      </c>
      <c r="E253" s="48">
        <v>861741</v>
      </c>
      <c r="F253" s="39">
        <v>861741</v>
      </c>
      <c r="G253" s="39">
        <f>ROUND(F253,0)+42399</f>
        <v>904140</v>
      </c>
      <c r="H253" s="38">
        <f t="shared" ref="H253:H289" si="99">G253-F253</f>
        <v>42399</v>
      </c>
      <c r="I253" s="237" t="s">
        <v>588</v>
      </c>
      <c r="J253" s="39">
        <f t="shared" si="97"/>
        <v>904140</v>
      </c>
      <c r="K253" s="38">
        <f t="shared" ref="K253:K289" si="100">J253-G253</f>
        <v>0</v>
      </c>
      <c r="L253" s="52"/>
    </row>
    <row r="254" spans="2:12" s="35" customFormat="1" ht="31.9" customHeight="1" x14ac:dyDescent="0.25">
      <c r="B254" s="55"/>
      <c r="C254" s="140" t="s">
        <v>589</v>
      </c>
      <c r="D254" s="113" t="s">
        <v>519</v>
      </c>
      <c r="E254" s="48">
        <v>813750</v>
      </c>
      <c r="F254" s="39">
        <v>813750</v>
      </c>
      <c r="G254" s="39">
        <f>ROUND(F254,0)-42399+4000+4000</f>
        <v>779351</v>
      </c>
      <c r="H254" s="38">
        <f t="shared" si="99"/>
        <v>-34399</v>
      </c>
      <c r="I254" s="238"/>
      <c r="J254" s="39">
        <f>ROUND(G254,0)+1321</f>
        <v>780672</v>
      </c>
      <c r="K254" s="38">
        <f t="shared" si="100"/>
        <v>1321</v>
      </c>
      <c r="L254" s="172" t="s">
        <v>590</v>
      </c>
    </row>
    <row r="255" spans="2:12" s="35" customFormat="1" ht="15" customHeight="1" x14ac:dyDescent="0.25">
      <c r="B255" s="35" t="s">
        <v>591</v>
      </c>
      <c r="C255" s="140" t="s">
        <v>592</v>
      </c>
      <c r="D255" s="113" t="s">
        <v>593</v>
      </c>
      <c r="E255" s="48">
        <v>51949</v>
      </c>
      <c r="F255" s="39">
        <v>51949</v>
      </c>
      <c r="G255" s="39">
        <f t="shared" si="98"/>
        <v>51949</v>
      </c>
      <c r="H255" s="38">
        <f t="shared" si="99"/>
        <v>0</v>
      </c>
      <c r="I255" s="40"/>
      <c r="J255" s="39">
        <f t="shared" si="97"/>
        <v>51949</v>
      </c>
      <c r="K255" s="38">
        <f t="shared" si="100"/>
        <v>0</v>
      </c>
      <c r="L255" s="40"/>
    </row>
    <row r="256" spans="2:12" s="35" customFormat="1" ht="16.149999999999999" customHeight="1" x14ac:dyDescent="0.25">
      <c r="B256" s="55" t="s">
        <v>594</v>
      </c>
      <c r="C256" s="140" t="s">
        <v>595</v>
      </c>
      <c r="D256" s="113" t="s">
        <v>571</v>
      </c>
      <c r="E256" s="48">
        <v>41000</v>
      </c>
      <c r="F256" s="39">
        <v>41000</v>
      </c>
      <c r="G256" s="39">
        <f t="shared" si="98"/>
        <v>41000</v>
      </c>
      <c r="H256" s="38">
        <f t="shared" si="99"/>
        <v>0</v>
      </c>
      <c r="I256" s="40"/>
      <c r="J256" s="39">
        <f t="shared" si="97"/>
        <v>41000</v>
      </c>
      <c r="K256" s="38">
        <f t="shared" si="100"/>
        <v>0</v>
      </c>
      <c r="L256" s="40"/>
    </row>
    <row r="257" spans="2:12" s="198" customFormat="1" ht="30.6" customHeight="1" x14ac:dyDescent="0.25">
      <c r="B257" s="55" t="s">
        <v>586</v>
      </c>
      <c r="C257" s="140" t="s">
        <v>596</v>
      </c>
      <c r="D257" s="113" t="s">
        <v>300</v>
      </c>
      <c r="E257" s="48">
        <v>300000</v>
      </c>
      <c r="F257" s="39">
        <v>300000</v>
      </c>
      <c r="G257" s="39">
        <f t="shared" si="98"/>
        <v>300000</v>
      </c>
      <c r="H257" s="38">
        <f t="shared" si="99"/>
        <v>0</v>
      </c>
      <c r="I257" s="40"/>
      <c r="J257" s="39">
        <f t="shared" si="97"/>
        <v>300000</v>
      </c>
      <c r="K257" s="38">
        <f t="shared" si="100"/>
        <v>0</v>
      </c>
      <c r="L257" s="41"/>
    </row>
    <row r="258" spans="2:12" s="198" customFormat="1" ht="72" customHeight="1" x14ac:dyDescent="0.25">
      <c r="B258" s="55" t="s">
        <v>586</v>
      </c>
      <c r="C258" s="140" t="s">
        <v>597</v>
      </c>
      <c r="D258" s="113" t="s">
        <v>302</v>
      </c>
      <c r="E258" s="48">
        <v>542914</v>
      </c>
      <c r="F258" s="39">
        <v>542914</v>
      </c>
      <c r="G258" s="39">
        <f t="shared" si="98"/>
        <v>542914</v>
      </c>
      <c r="H258" s="38">
        <f t="shared" si="99"/>
        <v>0</v>
      </c>
      <c r="I258" s="199" t="s">
        <v>598</v>
      </c>
      <c r="J258" s="39">
        <f>ROUND(G258,0)+14715</f>
        <v>557629</v>
      </c>
      <c r="K258" s="38">
        <f t="shared" si="100"/>
        <v>14715</v>
      </c>
      <c r="L258" s="41" t="s">
        <v>599</v>
      </c>
    </row>
    <row r="259" spans="2:12" s="198" customFormat="1" ht="18" customHeight="1" x14ac:dyDescent="0.25">
      <c r="B259" s="200" t="s">
        <v>600</v>
      </c>
      <c r="C259" s="140" t="s">
        <v>601</v>
      </c>
      <c r="D259" s="113" t="s">
        <v>602</v>
      </c>
      <c r="E259" s="48">
        <v>707203</v>
      </c>
      <c r="F259" s="39">
        <v>707203</v>
      </c>
      <c r="G259" s="39">
        <f>ROUND(F259,0)+20720</f>
        <v>727923</v>
      </c>
      <c r="H259" s="38">
        <f t="shared" si="99"/>
        <v>20720</v>
      </c>
      <c r="I259" s="237" t="s">
        <v>603</v>
      </c>
      <c r="J259" s="39">
        <f t="shared" si="97"/>
        <v>727923</v>
      </c>
      <c r="K259" s="38">
        <f t="shared" si="100"/>
        <v>0</v>
      </c>
      <c r="L259" s="237"/>
    </row>
    <row r="260" spans="2:12" s="198" customFormat="1" ht="32.450000000000003" customHeight="1" x14ac:dyDescent="0.25">
      <c r="B260" s="200"/>
      <c r="C260" s="140" t="s">
        <v>604</v>
      </c>
      <c r="D260" s="113" t="s">
        <v>605</v>
      </c>
      <c r="E260" s="48">
        <v>451553</v>
      </c>
      <c r="F260" s="39">
        <v>451553</v>
      </c>
      <c r="G260" s="39">
        <f>ROUND(F260,0)-20720+1600-4000</f>
        <v>428433</v>
      </c>
      <c r="H260" s="38">
        <f t="shared" si="99"/>
        <v>-23120</v>
      </c>
      <c r="I260" s="238"/>
      <c r="J260" s="39">
        <f t="shared" si="97"/>
        <v>428433</v>
      </c>
      <c r="K260" s="38">
        <f t="shared" si="100"/>
        <v>0</v>
      </c>
      <c r="L260" s="238"/>
    </row>
    <row r="261" spans="2:12" s="198" customFormat="1" ht="15" customHeight="1" x14ac:dyDescent="0.25">
      <c r="B261" s="55" t="s">
        <v>580</v>
      </c>
      <c r="C261" s="140" t="s">
        <v>606</v>
      </c>
      <c r="D261" s="113" t="s">
        <v>607</v>
      </c>
      <c r="E261" s="48">
        <v>263797</v>
      </c>
      <c r="F261" s="39">
        <v>263797</v>
      </c>
      <c r="G261" s="39">
        <f t="shared" si="98"/>
        <v>263797</v>
      </c>
      <c r="H261" s="38">
        <f t="shared" si="99"/>
        <v>0</v>
      </c>
      <c r="I261" s="41"/>
      <c r="J261" s="39">
        <f t="shared" si="97"/>
        <v>263797</v>
      </c>
      <c r="K261" s="38">
        <f t="shared" si="100"/>
        <v>0</v>
      </c>
      <c r="L261" s="41"/>
    </row>
    <row r="262" spans="2:12" s="206" customFormat="1" ht="13.9" customHeight="1" x14ac:dyDescent="0.25">
      <c r="B262" s="200"/>
      <c r="C262" s="201" t="s">
        <v>608</v>
      </c>
      <c r="D262" s="202" t="s">
        <v>609</v>
      </c>
      <c r="E262" s="205">
        <v>347950</v>
      </c>
      <c r="F262" s="204">
        <v>347950</v>
      </c>
      <c r="G262" s="204">
        <f t="shared" ref="G262" si="101">G263+G264+G265</f>
        <v>347950</v>
      </c>
      <c r="H262" s="203">
        <f t="shared" si="99"/>
        <v>0</v>
      </c>
      <c r="I262" s="203"/>
      <c r="J262" s="204">
        <f t="shared" ref="J262" si="102">J263+J264+J265</f>
        <v>349890</v>
      </c>
      <c r="K262" s="203">
        <f t="shared" si="100"/>
        <v>1940</v>
      </c>
      <c r="L262" s="203"/>
    </row>
    <row r="263" spans="2:12" s="198" customFormat="1" ht="12" customHeight="1" x14ac:dyDescent="0.25">
      <c r="B263" s="76" t="s">
        <v>610</v>
      </c>
      <c r="C263" s="207" t="s">
        <v>611</v>
      </c>
      <c r="D263" s="113" t="s">
        <v>612</v>
      </c>
      <c r="E263" s="48">
        <v>100105</v>
      </c>
      <c r="F263" s="39">
        <v>100105</v>
      </c>
      <c r="G263" s="39">
        <f>ROUND(F263,0)</f>
        <v>100105</v>
      </c>
      <c r="H263" s="38">
        <f t="shared" si="99"/>
        <v>0</v>
      </c>
      <c r="I263" s="41"/>
      <c r="J263" s="39">
        <f>ROUND(G263,0)+1940</f>
        <v>102045</v>
      </c>
      <c r="K263" s="38">
        <f t="shared" si="100"/>
        <v>1940</v>
      </c>
      <c r="L263" s="41" t="s">
        <v>132</v>
      </c>
    </row>
    <row r="264" spans="2:12" s="125" customFormat="1" ht="13.9" customHeight="1" x14ac:dyDescent="0.25">
      <c r="B264" s="200" t="s">
        <v>613</v>
      </c>
      <c r="C264" s="207" t="s">
        <v>614</v>
      </c>
      <c r="D264" s="113" t="s">
        <v>615</v>
      </c>
      <c r="E264" s="48">
        <v>232189</v>
      </c>
      <c r="F264" s="39">
        <v>232189</v>
      </c>
      <c r="G264" s="39">
        <f>ROUND(F264,0)</f>
        <v>232189</v>
      </c>
      <c r="H264" s="38">
        <f t="shared" si="99"/>
        <v>0</v>
      </c>
      <c r="I264" s="40"/>
      <c r="J264" s="39">
        <f t="shared" ref="J264:J265" si="103">ROUND(G264,0)</f>
        <v>232189</v>
      </c>
      <c r="K264" s="38">
        <f t="shared" si="100"/>
        <v>0</v>
      </c>
      <c r="L264" s="40"/>
    </row>
    <row r="265" spans="2:12" s="125" customFormat="1" ht="13.9" customHeight="1" x14ac:dyDescent="0.25">
      <c r="B265" s="200"/>
      <c r="C265" s="207" t="s">
        <v>616</v>
      </c>
      <c r="D265" s="113" t="s">
        <v>461</v>
      </c>
      <c r="E265" s="48">
        <v>15656</v>
      </c>
      <c r="F265" s="39">
        <v>15656</v>
      </c>
      <c r="G265" s="39">
        <f>ROUND(F265,0)</f>
        <v>15656</v>
      </c>
      <c r="H265" s="38">
        <f t="shared" si="99"/>
        <v>0</v>
      </c>
      <c r="I265" s="40"/>
      <c r="J265" s="39">
        <f t="shared" si="103"/>
        <v>15656</v>
      </c>
      <c r="K265" s="38">
        <f t="shared" si="100"/>
        <v>0</v>
      </c>
      <c r="L265" s="40"/>
    </row>
    <row r="266" spans="2:12" ht="18" customHeight="1" x14ac:dyDescent="0.25">
      <c r="C266" s="208" t="s">
        <v>617</v>
      </c>
      <c r="D266" s="142" t="s">
        <v>618</v>
      </c>
      <c r="E266" s="145">
        <v>1819829</v>
      </c>
      <c r="F266" s="144">
        <v>1819829</v>
      </c>
      <c r="G266" s="144">
        <f t="shared" ref="G266" si="104">G267+G268</f>
        <v>1819829</v>
      </c>
      <c r="H266" s="143">
        <f t="shared" si="99"/>
        <v>0</v>
      </c>
      <c r="I266" s="143"/>
      <c r="J266" s="144">
        <f t="shared" ref="J266" si="105">J267+J268</f>
        <v>1819829</v>
      </c>
      <c r="K266" s="143">
        <f t="shared" si="100"/>
        <v>0</v>
      </c>
      <c r="L266" s="143"/>
    </row>
    <row r="267" spans="2:12" ht="13.5" customHeight="1" x14ac:dyDescent="0.25">
      <c r="C267" s="140" t="s">
        <v>619</v>
      </c>
      <c r="D267" s="113" t="s">
        <v>620</v>
      </c>
      <c r="E267" s="48">
        <v>735359</v>
      </c>
      <c r="F267" s="39">
        <v>735359</v>
      </c>
      <c r="G267" s="39">
        <f>ROUND(F267,0)</f>
        <v>735359</v>
      </c>
      <c r="H267" s="38">
        <f t="shared" si="99"/>
        <v>0</v>
      </c>
      <c r="I267" s="41"/>
      <c r="J267" s="39">
        <f t="shared" ref="J267:J268" si="106">ROUND(G267,0)</f>
        <v>735359</v>
      </c>
      <c r="K267" s="38">
        <f t="shared" si="100"/>
        <v>0</v>
      </c>
      <c r="L267" s="41"/>
    </row>
    <row r="268" spans="2:12" ht="25.9" customHeight="1" x14ac:dyDescent="0.25">
      <c r="C268" s="140" t="s">
        <v>619</v>
      </c>
      <c r="D268" s="113" t="s">
        <v>516</v>
      </c>
      <c r="E268" s="48">
        <v>1084470</v>
      </c>
      <c r="F268" s="39">
        <v>1084470</v>
      </c>
      <c r="G268" s="39">
        <f>ROUND(F268,0)</f>
        <v>1084470</v>
      </c>
      <c r="H268" s="38">
        <f t="shared" si="99"/>
        <v>0</v>
      </c>
      <c r="I268" s="209"/>
      <c r="J268" s="39">
        <f t="shared" si="106"/>
        <v>1084470</v>
      </c>
      <c r="K268" s="38">
        <f t="shared" si="100"/>
        <v>0</v>
      </c>
      <c r="L268" s="209"/>
    </row>
    <row r="269" spans="2:12" ht="16.149999999999999" customHeight="1" x14ac:dyDescent="0.25">
      <c r="C269" s="210" t="s">
        <v>621</v>
      </c>
      <c r="D269" s="142" t="s">
        <v>622</v>
      </c>
      <c r="E269" s="145">
        <v>845947</v>
      </c>
      <c r="F269" s="144">
        <v>845947</v>
      </c>
      <c r="G269" s="144">
        <f>G270+G271</f>
        <v>845947</v>
      </c>
      <c r="H269" s="143">
        <f t="shared" si="99"/>
        <v>0</v>
      </c>
      <c r="I269" s="149"/>
      <c r="J269" s="144">
        <f>J270+J271</f>
        <v>845947</v>
      </c>
      <c r="K269" s="143">
        <f t="shared" si="100"/>
        <v>0</v>
      </c>
      <c r="L269" s="149"/>
    </row>
    <row r="270" spans="2:12" ht="16.5" customHeight="1" x14ac:dyDescent="0.25">
      <c r="B270" s="76" t="s">
        <v>623</v>
      </c>
      <c r="C270" s="140" t="s">
        <v>624</v>
      </c>
      <c r="D270" s="113" t="s">
        <v>620</v>
      </c>
      <c r="E270" s="48">
        <v>313283</v>
      </c>
      <c r="F270" s="39">
        <v>313283</v>
      </c>
      <c r="G270" s="39">
        <f t="shared" ref="G270:G279" si="107">ROUND(F270,0)</f>
        <v>313283</v>
      </c>
      <c r="H270" s="38">
        <f t="shared" si="99"/>
        <v>0</v>
      </c>
      <c r="I270" s="40"/>
      <c r="J270" s="39">
        <f t="shared" ref="J270:J279" si="108">ROUND(G270,0)</f>
        <v>313283</v>
      </c>
      <c r="K270" s="38">
        <f t="shared" si="100"/>
        <v>0</v>
      </c>
      <c r="L270" s="40"/>
    </row>
    <row r="271" spans="2:12" ht="16.5" customHeight="1" x14ac:dyDescent="0.25">
      <c r="B271" s="76" t="s">
        <v>625</v>
      </c>
      <c r="C271" s="140" t="s">
        <v>626</v>
      </c>
      <c r="D271" s="113" t="s">
        <v>627</v>
      </c>
      <c r="E271" s="48">
        <v>532664</v>
      </c>
      <c r="F271" s="39">
        <v>532664</v>
      </c>
      <c r="G271" s="39">
        <f t="shared" si="107"/>
        <v>532664</v>
      </c>
      <c r="H271" s="38">
        <f t="shared" si="99"/>
        <v>0</v>
      </c>
      <c r="I271" s="41"/>
      <c r="J271" s="39">
        <f t="shared" si="108"/>
        <v>532664</v>
      </c>
      <c r="K271" s="38">
        <f t="shared" si="100"/>
        <v>0</v>
      </c>
      <c r="L271" s="41"/>
    </row>
    <row r="272" spans="2:12" ht="18" customHeight="1" x14ac:dyDescent="0.25">
      <c r="B272" s="76" t="s">
        <v>628</v>
      </c>
      <c r="C272" s="210" t="s">
        <v>629</v>
      </c>
      <c r="D272" s="142" t="s">
        <v>630</v>
      </c>
      <c r="E272" s="81">
        <v>508477</v>
      </c>
      <c r="F272" s="62">
        <v>508477</v>
      </c>
      <c r="G272" s="62">
        <f>ROUND(F272,0)+1500+30428</f>
        <v>540405</v>
      </c>
      <c r="H272" s="61">
        <f t="shared" si="99"/>
        <v>31928</v>
      </c>
      <c r="I272" s="82" t="s">
        <v>631</v>
      </c>
      <c r="J272" s="62">
        <f>ROUND(G272,0)+4455</f>
        <v>544860</v>
      </c>
      <c r="K272" s="61">
        <f t="shared" si="100"/>
        <v>4455</v>
      </c>
      <c r="L272" s="82" t="s">
        <v>668</v>
      </c>
    </row>
    <row r="273" spans="2:12" ht="25.9" customHeight="1" x14ac:dyDescent="0.25">
      <c r="B273" s="76"/>
      <c r="C273" s="210" t="s">
        <v>632</v>
      </c>
      <c r="D273" s="142" t="s">
        <v>633</v>
      </c>
      <c r="E273" s="81">
        <v>3000</v>
      </c>
      <c r="F273" s="62">
        <v>3000</v>
      </c>
      <c r="G273" s="62">
        <f t="shared" si="107"/>
        <v>3000</v>
      </c>
      <c r="H273" s="61">
        <f t="shared" si="99"/>
        <v>0</v>
      </c>
      <c r="I273" s="82"/>
      <c r="J273" s="62">
        <f t="shared" si="108"/>
        <v>3000</v>
      </c>
      <c r="K273" s="61">
        <f t="shared" si="100"/>
        <v>0</v>
      </c>
      <c r="L273" s="82"/>
    </row>
    <row r="274" spans="2:12" ht="31.9" hidden="1" customHeight="1" outlineLevel="1" x14ac:dyDescent="0.25">
      <c r="B274" s="76" t="s">
        <v>634</v>
      </c>
      <c r="C274" s="210" t="s">
        <v>635</v>
      </c>
      <c r="D274" s="211" t="s">
        <v>636</v>
      </c>
      <c r="E274" s="81">
        <v>0</v>
      </c>
      <c r="F274" s="62">
        <v>0</v>
      </c>
      <c r="G274" s="62">
        <f t="shared" si="107"/>
        <v>0</v>
      </c>
      <c r="H274" s="61">
        <f t="shared" si="99"/>
        <v>0</v>
      </c>
      <c r="I274" s="82" t="s">
        <v>637</v>
      </c>
      <c r="J274" s="62">
        <f t="shared" si="108"/>
        <v>0</v>
      </c>
      <c r="K274" s="61">
        <f t="shared" si="100"/>
        <v>0</v>
      </c>
      <c r="L274" s="82" t="s">
        <v>637</v>
      </c>
    </row>
    <row r="275" spans="2:12" ht="27" hidden="1" customHeight="1" outlineLevel="1" x14ac:dyDescent="0.25">
      <c r="B275" s="76" t="s">
        <v>218</v>
      </c>
      <c r="C275" s="210" t="s">
        <v>638</v>
      </c>
      <c r="D275" s="211" t="s">
        <v>639</v>
      </c>
      <c r="E275" s="81">
        <v>0</v>
      </c>
      <c r="F275" s="62">
        <v>0</v>
      </c>
      <c r="G275" s="62">
        <f t="shared" si="107"/>
        <v>0</v>
      </c>
      <c r="H275" s="61">
        <f t="shared" si="99"/>
        <v>0</v>
      </c>
      <c r="I275" s="82"/>
      <c r="J275" s="62">
        <f t="shared" si="108"/>
        <v>0</v>
      </c>
      <c r="K275" s="61">
        <f t="shared" si="100"/>
        <v>0</v>
      </c>
      <c r="L275" s="82"/>
    </row>
    <row r="276" spans="2:12" ht="57.6" hidden="1" customHeight="1" outlineLevel="1" x14ac:dyDescent="0.25">
      <c r="B276" s="76" t="s">
        <v>640</v>
      </c>
      <c r="C276" s="210" t="s">
        <v>641</v>
      </c>
      <c r="D276" s="211" t="s">
        <v>642</v>
      </c>
      <c r="E276" s="81">
        <v>0</v>
      </c>
      <c r="F276" s="62">
        <v>0</v>
      </c>
      <c r="G276" s="62">
        <f t="shared" si="107"/>
        <v>0</v>
      </c>
      <c r="H276" s="61">
        <f t="shared" si="99"/>
        <v>0</v>
      </c>
      <c r="I276" s="82"/>
      <c r="J276" s="62">
        <f t="shared" si="108"/>
        <v>0</v>
      </c>
      <c r="K276" s="61">
        <f t="shared" si="100"/>
        <v>0</v>
      </c>
      <c r="L276" s="82"/>
    </row>
    <row r="277" spans="2:12" ht="30.6" customHeight="1" collapsed="1" x14ac:dyDescent="0.25">
      <c r="B277" s="76" t="s">
        <v>215</v>
      </c>
      <c r="C277" s="208" t="s">
        <v>635</v>
      </c>
      <c r="D277" s="142" t="s">
        <v>217</v>
      </c>
      <c r="E277" s="81">
        <v>5600179</v>
      </c>
      <c r="F277" s="62">
        <v>5600179</v>
      </c>
      <c r="G277" s="62">
        <f t="shared" si="107"/>
        <v>5600179</v>
      </c>
      <c r="H277" s="61">
        <f t="shared" si="99"/>
        <v>0</v>
      </c>
      <c r="I277" s="82"/>
      <c r="J277" s="62">
        <f t="shared" si="108"/>
        <v>5600179</v>
      </c>
      <c r="K277" s="61">
        <f t="shared" si="100"/>
        <v>0</v>
      </c>
      <c r="L277" s="82"/>
    </row>
    <row r="278" spans="2:12" ht="55.15" customHeight="1" x14ac:dyDescent="0.25">
      <c r="B278" s="76" t="s">
        <v>643</v>
      </c>
      <c r="C278" s="208" t="s">
        <v>638</v>
      </c>
      <c r="D278" s="142" t="s">
        <v>644</v>
      </c>
      <c r="E278" s="81">
        <v>267067</v>
      </c>
      <c r="F278" s="62">
        <v>267067</v>
      </c>
      <c r="G278" s="62">
        <f t="shared" si="107"/>
        <v>267067</v>
      </c>
      <c r="H278" s="61">
        <f t="shared" si="99"/>
        <v>0</v>
      </c>
      <c r="I278" s="82"/>
      <c r="J278" s="62">
        <f t="shared" si="108"/>
        <v>267067</v>
      </c>
      <c r="K278" s="61">
        <f t="shared" si="100"/>
        <v>0</v>
      </c>
      <c r="L278" s="82"/>
    </row>
    <row r="279" spans="2:12" ht="31.5" customHeight="1" thickBot="1" x14ac:dyDescent="0.3">
      <c r="B279" s="212" t="s">
        <v>645</v>
      </c>
      <c r="C279" s="208" t="s">
        <v>641</v>
      </c>
      <c r="D279" s="142" t="s">
        <v>646</v>
      </c>
      <c r="E279" s="81">
        <v>285277</v>
      </c>
      <c r="F279" s="62">
        <v>285277</v>
      </c>
      <c r="G279" s="62">
        <f t="shared" si="107"/>
        <v>285277</v>
      </c>
      <c r="H279" s="61">
        <f t="shared" si="99"/>
        <v>0</v>
      </c>
      <c r="I279" s="82"/>
      <c r="J279" s="62">
        <f t="shared" si="108"/>
        <v>285277</v>
      </c>
      <c r="K279" s="61">
        <f t="shared" si="100"/>
        <v>0</v>
      </c>
      <c r="L279" s="82"/>
    </row>
    <row r="280" spans="2:12" ht="27" hidden="1" customHeight="1" outlineLevel="1" thickBot="1" x14ac:dyDescent="0.3">
      <c r="C280" s="208" t="s">
        <v>647</v>
      </c>
      <c r="D280" s="142" t="s">
        <v>648</v>
      </c>
      <c r="E280" s="63">
        <v>0</v>
      </c>
      <c r="F280" s="64">
        <v>0</v>
      </c>
      <c r="G280" s="64">
        <f>G281+G282</f>
        <v>0</v>
      </c>
      <c r="H280" s="61">
        <f t="shared" si="99"/>
        <v>0</v>
      </c>
      <c r="I280" s="82"/>
      <c r="J280" s="64">
        <f>J281+J282</f>
        <v>0</v>
      </c>
      <c r="K280" s="61">
        <f t="shared" si="100"/>
        <v>0</v>
      </c>
      <c r="L280" s="82"/>
    </row>
    <row r="281" spans="2:12" ht="14.45" hidden="1" customHeight="1" outlineLevel="1" thickBot="1" x14ac:dyDescent="0.3">
      <c r="B281" s="76" t="s">
        <v>649</v>
      </c>
      <c r="C281" s="140" t="s">
        <v>650</v>
      </c>
      <c r="D281" s="113" t="s">
        <v>651</v>
      </c>
      <c r="E281" s="48"/>
      <c r="F281" s="39"/>
      <c r="G281" s="39">
        <f>ROUND(E281,0)</f>
        <v>0</v>
      </c>
      <c r="H281" s="38">
        <f t="shared" si="99"/>
        <v>0</v>
      </c>
      <c r="I281" s="41" t="s">
        <v>637</v>
      </c>
      <c r="J281" s="39">
        <f>ROUND(H281,0)</f>
        <v>0</v>
      </c>
      <c r="K281" s="38">
        <f t="shared" si="100"/>
        <v>0</v>
      </c>
      <c r="L281" s="41" t="s">
        <v>637</v>
      </c>
    </row>
    <row r="282" spans="2:12" s="125" customFormat="1" ht="15" hidden="1" customHeight="1" outlineLevel="1" thickBot="1" x14ac:dyDescent="0.3">
      <c r="B282" s="76" t="s">
        <v>652</v>
      </c>
      <c r="C282" s="140" t="s">
        <v>653</v>
      </c>
      <c r="D282" s="113" t="s">
        <v>654</v>
      </c>
      <c r="E282" s="48"/>
      <c r="F282" s="39"/>
      <c r="G282" s="39">
        <f>ROUND(E282,0)</f>
        <v>0</v>
      </c>
      <c r="H282" s="38">
        <f t="shared" si="99"/>
        <v>0</v>
      </c>
      <c r="I282" s="41"/>
      <c r="J282" s="39">
        <f>ROUND(H282,0)</f>
        <v>0</v>
      </c>
      <c r="K282" s="38">
        <f t="shared" si="100"/>
        <v>0</v>
      </c>
      <c r="L282" s="41"/>
    </row>
    <row r="283" spans="2:12" s="125" customFormat="1" ht="17.45" hidden="1" customHeight="1" outlineLevel="1" thickBot="1" x14ac:dyDescent="0.3">
      <c r="C283" s="137" t="s">
        <v>111</v>
      </c>
      <c r="D283" s="138" t="s">
        <v>655</v>
      </c>
      <c r="E283" s="46">
        <v>0</v>
      </c>
      <c r="F283" s="45">
        <v>0</v>
      </c>
      <c r="G283" s="45">
        <f>SUM(G284:G285)</f>
        <v>0</v>
      </c>
      <c r="H283" s="44">
        <f t="shared" si="99"/>
        <v>0</v>
      </c>
      <c r="I283" s="47"/>
      <c r="J283" s="45">
        <f>SUM(J284:J285)</f>
        <v>0</v>
      </c>
      <c r="K283" s="44">
        <f t="shared" si="100"/>
        <v>0</v>
      </c>
      <c r="L283" s="47"/>
    </row>
    <row r="284" spans="2:12" ht="17.25" hidden="1" customHeight="1" outlineLevel="1" thickBot="1" x14ac:dyDescent="0.3">
      <c r="C284" s="133" t="s">
        <v>656</v>
      </c>
      <c r="D284" s="134" t="s">
        <v>657</v>
      </c>
      <c r="E284" s="81"/>
      <c r="F284" s="62"/>
      <c r="G284" s="62"/>
      <c r="H284" s="61">
        <f t="shared" si="99"/>
        <v>0</v>
      </c>
      <c r="I284" s="82"/>
      <c r="J284" s="62"/>
      <c r="K284" s="61">
        <f t="shared" si="100"/>
        <v>0</v>
      </c>
      <c r="L284" s="82"/>
    </row>
    <row r="285" spans="2:12" ht="14.45" hidden="1" outlineLevel="1" thickBot="1" x14ac:dyDescent="0.3">
      <c r="C285" s="133" t="s">
        <v>658</v>
      </c>
      <c r="D285" s="134" t="s">
        <v>659</v>
      </c>
      <c r="E285" s="81"/>
      <c r="F285" s="62"/>
      <c r="G285" s="62"/>
      <c r="H285" s="61">
        <f t="shared" si="99"/>
        <v>0</v>
      </c>
      <c r="I285" s="82"/>
      <c r="J285" s="62"/>
      <c r="K285" s="61">
        <f t="shared" si="100"/>
        <v>0</v>
      </c>
      <c r="L285" s="82"/>
    </row>
    <row r="286" spans="2:12" s="125" customFormat="1" ht="30" customHeight="1" collapsed="1" thickBot="1" x14ac:dyDescent="0.25">
      <c r="C286" s="213"/>
      <c r="D286" s="214" t="s">
        <v>660</v>
      </c>
      <c r="E286" s="217">
        <v>71564822</v>
      </c>
      <c r="F286" s="215">
        <v>71564822</v>
      </c>
      <c r="G286" s="215">
        <f t="shared" ref="G286" si="109">G125+G135+G136+G141+G143+G180+G195+G215+G283</f>
        <v>71620010</v>
      </c>
      <c r="H286" s="216">
        <f t="shared" si="99"/>
        <v>55188</v>
      </c>
      <c r="I286" s="216"/>
      <c r="J286" s="215">
        <f>J125+J135+J136+J141+J143+J180+J195+J215+J283</f>
        <v>71626324</v>
      </c>
      <c r="K286" s="216">
        <f t="shared" si="100"/>
        <v>6314</v>
      </c>
      <c r="L286" s="216"/>
    </row>
    <row r="287" spans="2:12" s="35" customFormat="1" ht="42.6" customHeight="1" thickBot="1" x14ac:dyDescent="0.3">
      <c r="C287" s="137" t="s">
        <v>233</v>
      </c>
      <c r="D287" s="138" t="s">
        <v>661</v>
      </c>
      <c r="E287" s="46">
        <v>3467034</v>
      </c>
      <c r="F287" s="45">
        <v>3467034</v>
      </c>
      <c r="G287" s="45">
        <f>ROUND(F287,0)</f>
        <v>3467034</v>
      </c>
      <c r="H287" s="44">
        <f t="shared" si="99"/>
        <v>0</v>
      </c>
      <c r="I287" s="41"/>
      <c r="J287" s="45">
        <f>ROUND(G287,0)+191255</f>
        <v>3658289</v>
      </c>
      <c r="K287" s="44">
        <f t="shared" si="100"/>
        <v>191255</v>
      </c>
      <c r="L287" s="218" t="s">
        <v>399</v>
      </c>
    </row>
    <row r="288" spans="2:12" ht="15.75" thickBot="1" x14ac:dyDescent="0.3">
      <c r="C288" s="213"/>
      <c r="D288" s="214" t="s">
        <v>662</v>
      </c>
      <c r="E288" s="221">
        <v>75031856</v>
      </c>
      <c r="F288" s="220">
        <v>75031856</v>
      </c>
      <c r="G288" s="220">
        <f>G286+G287</f>
        <v>75087044</v>
      </c>
      <c r="H288" s="219">
        <f t="shared" si="99"/>
        <v>55188</v>
      </c>
      <c r="I288" s="222"/>
      <c r="J288" s="220">
        <f>J286+J287</f>
        <v>75284613</v>
      </c>
      <c r="K288" s="219">
        <f t="shared" si="100"/>
        <v>197569</v>
      </c>
      <c r="L288" s="222"/>
    </row>
    <row r="289" spans="3:12" ht="30.75" thickTop="1" thickBot="1" x14ac:dyDescent="0.3">
      <c r="C289" s="223" t="s">
        <v>663</v>
      </c>
      <c r="D289" s="224" t="s">
        <v>664</v>
      </c>
      <c r="E289" s="227">
        <v>64907.20000000298</v>
      </c>
      <c r="F289" s="226">
        <v>64907.20000000298</v>
      </c>
      <c r="G289" s="226">
        <f>G119-G288-0.2</f>
        <v>64906.8</v>
      </c>
      <c r="H289" s="225">
        <f t="shared" si="99"/>
        <v>-0.40000000297732186</v>
      </c>
      <c r="I289" s="228"/>
      <c r="J289" s="226">
        <f>J119-J288-0.2</f>
        <v>64906.8</v>
      </c>
      <c r="K289" s="225">
        <f t="shared" si="100"/>
        <v>0</v>
      </c>
      <c r="L289" s="228"/>
    </row>
    <row r="291" spans="3:12" x14ac:dyDescent="0.25">
      <c r="I291" s="229" t="s">
        <v>5</v>
      </c>
      <c r="L291" s="229" t="s">
        <v>5</v>
      </c>
    </row>
  </sheetData>
  <mergeCells count="15">
    <mergeCell ref="I171:I172"/>
    <mergeCell ref="L171:L172"/>
    <mergeCell ref="I259:I260"/>
    <mergeCell ref="L259:L260"/>
    <mergeCell ref="I191:I192"/>
    <mergeCell ref="I219:I220"/>
    <mergeCell ref="L219:L220"/>
    <mergeCell ref="I243:I244"/>
    <mergeCell ref="L243:L244"/>
    <mergeCell ref="I253:I254"/>
    <mergeCell ref="C2:D2"/>
    <mergeCell ref="C3:D3"/>
    <mergeCell ref="C122:D122"/>
    <mergeCell ref="C123:D123"/>
    <mergeCell ref="L138:L139"/>
  </mergeCells>
  <conditionalFormatting sqref="E289:H289">
    <cfRule type="cellIs" dxfId="1" priority="3" operator="lessThan">
      <formula>0</formula>
    </cfRule>
  </conditionalFormatting>
  <conditionalFormatting sqref="J289:K289">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colBreaks count="1" manualBreakCount="1">
    <brk id="4" max="29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2025.gada budzeta plans_apvieno</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2025-05-16T10:15:25Z</dcterms:created>
  <dcterms:modified xsi:type="dcterms:W3CDTF">2025-05-21T07:19:31Z</dcterms:modified>
</cp:coreProperties>
</file>