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armite.Muze\Nextcloud\Finansu nodala kopmape\2025\03 Marts 2025\"/>
    </mc:Choice>
  </mc:AlternateContent>
  <xr:revisionPtr revIDLastSave="0" documentId="13_ncr:1_{AA144C5C-7F47-4D01-8723-7683C1A68616}" xr6:coauthVersionLast="47" xr6:coauthVersionMax="47" xr10:uidLastSave="{00000000-0000-0000-0000-000000000000}"/>
  <bookViews>
    <workbookView xWindow="-120" yWindow="-120" windowWidth="29040" windowHeight="15720" xr2:uid="{DE6BE8D6-36BF-4481-949A-AC2812B9A0D9}"/>
  </bookViews>
  <sheets>
    <sheet name="2025.gada budzeta plans_apvieno" sheetId="1" r:id="rId1"/>
  </sheets>
  <definedNames>
    <definedName name="_0812">#REF!</definedName>
    <definedName name="_xlnm._FilterDatabase" localSheetId="0" hidden="1">'2025.gada budzeta plans_apvieno'!#REF!</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'2025.gada budzeta plans_apvieno'!$A$1:$K$263</definedName>
    <definedName name="_xlnm.Print_Titles" localSheetId="0">'2025.gada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8" i="1" l="1"/>
  <c r="F136" i="1"/>
  <c r="F177" i="1" l="1"/>
  <c r="F61" i="1"/>
  <c r="G61" i="1" s="1"/>
  <c r="F159" i="1"/>
  <c r="G159" i="1" s="1"/>
  <c r="F158" i="1"/>
  <c r="F252" i="1"/>
  <c r="F240" i="1"/>
  <c r="G240" i="1" s="1"/>
  <c r="F234" i="1"/>
  <c r="G234" i="1" s="1"/>
  <c r="F154" i="1"/>
  <c r="G154" i="1" s="1"/>
  <c r="F69" i="1"/>
  <c r="G69" i="1" s="1"/>
  <c r="J261" i="1"/>
  <c r="F261" i="1"/>
  <c r="G261" i="1" s="1"/>
  <c r="J259" i="1"/>
  <c r="G259" i="1"/>
  <c r="J258" i="1"/>
  <c r="G258" i="1"/>
  <c r="I257" i="1"/>
  <c r="F257" i="1"/>
  <c r="E257" i="1"/>
  <c r="J256" i="1"/>
  <c r="F256" i="1"/>
  <c r="G256" i="1" s="1"/>
  <c r="J255" i="1"/>
  <c r="F255" i="1"/>
  <c r="G255" i="1" s="1"/>
  <c r="J254" i="1"/>
  <c r="F254" i="1"/>
  <c r="G254" i="1" s="1"/>
  <c r="J253" i="1"/>
  <c r="F253" i="1"/>
  <c r="G253" i="1" s="1"/>
  <c r="I252" i="1"/>
  <c r="J252" i="1" s="1"/>
  <c r="G252" i="1"/>
  <c r="J251" i="1"/>
  <c r="F251" i="1"/>
  <c r="G251" i="1" s="1"/>
  <c r="J250" i="1"/>
  <c r="F250" i="1"/>
  <c r="I249" i="1"/>
  <c r="E249" i="1"/>
  <c r="J248" i="1"/>
  <c r="F248" i="1"/>
  <c r="G248" i="1" s="1"/>
  <c r="J247" i="1"/>
  <c r="F247" i="1"/>
  <c r="G247" i="1" s="1"/>
  <c r="I246" i="1"/>
  <c r="E246" i="1"/>
  <c r="J245" i="1"/>
  <c r="F245" i="1"/>
  <c r="G245" i="1" s="1"/>
  <c r="I244" i="1"/>
  <c r="I242" i="1" s="1"/>
  <c r="F244" i="1"/>
  <c r="G244" i="1" s="1"/>
  <c r="J243" i="1"/>
  <c r="F243" i="1"/>
  <c r="G243" i="1" s="1"/>
  <c r="E242" i="1"/>
  <c r="J241" i="1"/>
  <c r="F241" i="1"/>
  <c r="G241" i="1" s="1"/>
  <c r="J240" i="1"/>
  <c r="I239" i="1"/>
  <c r="J239" i="1" s="1"/>
  <c r="F239" i="1"/>
  <c r="G239" i="1" s="1"/>
  <c r="J238" i="1"/>
  <c r="F238" i="1"/>
  <c r="G238" i="1" s="1"/>
  <c r="J237" i="1"/>
  <c r="F237" i="1"/>
  <c r="G237" i="1" s="1"/>
  <c r="J236" i="1"/>
  <c r="F236" i="1"/>
  <c r="G236" i="1" s="1"/>
  <c r="J235" i="1"/>
  <c r="F235" i="1"/>
  <c r="G235" i="1" s="1"/>
  <c r="I234" i="1"/>
  <c r="J234" i="1" s="1"/>
  <c r="I233" i="1"/>
  <c r="F233" i="1"/>
  <c r="G233" i="1" s="1"/>
  <c r="J232" i="1"/>
  <c r="F232" i="1"/>
  <c r="G232" i="1" s="1"/>
  <c r="J231" i="1"/>
  <c r="F231" i="1"/>
  <c r="G231" i="1" s="1"/>
  <c r="I230" i="1"/>
  <c r="I229" i="1" s="1"/>
  <c r="F230" i="1"/>
  <c r="G230" i="1" s="1"/>
  <c r="E229" i="1"/>
  <c r="J227" i="1"/>
  <c r="F227" i="1"/>
  <c r="G227" i="1" s="1"/>
  <c r="I226" i="1"/>
  <c r="J226" i="1" s="1"/>
  <c r="F226" i="1"/>
  <c r="G226" i="1" s="1"/>
  <c r="J225" i="1"/>
  <c r="F225" i="1"/>
  <c r="G225" i="1" s="1"/>
  <c r="J224" i="1"/>
  <c r="F224" i="1"/>
  <c r="G224" i="1" s="1"/>
  <c r="I223" i="1"/>
  <c r="J223" i="1" s="1"/>
  <c r="F223" i="1"/>
  <c r="G223" i="1" s="1"/>
  <c r="J222" i="1"/>
  <c r="F222" i="1"/>
  <c r="G222" i="1" s="1"/>
  <c r="I221" i="1"/>
  <c r="J221" i="1" s="1"/>
  <c r="F221" i="1"/>
  <c r="G221" i="1" s="1"/>
  <c r="J220" i="1"/>
  <c r="F220" i="1"/>
  <c r="G220" i="1" s="1"/>
  <c r="F219" i="1"/>
  <c r="E218" i="1"/>
  <c r="E217" i="1" s="1"/>
  <c r="J216" i="1"/>
  <c r="F216" i="1"/>
  <c r="G216" i="1" s="1"/>
  <c r="J215" i="1"/>
  <c r="F215" i="1"/>
  <c r="J214" i="1"/>
  <c r="F214" i="1"/>
  <c r="G214" i="1" s="1"/>
  <c r="I213" i="1"/>
  <c r="E213" i="1"/>
  <c r="J212" i="1"/>
  <c r="F212" i="1"/>
  <c r="G212" i="1" s="1"/>
  <c r="I211" i="1"/>
  <c r="J211" i="1" s="1"/>
  <c r="F211" i="1"/>
  <c r="G211" i="1" s="1"/>
  <c r="J210" i="1"/>
  <c r="F210" i="1"/>
  <c r="G210" i="1" s="1"/>
  <c r="E209" i="1"/>
  <c r="I208" i="1"/>
  <c r="J208" i="1" s="1"/>
  <c r="F208" i="1"/>
  <c r="G208" i="1" s="1"/>
  <c r="I207" i="1"/>
  <c r="F207" i="1"/>
  <c r="G207" i="1" s="1"/>
  <c r="J206" i="1"/>
  <c r="F206" i="1"/>
  <c r="G206" i="1" s="1"/>
  <c r="E205" i="1"/>
  <c r="J204" i="1"/>
  <c r="F204" i="1"/>
  <c r="G204" i="1" s="1"/>
  <c r="I203" i="1"/>
  <c r="J203" i="1" s="1"/>
  <c r="F203" i="1"/>
  <c r="G203" i="1" s="1"/>
  <c r="J202" i="1"/>
  <c r="F202" i="1"/>
  <c r="G202" i="1" s="1"/>
  <c r="E201" i="1"/>
  <c r="I200" i="1"/>
  <c r="J200" i="1" s="1"/>
  <c r="F200" i="1"/>
  <c r="G200" i="1" s="1"/>
  <c r="I199" i="1"/>
  <c r="F199" i="1"/>
  <c r="J198" i="1"/>
  <c r="F198" i="1"/>
  <c r="G198" i="1" s="1"/>
  <c r="E197" i="1"/>
  <c r="J196" i="1"/>
  <c r="F196" i="1"/>
  <c r="G196" i="1" s="1"/>
  <c r="J194" i="1"/>
  <c r="F194" i="1"/>
  <c r="G194" i="1" s="1"/>
  <c r="J193" i="1"/>
  <c r="F193" i="1"/>
  <c r="G193" i="1" s="1"/>
  <c r="J192" i="1"/>
  <c r="F192" i="1"/>
  <c r="G192" i="1" s="1"/>
  <c r="J191" i="1"/>
  <c r="F191" i="1"/>
  <c r="G191" i="1" s="1"/>
  <c r="J190" i="1"/>
  <c r="F190" i="1"/>
  <c r="G190" i="1" s="1"/>
  <c r="J189" i="1"/>
  <c r="F189" i="1"/>
  <c r="G189" i="1" s="1"/>
  <c r="J188" i="1"/>
  <c r="F188" i="1"/>
  <c r="G188" i="1" s="1"/>
  <c r="J187" i="1"/>
  <c r="F187" i="1"/>
  <c r="G187" i="1" s="1"/>
  <c r="I186" i="1"/>
  <c r="J186" i="1" s="1"/>
  <c r="F186" i="1"/>
  <c r="E185" i="1"/>
  <c r="J184" i="1"/>
  <c r="F184" i="1"/>
  <c r="G184" i="1" s="1"/>
  <c r="I183" i="1"/>
  <c r="F183" i="1"/>
  <c r="G183" i="1" s="1"/>
  <c r="E182" i="1"/>
  <c r="J181" i="1"/>
  <c r="F181" i="1"/>
  <c r="G181" i="1" s="1"/>
  <c r="J180" i="1"/>
  <c r="F180" i="1"/>
  <c r="G180" i="1" s="1"/>
  <c r="J179" i="1"/>
  <c r="F179" i="1"/>
  <c r="G179" i="1" s="1"/>
  <c r="J178" i="1"/>
  <c r="F178" i="1"/>
  <c r="G178" i="1" s="1"/>
  <c r="I177" i="1"/>
  <c r="J177" i="1" s="1"/>
  <c r="G177" i="1"/>
  <c r="E176" i="1"/>
  <c r="J174" i="1"/>
  <c r="F174" i="1"/>
  <c r="G174" i="1" s="1"/>
  <c r="J173" i="1"/>
  <c r="F173" i="1"/>
  <c r="G173" i="1" s="1"/>
  <c r="J172" i="1"/>
  <c r="F172" i="1"/>
  <c r="G172" i="1" s="1"/>
  <c r="I171" i="1"/>
  <c r="J171" i="1" s="1"/>
  <c r="F171" i="1"/>
  <c r="E170" i="1"/>
  <c r="J169" i="1"/>
  <c r="F169" i="1"/>
  <c r="G169" i="1" s="1"/>
  <c r="J168" i="1"/>
  <c r="F168" i="1"/>
  <c r="G168" i="1" s="1"/>
  <c r="J167" i="1"/>
  <c r="F167" i="1"/>
  <c r="G167" i="1" s="1"/>
  <c r="J166" i="1"/>
  <c r="F166" i="1"/>
  <c r="G166" i="1" s="1"/>
  <c r="J165" i="1"/>
  <c r="F165" i="1"/>
  <c r="G165" i="1" s="1"/>
  <c r="J164" i="1"/>
  <c r="F164" i="1"/>
  <c r="G164" i="1" s="1"/>
  <c r="J163" i="1"/>
  <c r="F163" i="1"/>
  <c r="G163" i="1" s="1"/>
  <c r="J162" i="1"/>
  <c r="F162" i="1"/>
  <c r="G162" i="1" s="1"/>
  <c r="I161" i="1"/>
  <c r="H161" i="1"/>
  <c r="E161" i="1"/>
  <c r="J159" i="1"/>
  <c r="J158" i="1"/>
  <c r="G158" i="1"/>
  <c r="J157" i="1"/>
  <c r="F157" i="1"/>
  <c r="G157" i="1" s="1"/>
  <c r="I156" i="1"/>
  <c r="J156" i="1" s="1"/>
  <c r="F156" i="1"/>
  <c r="G156" i="1" s="1"/>
  <c r="J155" i="1"/>
  <c r="F155" i="1"/>
  <c r="G155" i="1" s="1"/>
  <c r="I154" i="1"/>
  <c r="E153" i="1"/>
  <c r="E149" i="1" s="1"/>
  <c r="J152" i="1"/>
  <c r="F152" i="1"/>
  <c r="G152" i="1" s="1"/>
  <c r="J151" i="1"/>
  <c r="F151" i="1"/>
  <c r="G151" i="1" s="1"/>
  <c r="J150" i="1"/>
  <c r="F150" i="1"/>
  <c r="G150" i="1" s="1"/>
  <c r="J148" i="1"/>
  <c r="F148" i="1"/>
  <c r="G148" i="1" s="1"/>
  <c r="J147" i="1"/>
  <c r="F147" i="1"/>
  <c r="G147" i="1" s="1"/>
  <c r="J146" i="1"/>
  <c r="F146" i="1"/>
  <c r="G146" i="1" s="1"/>
  <c r="J145" i="1"/>
  <c r="F145" i="1"/>
  <c r="G145" i="1" s="1"/>
  <c r="J144" i="1"/>
  <c r="F144" i="1"/>
  <c r="G144" i="1" s="1"/>
  <c r="J143" i="1"/>
  <c r="F143" i="1"/>
  <c r="G143" i="1" s="1"/>
  <c r="J142" i="1"/>
  <c r="F142" i="1"/>
  <c r="G142" i="1" s="1"/>
  <c r="J141" i="1"/>
  <c r="F141" i="1"/>
  <c r="G141" i="1" s="1"/>
  <c r="J140" i="1"/>
  <c r="F140" i="1"/>
  <c r="G140" i="1" s="1"/>
  <c r="J139" i="1"/>
  <c r="F139" i="1"/>
  <c r="G139" i="1" s="1"/>
  <c r="J138" i="1"/>
  <c r="G138" i="1"/>
  <c r="J137" i="1"/>
  <c r="F137" i="1"/>
  <c r="G137" i="1" s="1"/>
  <c r="I136" i="1"/>
  <c r="I135" i="1" s="1"/>
  <c r="G136" i="1"/>
  <c r="E135" i="1"/>
  <c r="J134" i="1"/>
  <c r="F134" i="1"/>
  <c r="G134" i="1" s="1"/>
  <c r="J133" i="1"/>
  <c r="F133" i="1"/>
  <c r="G133" i="1" s="1"/>
  <c r="J132" i="1"/>
  <c r="F132" i="1"/>
  <c r="G132" i="1" s="1"/>
  <c r="I131" i="1"/>
  <c r="J131" i="1" s="1"/>
  <c r="F131" i="1"/>
  <c r="G131" i="1" s="1"/>
  <c r="J129" i="1"/>
  <c r="F129" i="1"/>
  <c r="G129" i="1" s="1"/>
  <c r="I128" i="1"/>
  <c r="E128" i="1"/>
  <c r="J127" i="1"/>
  <c r="F127" i="1"/>
  <c r="G127" i="1" s="1"/>
  <c r="J126" i="1"/>
  <c r="F126" i="1"/>
  <c r="J125" i="1"/>
  <c r="F125" i="1"/>
  <c r="G125" i="1" s="1"/>
  <c r="I124" i="1"/>
  <c r="I123" i="1" s="1"/>
  <c r="E124" i="1"/>
  <c r="E123" i="1" s="1"/>
  <c r="J122" i="1"/>
  <c r="F122" i="1"/>
  <c r="G122" i="1" s="1"/>
  <c r="J121" i="1"/>
  <c r="F121" i="1"/>
  <c r="G121" i="1" s="1"/>
  <c r="J120" i="1"/>
  <c r="F120" i="1"/>
  <c r="G120" i="1" s="1"/>
  <c r="J119" i="1"/>
  <c r="F119" i="1"/>
  <c r="G119" i="1" s="1"/>
  <c r="J118" i="1"/>
  <c r="F118" i="1"/>
  <c r="G118" i="1" s="1"/>
  <c r="J117" i="1"/>
  <c r="F117" i="1"/>
  <c r="G117" i="1" s="1"/>
  <c r="J116" i="1"/>
  <c r="F116" i="1"/>
  <c r="G116" i="1" s="1"/>
  <c r="J115" i="1"/>
  <c r="F115" i="1"/>
  <c r="G115" i="1" s="1"/>
  <c r="J114" i="1"/>
  <c r="F114" i="1"/>
  <c r="G114" i="1" s="1"/>
  <c r="I113" i="1"/>
  <c r="I112" i="1" s="1"/>
  <c r="F113" i="1"/>
  <c r="G113" i="1" s="1"/>
  <c r="E112" i="1"/>
  <c r="J111" i="1"/>
  <c r="I111" i="1"/>
  <c r="I105" i="1"/>
  <c r="J105" i="1" s="1"/>
  <c r="F105" i="1"/>
  <c r="G105" i="1" s="1"/>
  <c r="I104" i="1"/>
  <c r="F104" i="1"/>
  <c r="G104" i="1" s="1"/>
  <c r="I103" i="1"/>
  <c r="J103" i="1" s="1"/>
  <c r="F103" i="1"/>
  <c r="G103" i="1" s="1"/>
  <c r="J102" i="1"/>
  <c r="F102" i="1"/>
  <c r="G102" i="1" s="1"/>
  <c r="J101" i="1"/>
  <c r="F101" i="1"/>
  <c r="G101" i="1" s="1"/>
  <c r="J100" i="1"/>
  <c r="F100" i="1"/>
  <c r="G100" i="1" s="1"/>
  <c r="J99" i="1"/>
  <c r="F99" i="1"/>
  <c r="G99" i="1" s="1"/>
  <c r="J98" i="1"/>
  <c r="F98" i="1"/>
  <c r="G98" i="1" s="1"/>
  <c r="J97" i="1"/>
  <c r="F97" i="1"/>
  <c r="G97" i="1" s="1"/>
  <c r="I96" i="1"/>
  <c r="J96" i="1" s="1"/>
  <c r="F96" i="1"/>
  <c r="E95" i="1"/>
  <c r="J94" i="1"/>
  <c r="F94" i="1"/>
  <c r="J93" i="1"/>
  <c r="F93" i="1"/>
  <c r="G93" i="1" s="1"/>
  <c r="I92" i="1"/>
  <c r="E92" i="1"/>
  <c r="I90" i="1"/>
  <c r="J90" i="1" s="1"/>
  <c r="F90" i="1"/>
  <c r="G90" i="1" s="1"/>
  <c r="J89" i="1"/>
  <c r="F89" i="1"/>
  <c r="G89" i="1" s="1"/>
  <c r="I88" i="1"/>
  <c r="J88" i="1" s="1"/>
  <c r="F88" i="1"/>
  <c r="G88" i="1" s="1"/>
  <c r="E87" i="1"/>
  <c r="J86" i="1"/>
  <c r="F86" i="1"/>
  <c r="G86" i="1" s="1"/>
  <c r="J85" i="1"/>
  <c r="F85" i="1"/>
  <c r="G85" i="1" s="1"/>
  <c r="I84" i="1"/>
  <c r="J84" i="1" s="1"/>
  <c r="F84" i="1"/>
  <c r="G84" i="1" s="1"/>
  <c r="E83" i="1"/>
  <c r="J82" i="1"/>
  <c r="F82" i="1"/>
  <c r="G82" i="1" s="1"/>
  <c r="J81" i="1"/>
  <c r="F81" i="1"/>
  <c r="G81" i="1" s="1"/>
  <c r="E80" i="1"/>
  <c r="J79" i="1"/>
  <c r="F79" i="1"/>
  <c r="G79" i="1" s="1"/>
  <c r="J78" i="1"/>
  <c r="F78" i="1"/>
  <c r="I77" i="1"/>
  <c r="E77" i="1"/>
  <c r="J75" i="1"/>
  <c r="F75" i="1"/>
  <c r="G75" i="1" s="1"/>
  <c r="J74" i="1"/>
  <c r="F74" i="1"/>
  <c r="F73" i="1" s="1"/>
  <c r="I73" i="1"/>
  <c r="E73" i="1"/>
  <c r="J72" i="1"/>
  <c r="F72" i="1"/>
  <c r="G72" i="1" s="1"/>
  <c r="J71" i="1"/>
  <c r="F71" i="1"/>
  <c r="G71" i="1" s="1"/>
  <c r="J70" i="1"/>
  <c r="F70" i="1"/>
  <c r="G70" i="1" s="1"/>
  <c r="F68" i="1"/>
  <c r="G68" i="1" s="1"/>
  <c r="J67" i="1"/>
  <c r="F67" i="1"/>
  <c r="G67" i="1" s="1"/>
  <c r="J66" i="1"/>
  <c r="F66" i="1"/>
  <c r="G66" i="1" s="1"/>
  <c r="J65" i="1"/>
  <c r="F65" i="1"/>
  <c r="G65" i="1" s="1"/>
  <c r="J64" i="1"/>
  <c r="F64" i="1"/>
  <c r="G64" i="1" s="1"/>
  <c r="J63" i="1"/>
  <c r="F63" i="1"/>
  <c r="G63" i="1" s="1"/>
  <c r="I62" i="1"/>
  <c r="E62" i="1"/>
  <c r="I61" i="1"/>
  <c r="J61" i="1" s="1"/>
  <c r="J60" i="1"/>
  <c r="F60" i="1"/>
  <c r="G60" i="1" s="1"/>
  <c r="J59" i="1"/>
  <c r="F59" i="1"/>
  <c r="G59" i="1" s="1"/>
  <c r="J58" i="1"/>
  <c r="F58" i="1"/>
  <c r="G58" i="1" s="1"/>
  <c r="J57" i="1"/>
  <c r="F57" i="1"/>
  <c r="G57" i="1" s="1"/>
  <c r="J56" i="1"/>
  <c r="F56" i="1"/>
  <c r="G56" i="1" s="1"/>
  <c r="J55" i="1"/>
  <c r="F55" i="1"/>
  <c r="G55" i="1" s="1"/>
  <c r="J54" i="1"/>
  <c r="F54" i="1"/>
  <c r="G54" i="1" s="1"/>
  <c r="J53" i="1"/>
  <c r="F53" i="1"/>
  <c r="G53" i="1" s="1"/>
  <c r="J52" i="1"/>
  <c r="F52" i="1"/>
  <c r="G52" i="1" s="1"/>
  <c r="J51" i="1"/>
  <c r="F51" i="1"/>
  <c r="G51" i="1" s="1"/>
  <c r="I50" i="1"/>
  <c r="E50" i="1"/>
  <c r="J49" i="1"/>
  <c r="F49" i="1"/>
  <c r="G49" i="1" s="1"/>
  <c r="J48" i="1"/>
  <c r="F48" i="1"/>
  <c r="I47" i="1"/>
  <c r="E47" i="1"/>
  <c r="J46" i="1"/>
  <c r="F46" i="1"/>
  <c r="G46" i="1" s="1"/>
  <c r="J45" i="1"/>
  <c r="F45" i="1"/>
  <c r="G45" i="1" s="1"/>
  <c r="J44" i="1"/>
  <c r="F44" i="1"/>
  <c r="G44" i="1" s="1"/>
  <c r="I41" i="1"/>
  <c r="J40" i="1"/>
  <c r="F40" i="1"/>
  <c r="G40" i="1" s="1"/>
  <c r="I39" i="1"/>
  <c r="J39" i="1" s="1"/>
  <c r="F39" i="1"/>
  <c r="G39" i="1" s="1"/>
  <c r="I38" i="1"/>
  <c r="J38" i="1" s="1"/>
  <c r="F38" i="1"/>
  <c r="G38" i="1" s="1"/>
  <c r="E37" i="1"/>
  <c r="J36" i="1"/>
  <c r="F36" i="1"/>
  <c r="J35" i="1"/>
  <c r="F35" i="1"/>
  <c r="G35" i="1" s="1"/>
  <c r="I34" i="1"/>
  <c r="E34" i="1"/>
  <c r="J33" i="1"/>
  <c r="F33" i="1"/>
  <c r="G33" i="1" s="1"/>
  <c r="J32" i="1"/>
  <c r="F32" i="1"/>
  <c r="G32" i="1" s="1"/>
  <c r="J31" i="1"/>
  <c r="F31" i="1"/>
  <c r="G31" i="1" s="1"/>
  <c r="J30" i="1"/>
  <c r="F30" i="1"/>
  <c r="G30" i="1" s="1"/>
  <c r="J29" i="1"/>
  <c r="F29" i="1"/>
  <c r="G29" i="1" s="1"/>
  <c r="J28" i="1"/>
  <c r="F28" i="1"/>
  <c r="G28" i="1" s="1"/>
  <c r="I27" i="1"/>
  <c r="E27" i="1"/>
  <c r="J26" i="1"/>
  <c r="F26" i="1"/>
  <c r="G26" i="1" s="1"/>
  <c r="J25" i="1"/>
  <c r="F25" i="1"/>
  <c r="G25" i="1" s="1"/>
  <c r="J24" i="1"/>
  <c r="F24" i="1"/>
  <c r="G24" i="1" s="1"/>
  <c r="I23" i="1"/>
  <c r="E23" i="1"/>
  <c r="J21" i="1"/>
  <c r="F21" i="1"/>
  <c r="G21" i="1" s="1"/>
  <c r="J20" i="1"/>
  <c r="F20" i="1"/>
  <c r="G20" i="1" s="1"/>
  <c r="I19" i="1"/>
  <c r="E19" i="1"/>
  <c r="J18" i="1"/>
  <c r="F18" i="1"/>
  <c r="G18" i="1" s="1"/>
  <c r="J17" i="1"/>
  <c r="F17" i="1"/>
  <c r="G17" i="1" s="1"/>
  <c r="I16" i="1"/>
  <c r="E16" i="1"/>
  <c r="J15" i="1"/>
  <c r="F15" i="1"/>
  <c r="G15" i="1" s="1"/>
  <c r="J14" i="1"/>
  <c r="F14" i="1"/>
  <c r="G14" i="1" s="1"/>
  <c r="I13" i="1"/>
  <c r="E13" i="1"/>
  <c r="J12" i="1"/>
  <c r="F12" i="1"/>
  <c r="G12" i="1" s="1"/>
  <c r="J11" i="1"/>
  <c r="F11" i="1"/>
  <c r="I10" i="1"/>
  <c r="E10" i="1"/>
  <c r="J8" i="1"/>
  <c r="F8" i="1"/>
  <c r="G8" i="1" s="1"/>
  <c r="I7" i="1"/>
  <c r="E7" i="1"/>
  <c r="E228" i="1" l="1"/>
  <c r="E195" i="1" s="1"/>
  <c r="I201" i="1"/>
  <c r="J201" i="1" s="1"/>
  <c r="J16" i="1"/>
  <c r="J213" i="1"/>
  <c r="J92" i="1"/>
  <c r="E6" i="1"/>
  <c r="J27" i="1"/>
  <c r="E9" i="1"/>
  <c r="I219" i="1"/>
  <c r="I218" i="1" s="1"/>
  <c r="J218" i="1" s="1"/>
  <c r="F213" i="1"/>
  <c r="G213" i="1" s="1"/>
  <c r="F197" i="1"/>
  <c r="G197" i="1" s="1"/>
  <c r="F153" i="1"/>
  <c r="J249" i="1"/>
  <c r="I228" i="1"/>
  <c r="I43" i="1"/>
  <c r="I42" i="1" s="1"/>
  <c r="I87" i="1"/>
  <c r="E175" i="1"/>
  <c r="I83" i="1"/>
  <c r="J83" i="1" s="1"/>
  <c r="J10" i="1"/>
  <c r="I170" i="1"/>
  <c r="J170" i="1" s="1"/>
  <c r="J34" i="1"/>
  <c r="F87" i="1"/>
  <c r="G87" i="1" s="1"/>
  <c r="F201" i="1"/>
  <c r="G201" i="1" s="1"/>
  <c r="J233" i="1"/>
  <c r="I22" i="1"/>
  <c r="E43" i="1"/>
  <c r="E42" i="1" s="1"/>
  <c r="J135" i="1"/>
  <c r="F50" i="1"/>
  <c r="G50" i="1" s="1"/>
  <c r="J62" i="1"/>
  <c r="J136" i="1"/>
  <c r="J77" i="1"/>
  <c r="F246" i="1"/>
  <c r="G246" i="1" s="1"/>
  <c r="G257" i="1"/>
  <c r="F77" i="1"/>
  <c r="G77" i="1" s="1"/>
  <c r="F124" i="1"/>
  <c r="G124" i="1" s="1"/>
  <c r="J257" i="1"/>
  <c r="J19" i="1"/>
  <c r="E160" i="1"/>
  <c r="F218" i="1"/>
  <c r="G218" i="1" s="1"/>
  <c r="J73" i="1"/>
  <c r="J128" i="1"/>
  <c r="J50" i="1"/>
  <c r="G215" i="1"/>
  <c r="G219" i="1"/>
  <c r="J246" i="1"/>
  <c r="F27" i="1"/>
  <c r="G27" i="1" s="1"/>
  <c r="I153" i="1"/>
  <c r="J153" i="1" s="1"/>
  <c r="F23" i="1"/>
  <c r="F34" i="1"/>
  <c r="G34" i="1" s="1"/>
  <c r="G78" i="1"/>
  <c r="F128" i="1"/>
  <c r="G128" i="1" s="1"/>
  <c r="G36" i="1"/>
  <c r="J47" i="1"/>
  <c r="J123" i="1"/>
  <c r="E130" i="1"/>
  <c r="F19" i="1"/>
  <c r="G19" i="1" s="1"/>
  <c r="J229" i="1"/>
  <c r="I37" i="1"/>
  <c r="J37" i="1" s="1"/>
  <c r="E76" i="1"/>
  <c r="J230" i="1"/>
  <c r="F80" i="1"/>
  <c r="G80" i="1" s="1"/>
  <c r="F170" i="1"/>
  <c r="G170" i="1" s="1"/>
  <c r="F176" i="1"/>
  <c r="G176" i="1" s="1"/>
  <c r="G199" i="1"/>
  <c r="J242" i="1"/>
  <c r="F249" i="1"/>
  <c r="G249" i="1" s="1"/>
  <c r="F10" i="1"/>
  <c r="G10" i="1" s="1"/>
  <c r="F16" i="1"/>
  <c r="G16" i="1" s="1"/>
  <c r="G126" i="1"/>
  <c r="F209" i="1"/>
  <c r="G209" i="1" s="1"/>
  <c r="J41" i="1"/>
  <c r="F112" i="1"/>
  <c r="F7" i="1"/>
  <c r="F37" i="1"/>
  <c r="G37" i="1" s="1"/>
  <c r="J80" i="1"/>
  <c r="J23" i="1"/>
  <c r="E22" i="1"/>
  <c r="I6" i="1"/>
  <c r="J7" i="1"/>
  <c r="J13" i="1"/>
  <c r="I9" i="1"/>
  <c r="F47" i="1"/>
  <c r="G47" i="1" s="1"/>
  <c r="G48" i="1"/>
  <c r="F13" i="1"/>
  <c r="G73" i="1"/>
  <c r="G94" i="1"/>
  <c r="F92" i="1"/>
  <c r="G92" i="1" s="1"/>
  <c r="F95" i="1"/>
  <c r="G95" i="1" s="1"/>
  <c r="G96" i="1"/>
  <c r="J104" i="1"/>
  <c r="I95" i="1"/>
  <c r="J95" i="1" s="1"/>
  <c r="G11" i="1"/>
  <c r="G74" i="1"/>
  <c r="J124" i="1"/>
  <c r="F135" i="1"/>
  <c r="G135" i="1" s="1"/>
  <c r="J161" i="1"/>
  <c r="J183" i="1"/>
  <c r="I182" i="1"/>
  <c r="J182" i="1" s="1"/>
  <c r="J154" i="1"/>
  <c r="I185" i="1"/>
  <c r="J185" i="1" s="1"/>
  <c r="F229" i="1"/>
  <c r="I205" i="1"/>
  <c r="J205" i="1" s="1"/>
  <c r="J207" i="1"/>
  <c r="F83" i="1"/>
  <c r="G83" i="1" s="1"/>
  <c r="J113" i="1"/>
  <c r="G171" i="1"/>
  <c r="G186" i="1"/>
  <c r="F185" i="1"/>
  <c r="G185" i="1" s="1"/>
  <c r="F62" i="1"/>
  <c r="G62" i="1" s="1"/>
  <c r="I176" i="1"/>
  <c r="J199" i="1"/>
  <c r="I197" i="1"/>
  <c r="F242" i="1"/>
  <c r="G242" i="1" s="1"/>
  <c r="F161" i="1"/>
  <c r="J112" i="1"/>
  <c r="F205" i="1"/>
  <c r="G205" i="1" s="1"/>
  <c r="F182" i="1"/>
  <c r="G182" i="1" s="1"/>
  <c r="J244" i="1"/>
  <c r="G250" i="1"/>
  <c r="I209" i="1"/>
  <c r="J209" i="1" s="1"/>
  <c r="I265" i="1"/>
  <c r="I266" i="1" s="1"/>
  <c r="J9" i="1" l="1"/>
  <c r="F149" i="1"/>
  <c r="G149" i="1" s="1"/>
  <c r="J228" i="1"/>
  <c r="J6" i="1"/>
  <c r="I149" i="1"/>
  <c r="I130" i="1" s="1"/>
  <c r="I160" i="1"/>
  <c r="J160" i="1" s="1"/>
  <c r="G153" i="1"/>
  <c r="I217" i="1"/>
  <c r="J217" i="1" s="1"/>
  <c r="J219" i="1"/>
  <c r="F22" i="1"/>
  <c r="G22" i="1" s="1"/>
  <c r="I76" i="1"/>
  <c r="J76" i="1" s="1"/>
  <c r="F123" i="1"/>
  <c r="G123" i="1" s="1"/>
  <c r="J87" i="1"/>
  <c r="F217" i="1"/>
  <c r="J22" i="1"/>
  <c r="E260" i="1"/>
  <c r="E262" i="1" s="1"/>
  <c r="J43" i="1"/>
  <c r="J42" i="1"/>
  <c r="G23" i="1"/>
  <c r="G112" i="1"/>
  <c r="F76" i="1"/>
  <c r="G76" i="1" s="1"/>
  <c r="F6" i="1"/>
  <c r="G6" i="1" s="1"/>
  <c r="G7" i="1"/>
  <c r="F43" i="1"/>
  <c r="F42" i="1" s="1"/>
  <c r="F175" i="1"/>
  <c r="G175" i="1" s="1"/>
  <c r="G161" i="1"/>
  <c r="F160" i="1"/>
  <c r="G160" i="1" s="1"/>
  <c r="E91" i="1"/>
  <c r="G41" i="1"/>
  <c r="G229" i="1"/>
  <c r="F228" i="1"/>
  <c r="G228" i="1" s="1"/>
  <c r="J197" i="1"/>
  <c r="J176" i="1"/>
  <c r="I175" i="1"/>
  <c r="J175" i="1" s="1"/>
  <c r="F9" i="1"/>
  <c r="G9" i="1" s="1"/>
  <c r="G13" i="1"/>
  <c r="G217" i="1" l="1"/>
  <c r="F195" i="1"/>
  <c r="G195" i="1" s="1"/>
  <c r="F130" i="1"/>
  <c r="G130" i="1" s="1"/>
  <c r="I91" i="1"/>
  <c r="J91" i="1" s="1"/>
  <c r="I195" i="1"/>
  <c r="J195" i="1" s="1"/>
  <c r="J149" i="1"/>
  <c r="J130" i="1"/>
  <c r="G43" i="1"/>
  <c r="E106" i="1"/>
  <c r="E263" i="1" s="1"/>
  <c r="E3" i="1"/>
  <c r="I106" i="1" l="1"/>
  <c r="J106" i="1" s="1"/>
  <c r="I260" i="1"/>
  <c r="J260" i="1" s="1"/>
  <c r="G42" i="1"/>
  <c r="F91" i="1"/>
  <c r="F3" i="1" s="1"/>
  <c r="F260" i="1"/>
  <c r="I262" i="1" l="1"/>
  <c r="J262" i="1" s="1"/>
  <c r="G91" i="1"/>
  <c r="F106" i="1"/>
  <c r="G260" i="1"/>
  <c r="F262" i="1"/>
  <c r="G262" i="1" s="1"/>
  <c r="I263" i="1" l="1"/>
  <c r="J263" i="1" s="1"/>
  <c r="F263" i="1"/>
  <c r="G263" i="1" s="1"/>
  <c r="G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61" authorId="0" shapeId="0" xr:uid="{7CBB6E35-7B05-47FB-8F4F-9284223C610E}">
      <text>
        <r>
          <rPr>
            <b/>
            <sz val="9"/>
            <color indexed="81"/>
            <rFont val="Tahoma"/>
            <family val="2"/>
            <charset val="186"/>
          </rPr>
          <t>Sarmīte Mūze:</t>
        </r>
        <r>
          <rPr>
            <sz val="9"/>
            <color indexed="81"/>
            <rFont val="Tahoma"/>
            <family val="2"/>
            <charset val="186"/>
          </rPr>
          <t xml:space="preserve">
1010 supervizijas EKK 18.6.3.</t>
        </r>
      </text>
    </comment>
    <comment ref="I156" authorId="0" shapeId="0" xr:uid="{1D8041D4-96CA-4E41-8618-1BBBB819E88A}">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List>
</comments>
</file>

<file path=xl/sharedStrings.xml><?xml version="1.0" encoding="utf-8"?>
<sst xmlns="http://schemas.openxmlformats.org/spreadsheetml/2006/main" count="772" uniqueCount="631">
  <si>
    <t>Ādažu pašvaldības apvienotais budžets</t>
  </si>
  <si>
    <t>2025. gads</t>
  </si>
  <si>
    <t xml:space="preserve">Ieņēmumu daļa </t>
  </si>
  <si>
    <t xml:space="preserve">N.p.k. </t>
  </si>
  <si>
    <t>Sadaļa</t>
  </si>
  <si>
    <t>CKS</t>
  </si>
  <si>
    <t>2025. gada budžets</t>
  </si>
  <si>
    <t>27.03.2025. grozījumi</t>
  </si>
  <si>
    <t>Izmaiņa 27.03.2025. - 22.01.2025.</t>
  </si>
  <si>
    <t xml:space="preserve">Komentāri </t>
  </si>
  <si>
    <t>30.09.2024. fakts</t>
  </si>
  <si>
    <t>30.09.2024. fakts (%) pret 2024. plānu</t>
  </si>
  <si>
    <t>Komentāri par izpildi</t>
  </si>
  <si>
    <t>1., 2., 3., 4., 5.</t>
  </si>
  <si>
    <t>Nodokļu ieņēmumi</t>
  </si>
  <si>
    <t>1.1.1.0.</t>
  </si>
  <si>
    <t>1.</t>
  </si>
  <si>
    <t>Iedzīvotāju ienākuma nodoklis</t>
  </si>
  <si>
    <t>PB</t>
  </si>
  <si>
    <t>01.1.1.2.</t>
  </si>
  <si>
    <t>1.1.</t>
  </si>
  <si>
    <t>pārskata gada</t>
  </si>
  <si>
    <t>I.cet. 21%, II.cet.23%. III.cet.28%, IV.cet. 28%</t>
  </si>
  <si>
    <t>1., 2., 3., 4.</t>
  </si>
  <si>
    <t>Nekustamā īpašuma nodokļu ieņēmumi</t>
  </si>
  <si>
    <t>Rēķins par visu gadu gada sākumā, var nomaksāt 4os maksājumos.</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</si>
  <si>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</si>
  <si>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</si>
  <si>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</si>
  <si>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</si>
  <si>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</si>
  <si>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</si>
  <si>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</si>
  <si>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</si>
  <si>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</si>
  <si>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</si>
  <si>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</si>
  <si>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</si>
  <si>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</si>
  <si>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</si>
  <si>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</si>
  <si>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</si>
  <si>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</si>
  <si>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</si>
  <si>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</si>
  <si>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</si>
  <si>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</si>
  <si>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</si>
  <si>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</si>
  <si>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</si>
  <si>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</si>
  <si>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</si>
  <si>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</si>
  <si>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</si>
  <si>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</si>
  <si>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</si>
  <si>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</si>
  <si>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</si>
  <si>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</si>
  <si>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</si>
  <si>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</si>
  <si>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</si>
  <si>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</si>
  <si>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</si>
  <si>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</si>
  <si>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</si>
  <si>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</si>
  <si>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</si>
  <si>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</si>
  <si>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</si>
  <si>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</si>
  <si>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</si>
  <si>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</si>
  <si>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</si>
  <si>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</si>
  <si>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</si>
  <si>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</si>
  <si>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</si>
  <si>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</si>
  <si>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</si>
  <si>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</si>
  <si>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</si>
  <si>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</si>
  <si>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</si>
  <si>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</si>
  <si>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</si>
  <si>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</si>
  <si>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</si>
  <si>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</si>
  <si>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</si>
  <si>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</si>
  <si>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</si>
  <si>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</si>
  <si>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</si>
  <si>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</si>
  <si>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</si>
  <si>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</si>
  <si>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</si>
  <si>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</si>
  <si>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</si>
  <si>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</si>
  <si>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</si>
  <si>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</si>
  <si>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8.3.9.0.; 8.6.1.2.; 8.6.4.0.; 12.3.9.9.</t>
  </si>
  <si>
    <t>8.1.</t>
  </si>
  <si>
    <t>citi nenodokļu ieņēmumi</t>
  </si>
  <si>
    <t>EUR 89 565 - % ieņēmumi no nakts depozīta; 
EUR 31 000 - iedzīvotāju līdzfinansējums par Mežmalas ielu;
EUR 30 153 - nodrošinājuma maksa par izsolēm.</t>
  </si>
  <si>
    <t>12.3.9.5.</t>
  </si>
  <si>
    <t>8.2.</t>
  </si>
  <si>
    <t>līgumsodi un procentu maksājumi par saistību neizpildi</t>
  </si>
  <si>
    <t>Soda nauda trenažieru iepirkumam EUR 2'509; CKS EUR 4'104</t>
  </si>
  <si>
    <t>12.2.3.0.</t>
  </si>
  <si>
    <t>8.3.</t>
  </si>
  <si>
    <t>ieņēmumi no zvejas tiesību nomas</t>
  </si>
  <si>
    <t>13.1.0.0.</t>
  </si>
  <si>
    <t>9.</t>
  </si>
  <si>
    <t>Ieņēmumi no pašvaldības īpašuma pārdošana</t>
  </si>
  <si>
    <t>NĪ daļas kompetencē. Nav vēl ienākusi nauda par izsolēm lētas īres mājokļu būvniecībai EUR….. apmērā.</t>
  </si>
  <si>
    <t>10.</t>
  </si>
  <si>
    <t>Valsts budžeta transferti un projektu finansējums</t>
  </si>
  <si>
    <t>10.1.</t>
  </si>
  <si>
    <t>Valsts budžeta transferti</t>
  </si>
  <si>
    <t>mērķdotācija</t>
  </si>
  <si>
    <t>18.6.2.3.</t>
  </si>
  <si>
    <t>10.1.1.</t>
  </si>
  <si>
    <t>dotācija mākslas skolas algām</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</si>
  <si>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</si>
  <si>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</si>
  <si>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</si>
  <si>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</si>
  <si>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</si>
  <si>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</si>
  <si>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</si>
  <si>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</si>
  <si>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</si>
  <si>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</si>
  <si>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</si>
  <si>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</si>
  <si>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</si>
  <si>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</si>
  <si>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</si>
  <si>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</si>
  <si>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</si>
  <si>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</si>
  <si>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</si>
  <si>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</si>
  <si>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</si>
  <si>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</si>
  <si>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</si>
  <si>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</si>
  <si>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 xml:space="preserve">Koriģēts interešu izgl. finansējums saskaņā ar 30.01. rīkojumu </t>
  </si>
  <si>
    <t>18.6.2.9.</t>
  </si>
  <si>
    <t>10.1.6.</t>
  </si>
  <si>
    <t>dotācija māksliniecisko kolektīvu vadītāju atalgojumam</t>
  </si>
  <si>
    <t>18.6.2.14.</t>
  </si>
  <si>
    <t>10.1.7.</t>
  </si>
  <si>
    <t>Projekts "Skolas soma" Ādaži</t>
  </si>
  <si>
    <t>10.1.8.</t>
  </si>
  <si>
    <t>Projekts "Skolas soma" Carnikava</t>
  </si>
  <si>
    <t>18.6.2.7.</t>
  </si>
  <si>
    <t>10.1.9.</t>
  </si>
  <si>
    <t>dotācija asistenta pakalpojumu nodrošināšanai</t>
  </si>
  <si>
    <t>10.1.10.</t>
  </si>
  <si>
    <t>0420 (18.6.2.9.)</t>
  </si>
  <si>
    <t>10.1.11.</t>
  </si>
  <si>
    <t>valsts dotācija ceļu uzturēšanai</t>
  </si>
  <si>
    <t>Tiek ieskaitīts reizi ceturksnī.</t>
  </si>
  <si>
    <t>18.6.2.20.</t>
  </si>
  <si>
    <t>10.1.12.</t>
  </si>
  <si>
    <t>Dotācijas Ukrainas pilsoņu atbalstam</t>
  </si>
  <si>
    <t>Pēc faktiskās izpildes.</t>
  </si>
  <si>
    <t>10.1.13.</t>
  </si>
  <si>
    <t>Dotācijas "Energoresursu atbalsts"</t>
  </si>
  <si>
    <t>18.6.2.6.1.</t>
  </si>
  <si>
    <t>Dotācija nodarbinātības pasākumiem</t>
  </si>
  <si>
    <t>0630</t>
  </si>
  <si>
    <t>18.6.2.9.; 18.6.2.6.1.</t>
  </si>
  <si>
    <t>pārējās dotācijas</t>
  </si>
  <si>
    <t>RPR Reemigrācijas konkurss EUR 18 000;
Soc. pabalsti pēc faktiskājām izmaksām EUR 72 858;
CVK finansējums EP vēlēšanām EUR 47 233;
Bezdarbnieku atlīdzība, koord.darba samaksa EUR 17 448;
VB dotācija KAC uzturēšanai EUR 8147.</t>
  </si>
  <si>
    <t>10.2.</t>
  </si>
  <si>
    <t>ES struktūrfondu līdzekļi un aktivitāšu līdzfinansējumi</t>
  </si>
  <si>
    <t>Saskaņā ar projekta NP</t>
  </si>
  <si>
    <t>0634</t>
  </si>
  <si>
    <t>10.2.1.</t>
  </si>
  <si>
    <t>0632.5</t>
  </si>
  <si>
    <t>10.2.2.</t>
  </si>
  <si>
    <t>TEP “Atjaunojamo energoresursu izmantošana Ādažu novadā” (EUCF)</t>
  </si>
  <si>
    <t xml:space="preserve">0631.4 </t>
  </si>
  <si>
    <t>10.2.3.</t>
  </si>
  <si>
    <t>Projekts “Infrastruktūras uzlabošana uzņēmējdarbības attīstībai Ādažos”</t>
  </si>
  <si>
    <t>0631.3</t>
  </si>
  <si>
    <t>10.2.4.</t>
  </si>
  <si>
    <t>Publiskās ārtelpas izveide Gaujas ielā 31 Ādažos</t>
  </si>
  <si>
    <t>10.2.5.</t>
  </si>
  <si>
    <t>10.2.6.</t>
  </si>
  <si>
    <t>Projekts jauniešu asociāciju federācija Eiropas mobilitātei. CERV programmas projekts "YOUTth and democracy: empowering Europe's next generation"</t>
  </si>
  <si>
    <t>10.2.7.</t>
  </si>
  <si>
    <t>0632.6</t>
  </si>
  <si>
    <t>10.2.8.</t>
  </si>
  <si>
    <t>LIFE NewBauhaus projekts</t>
  </si>
  <si>
    <t>10.2.9.</t>
  </si>
  <si>
    <t>SAM 9.2.4.2. projekts "Pasākumi vietējās sabiedrības veselības veicināšanai Ādažu novadā"</t>
  </si>
  <si>
    <t>0634.1</t>
  </si>
  <si>
    <t>Jaunais plūdu projekts - 2.1.3.2. "Nacionālas nozīmes plūdu un krasta erozijas pasākumi" 1.daļa</t>
  </si>
  <si>
    <t>0631.2</t>
  </si>
  <si>
    <t>Krastupes ielas projekts</t>
  </si>
  <si>
    <t>Nebija plānots???</t>
  </si>
  <si>
    <t>0903</t>
  </si>
  <si>
    <t>Jaunas pirmsskolas izglītības iestādes Podniekos būvniecība</t>
  </si>
  <si>
    <t>ERASMUS + projekti</t>
  </si>
  <si>
    <t xml:space="preserve">0633.1 </t>
  </si>
  <si>
    <t xml:space="preserve"> ”Mobilitātes punkta infrastruktūras izveidošana Rīgas metropoles areālā – “Carnikava””</t>
  </si>
  <si>
    <t>0633.2</t>
  </si>
  <si>
    <t>Maģistrālā  veloceļa izbūve Rīga-Carnikava</t>
  </si>
  <si>
    <t>"Blusu" kroga pārbūves tehniskā projekta izstrāde</t>
  </si>
  <si>
    <t>11.</t>
  </si>
  <si>
    <t>Pašvaldību budžeta transferti</t>
  </si>
  <si>
    <t>19.2.1.0.</t>
  </si>
  <si>
    <t>11.1.</t>
  </si>
  <si>
    <t>no citām pašvaldībām izglītības funkciju nodrošināšanai</t>
  </si>
  <si>
    <t>Maksājumi tiek veikti 3x gadā.</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</si>
  <si>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</si>
  <si>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</si>
  <si>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</si>
  <si>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</si>
  <si>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</si>
  <si>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</si>
  <si>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</si>
  <si>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</si>
  <si>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</si>
  <si>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</si>
  <si>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</si>
  <si>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</si>
  <si>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</si>
  <si>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</si>
  <si>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</si>
  <si>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t>
  </si>
  <si>
    <t>21.1.9.1.</t>
  </si>
  <si>
    <t>12.2.1.</t>
  </si>
  <si>
    <t>ERASMUS programmas projekts "Nacionālie koordinatori dalības pieaugušo izglītībā veicināšanai Latvijā" (realizē Izglītības nodaļa).</t>
  </si>
  <si>
    <t>0630.2</t>
  </si>
  <si>
    <t>12.2.2.</t>
  </si>
  <si>
    <t>citi pārrobežu projektu ieņēmumi</t>
  </si>
  <si>
    <t>21.3.8.0.</t>
  </si>
  <si>
    <t>12.3.</t>
  </si>
  <si>
    <t>ieņēmumi par nomu un īri</t>
  </si>
  <si>
    <t>21.3.8.1.</t>
  </si>
  <si>
    <t>12.3.1.</t>
  </si>
  <si>
    <t>ieņēmumi par telpu nomu</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</si>
  <si>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</si>
  <si>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</si>
  <si>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</si>
  <si>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</si>
  <si>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</si>
  <si>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</si>
  <si>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</si>
  <si>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</si>
  <si>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</si>
  <si>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</si>
  <si>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</si>
  <si>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</si>
  <si>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</si>
  <si>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</si>
  <si>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21.3.9.9.; CKS</t>
  </si>
  <si>
    <t>12.5.</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</si>
  <si>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</si>
  <si>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</si>
  <si>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</si>
  <si>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</si>
  <si>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</si>
  <si>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</si>
  <si>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</si>
  <si>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</si>
  <si>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</si>
  <si>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</si>
  <si>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Par projektiem ziņo IDR</t>
  </si>
  <si>
    <t>14.1.</t>
  </si>
  <si>
    <t>Aizņēmums skolas ielas rekonstrukcijai</t>
  </si>
  <si>
    <t>14.2.</t>
  </si>
  <si>
    <t>F40321210</t>
  </si>
  <si>
    <t>14.5.</t>
  </si>
  <si>
    <t>Āra lifta izbūve pie A korpusa</t>
  </si>
  <si>
    <t>14.4.</t>
  </si>
  <si>
    <t>Ādažu vidusskolas D korpusa siltināšana</t>
  </si>
  <si>
    <t>14.6.</t>
  </si>
  <si>
    <t>Ādažu vidusskolas ēkas A korpusa, savienojuma daļas starp korpusiem (A un B), kā arī, vidusskolas centrālās daļas, tai skaitā torņa fasādes atjaunošana.</t>
  </si>
  <si>
    <t>Noslēgts aizņēmuma līgums ar VK</t>
  </si>
  <si>
    <t xml:space="preserve">Dzirnupes ielas tilta pārbūve I kārta </t>
  </si>
  <si>
    <t>14.10.</t>
  </si>
  <si>
    <t>Saņemts pozitīvs FM lēmums aizdevuma piešķiršanai.</t>
  </si>
  <si>
    <t>14.11.</t>
  </si>
  <si>
    <t>14.12.</t>
  </si>
  <si>
    <t>14.13.</t>
  </si>
  <si>
    <t>PAVISAM KOPĀ IEŅĒMUMI:</t>
  </si>
  <si>
    <t xml:space="preserve">Izdevumu daļa </t>
  </si>
  <si>
    <t>2024. gada budžets</t>
  </si>
  <si>
    <t>25.01.2024. grozījumi</t>
  </si>
  <si>
    <t>Izmaiņa 23.03.2023. - 26.01.2023.</t>
  </si>
  <si>
    <t>Komentāri</t>
  </si>
  <si>
    <t>Vispārējie valdības dienesti</t>
  </si>
  <si>
    <t>0110</t>
  </si>
  <si>
    <t>pārvalde</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</si>
  <si>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</si>
  <si>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</si>
  <si>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</si>
  <si>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</si>
  <si>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</si>
  <si>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</si>
  <si>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</si>
  <si>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</si>
  <si>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</si>
  <si>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</si>
  <si>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</si>
  <si>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</si>
  <si>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</si>
  <si>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</si>
  <si>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</si>
  <si>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</si>
  <si>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</si>
  <si>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1.8.</t>
  </si>
  <si>
    <t>Iemaksas PFIF</t>
  </si>
  <si>
    <t>0170</t>
  </si>
  <si>
    <t>1.9.</t>
  </si>
  <si>
    <t>Informācijas tehnoloģiju nodaļa, vispārējas nozīmes dienestu darbība un pakalpojumi - datortīkla uzturēšana ©</t>
  </si>
  <si>
    <t>0340</t>
  </si>
  <si>
    <t>Sabiedriskā kārtība un drošība</t>
  </si>
  <si>
    <t>Ekonomiskā darbība</t>
  </si>
  <si>
    <t>0490</t>
  </si>
  <si>
    <t>Sabiedriskās attiecības, laikraksts</t>
  </si>
  <si>
    <t>3.1.1.</t>
  </si>
  <si>
    <t>Sabiedrisko attiecību nodaļa</t>
  </si>
  <si>
    <t>3.1.2.</t>
  </si>
  <si>
    <t>Ādažu vēstis</t>
  </si>
  <si>
    <t>0420</t>
  </si>
  <si>
    <t>Autoceļu fonds</t>
  </si>
  <si>
    <t>Realizē CKS</t>
  </si>
  <si>
    <t>Vides aizsardzība</t>
  </si>
  <si>
    <t>0510</t>
  </si>
  <si>
    <t>Dabas resursu nodokļa izlietojums</t>
  </si>
  <si>
    <t>Pašvaldības DRN maksājums</t>
  </si>
  <si>
    <t>Pašvaldības teritoriju un mājokļu apsaimniekošana</t>
  </si>
  <si>
    <t>0610</t>
  </si>
  <si>
    <t>Izdevumi neparedzētiem gadījumiem</t>
  </si>
  <si>
    <t>0690</t>
  </si>
  <si>
    <t>5.2.</t>
  </si>
  <si>
    <t>Līdzdalības budžets</t>
  </si>
  <si>
    <t>0620</t>
  </si>
  <si>
    <t>5.3.</t>
  </si>
  <si>
    <t>Būvvalde</t>
  </si>
  <si>
    <t>0660</t>
  </si>
  <si>
    <t>5.4.</t>
  </si>
  <si>
    <t>Teritorijas plānošanas nodaļa</t>
  </si>
  <si>
    <t>5.5.</t>
  </si>
  <si>
    <t>Attīstības un projektu nodaļa</t>
  </si>
  <si>
    <t>5.5.1.</t>
  </si>
  <si>
    <t>nodaļa</t>
  </si>
  <si>
    <t>0630.1</t>
  </si>
  <si>
    <t>5.5.2.</t>
  </si>
  <si>
    <t>Projekts "Sabiedrība ar dvēseli"</t>
  </si>
  <si>
    <t>5.5.3.</t>
  </si>
  <si>
    <t>Iedzīvotāju iniciatīvas un konkursi.</t>
  </si>
  <si>
    <t>5.5.4.</t>
  </si>
  <si>
    <t>Par projekta gaitu ziņo izpilddirektors.</t>
  </si>
  <si>
    <t>0633.1</t>
  </si>
  <si>
    <t>5.5.5.</t>
  </si>
  <si>
    <t>”Mobilitātes punkta infrastruktūras izveidošana Rīgas metropoles areālā – “Carnikava””</t>
  </si>
  <si>
    <t>5.5.6.</t>
  </si>
  <si>
    <t>0632.7</t>
  </si>
  <si>
    <t>5.5.7.</t>
  </si>
  <si>
    <t>"Upesceļi II/Ūdenstūrisma pieejamības veicināšana (RiverwaysII/Facilitating access to watertourism activities)".</t>
  </si>
  <si>
    <t>5.5.8.</t>
  </si>
  <si>
    <t>5.5.9.</t>
  </si>
  <si>
    <t>5.5.10.</t>
  </si>
  <si>
    <t>5.5.11.</t>
  </si>
  <si>
    <t>5.5.12.</t>
  </si>
  <si>
    <t>"Blusu" kroga pārbūves tehniskā projekta izstrāde.</t>
  </si>
  <si>
    <t>5.5.13.</t>
  </si>
  <si>
    <t>5.6.</t>
  </si>
  <si>
    <t>Objektu un teritorijas apsaimniekošana un uzturēšana</t>
  </si>
  <si>
    <t>0670</t>
  </si>
  <si>
    <t>5.6.1.</t>
  </si>
  <si>
    <t xml:space="preserve">Nekustamā īpašuma nodaļa </t>
  </si>
  <si>
    <t>EUR 1 037 000 nekustamā īpašuma Liepnieki iegāde</t>
  </si>
  <si>
    <t>5.6.2.</t>
  </si>
  <si>
    <t>SAM 5.1.1. Pretplūdu pasākumi Ādažu centra polderī, Ādažu novadā</t>
  </si>
  <si>
    <t>5.6.3.</t>
  </si>
  <si>
    <t>5.6.4.</t>
  </si>
  <si>
    <t>P/A "Carnikavas komunālserviss" teritorijas un īpašumu apsaimniekošana</t>
  </si>
  <si>
    <t>5.6.4.1.</t>
  </si>
  <si>
    <t>Dotācija CKS teritorijas uzturēšanai</t>
  </si>
  <si>
    <t>5.6.4.2.</t>
  </si>
  <si>
    <t>Dotācija CKS ceļu uzturēšanai</t>
  </si>
  <si>
    <t>5.6.4.3.</t>
  </si>
  <si>
    <t>Teritorijas uzturēšana (Dome)</t>
  </si>
  <si>
    <t>5.6.5.</t>
  </si>
  <si>
    <t>Investīcijas energosaimniecības uzlabošanā</t>
  </si>
  <si>
    <t>Par projekta gaitu ziņo CKS.</t>
  </si>
  <si>
    <t>5.6.6.</t>
  </si>
  <si>
    <t>Investīcijas vides pārvaldībā un uzlabošanā</t>
  </si>
  <si>
    <t>5.6.7.</t>
  </si>
  <si>
    <t>Investīcijas ceļu, ielu infrastruktūras attīstībā un uzlabošanā</t>
  </si>
  <si>
    <t>Atpūta, kultūra un reliģija</t>
  </si>
  <si>
    <t>Kultūra</t>
  </si>
  <si>
    <t>0841.1</t>
  </si>
  <si>
    <t xml:space="preserve">Ādažu kultūras centrs </t>
  </si>
  <si>
    <t>Lielākās izmaksas maijā - Gaujas svētki, pasākumi siltajā sezonā.</t>
  </si>
  <si>
    <t>0841.2</t>
  </si>
  <si>
    <t>Tautas nams "Ozolaine" ©</t>
  </si>
  <si>
    <t>Lielākās izmaksas - Nēģu svētki, pasākumi siltajā sezonā.</t>
  </si>
  <si>
    <t>0841.3</t>
  </si>
  <si>
    <t>Muzejs un Carnikavas novadpētniecības centrs</t>
  </si>
  <si>
    <t>08412</t>
  </si>
  <si>
    <t>6.1.4.</t>
  </si>
  <si>
    <t>Tūrisms</t>
  </si>
  <si>
    <t>0844.1</t>
  </si>
  <si>
    <t>SAM 5.5.1. Kultūras objektu būvniecība (maksājumi projekta partneriem) ©</t>
  </si>
  <si>
    <t>AND trūkstošais finansējums uz, ko jāatmaksā citām pašv.</t>
  </si>
  <si>
    <t>0844.2</t>
  </si>
  <si>
    <t>6.3.</t>
  </si>
  <si>
    <t>ES projekts Eiropa pilsoņiem (diskriminētām personām) ©</t>
  </si>
  <si>
    <t>0830</t>
  </si>
  <si>
    <t>6.4.</t>
  </si>
  <si>
    <t xml:space="preserve">Ādažu bibliotēka </t>
  </si>
  <si>
    <t>0831</t>
  </si>
  <si>
    <t>6.5.</t>
  </si>
  <si>
    <t xml:space="preserve">Carnikavas bibliotēka </t>
  </si>
  <si>
    <t>6.6.</t>
  </si>
  <si>
    <t>Sporta daļa</t>
  </si>
  <si>
    <t>6.6.1.</t>
  </si>
  <si>
    <t>-  sporta funkcijas nodrošināšana</t>
  </si>
  <si>
    <t>Saskaņā ar lēmumprojektu par izmaiņām CKS struktūrā daļa tehnisko darbinieku (atalgojums) tiek pārcelts uz iestādes budžetu.</t>
  </si>
  <si>
    <t>Atņemts EKK 7230, jo tā izpilde nāk no CKS</t>
  </si>
  <si>
    <t>6.6.2.</t>
  </si>
  <si>
    <t>- uzturēšanas izmaksas (CKS)</t>
  </si>
  <si>
    <t>0880</t>
  </si>
  <si>
    <t>6.7.</t>
  </si>
  <si>
    <t>Evaņģēliski luteriskās draudzes</t>
  </si>
  <si>
    <t>0843</t>
  </si>
  <si>
    <t>6.8.</t>
  </si>
  <si>
    <t>Multihalle</t>
  </si>
  <si>
    <t>Sociālā aizsardzība</t>
  </si>
  <si>
    <t>Sociālais dienests</t>
  </si>
  <si>
    <t>7.1.1.</t>
  </si>
  <si>
    <t xml:space="preserve">Sociālās funkcijas nodrošināšana </t>
  </si>
  <si>
    <t>Iespējams šeit veidojas ~ 200'000 euro rezerve (Aprūpe mājās bērniem invalīdiem (kaut ko MK nepieņēma) un uz skolēnu ēdināšanu, bet to tad būtu prātīgāk novirzīt pašvaldību savst norēķ par audzēkņiem (30.06.75% izpilde)līdzfinansējumam PPII</t>
  </si>
  <si>
    <t>1010; 1010.1; 1010.2</t>
  </si>
  <si>
    <t>7.1.2.</t>
  </si>
  <si>
    <t>Pabalsti</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</si>
  <si>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</si>
  <si>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</si>
  <si>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</si>
  <si>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</si>
  <si>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</si>
  <si>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</si>
  <si>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</si>
  <si>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</si>
  <si>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</si>
  <si>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</si>
  <si>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</si>
  <si>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</si>
  <si>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</si>
  <si>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1014.3</t>
  </si>
  <si>
    <t>7.3.1.</t>
  </si>
  <si>
    <t>DI centra uzturēšanas izdevumi</t>
  </si>
  <si>
    <t>7.3.2.</t>
  </si>
  <si>
    <t>DI centra uzturēšanas izdevumi (CKS)</t>
  </si>
  <si>
    <t>7.3.3.</t>
  </si>
  <si>
    <t>DI projekts- specializētās darbnīcas</t>
  </si>
  <si>
    <t>Par projekta gaitu ziņo izpilddirektors. (pabeigts, bet maza izpilde. Kur grāmatojas?????)</t>
  </si>
  <si>
    <t>1014.1</t>
  </si>
  <si>
    <t>7.3.4.</t>
  </si>
  <si>
    <t>DI centra pakalpojumi (projekts)</t>
  </si>
  <si>
    <t>7.4.</t>
  </si>
  <si>
    <t>Bāriņtiesa</t>
  </si>
  <si>
    <t>7.5.</t>
  </si>
  <si>
    <t>7.6.</t>
  </si>
  <si>
    <t>ANM pasākuma "Atbalsta pasākumi cilvēkiem ar invaliditāti mājokļu vides pieejamības nodrošināšanai" projekts</t>
  </si>
  <si>
    <t>1013.1</t>
  </si>
  <si>
    <t>7.7.</t>
  </si>
  <si>
    <t>Izglītība</t>
  </si>
  <si>
    <t>7210 (0940; 0970)</t>
  </si>
  <si>
    <t>Norēķini ar pašvaldību budžetiem par izglītības iestāžu pakalpojumiem</t>
  </si>
  <si>
    <t>Norēķini notiek 3x gadā.</t>
  </si>
  <si>
    <t>Ādažu Pirmsskolas izglītības iestāde</t>
  </si>
  <si>
    <t>0911</t>
  </si>
  <si>
    <t>8.2.1.</t>
  </si>
  <si>
    <t>pedagogu algas, grāmatas (mērķdotācija)</t>
  </si>
  <si>
    <t>0910</t>
  </si>
  <si>
    <t>8.2.2.</t>
  </si>
  <si>
    <t>pārējās izmaksas</t>
  </si>
  <si>
    <t>Saskaņā ar lēmumprojektu par izmaiņām CKS struktūrā daļa tehnisko darbinieku (atalgojums) tiek pārcelts uz izglītības iestādes budžetu.</t>
  </si>
  <si>
    <t>Pedagogiem atvaļinājumi vasarā.</t>
  </si>
  <si>
    <t>8.2.3.</t>
  </si>
  <si>
    <t>uzturēšanas izmaksas (CKS)</t>
  </si>
  <si>
    <t>Kadagas PII</t>
  </si>
  <si>
    <t>0921</t>
  </si>
  <si>
    <t>8.3.1.</t>
  </si>
  <si>
    <t>0920</t>
  </si>
  <si>
    <t>8.3.2.</t>
  </si>
  <si>
    <t>8.3.3.</t>
  </si>
  <si>
    <t>8.4.</t>
  </si>
  <si>
    <t>Pirmsskolas izglītības iestāde "Riekstiņš"</t>
  </si>
  <si>
    <t>09011</t>
  </si>
  <si>
    <t>8.4.1.</t>
  </si>
  <si>
    <t>0901; 650_0901</t>
  </si>
  <si>
    <t>8.4.2.</t>
  </si>
  <si>
    <t>8.4.3.</t>
  </si>
  <si>
    <t>0902; 650_0902</t>
  </si>
  <si>
    <t>8.5.</t>
  </si>
  <si>
    <t>Pirmsskolas izglītības iestādes "Piejūra"</t>
  </si>
  <si>
    <t>09021</t>
  </si>
  <si>
    <t>8.5.1.</t>
  </si>
  <si>
    <t>8.5.2.</t>
  </si>
  <si>
    <t>8.5.3.</t>
  </si>
  <si>
    <t>8.6.</t>
  </si>
  <si>
    <t>Privātās izglītības iestādes</t>
  </si>
  <si>
    <t>0970</t>
  </si>
  <si>
    <t>8.6.1.</t>
  </si>
  <si>
    <t>ĀBVS</t>
  </si>
  <si>
    <t>0940.2</t>
  </si>
  <si>
    <t>8.6.2.</t>
  </si>
  <si>
    <t xml:space="preserve">Pārējās privātās PII </t>
  </si>
  <si>
    <t>0940.3</t>
  </si>
  <si>
    <t>8.6.3.</t>
  </si>
  <si>
    <t>Pārējās privātās vidējās izglītības iestādes</t>
  </si>
  <si>
    <t>8.7.</t>
  </si>
  <si>
    <t>Carnikavas vidusskola</t>
  </si>
  <si>
    <t>09821</t>
  </si>
  <si>
    <t>8.7.1.</t>
  </si>
  <si>
    <t>8.7.1.1.</t>
  </si>
  <si>
    <t>MD pedagogiem</t>
  </si>
  <si>
    <t>EUR 1'113 mērķdotācija no ĀVS uz CVSs, saskaņā ar 27.02.2025. lēmumu "Par mācību jomu koordinatoru darba nodrošināšanu".</t>
  </si>
  <si>
    <t>8.7.1.2.</t>
  </si>
  <si>
    <t>MD interešu izglītība</t>
  </si>
  <si>
    <t>8.7.1.3.</t>
  </si>
  <si>
    <t>MD mācību līdzekļiem</t>
  </si>
  <si>
    <t>8.7.2.</t>
  </si>
  <si>
    <t>ēdināšana (mērķdotācija)</t>
  </si>
  <si>
    <t>0982; 0650_0982</t>
  </si>
  <si>
    <t>8.7.3.</t>
  </si>
  <si>
    <t>Saskaņā ar lēmumprojektu par izmaiņām CKS struktūrā daļa tehnisko darbinieku (atalgojums) tiek pārcelts uz izglītības iestādes budžtu.</t>
  </si>
  <si>
    <t>8.7.4.</t>
  </si>
  <si>
    <t>09822</t>
  </si>
  <si>
    <t>8.7.5.</t>
  </si>
  <si>
    <t>projekts "Skolas soma"</t>
  </si>
  <si>
    <t>09825</t>
  </si>
  <si>
    <t>8.7.6.</t>
  </si>
  <si>
    <t>projekti Erasmus+; NordPlus</t>
  </si>
  <si>
    <t>0982</t>
  </si>
  <si>
    <t>8.7.7.</t>
  </si>
  <si>
    <t>mācību vides labiekārtošana</t>
  </si>
  <si>
    <t>8.8.</t>
  </si>
  <si>
    <t>Ādažu vidusskola</t>
  </si>
  <si>
    <t>0954</t>
  </si>
  <si>
    <t>8.8.1.</t>
  </si>
  <si>
    <t>8.8.1.1.</t>
  </si>
  <si>
    <t>EUR 1'113 mērķdotācija no ĀVS uz CVS, saskaņā ar 27.02.2025. lēmumu "Par mācību jomu koordinatoru darba nodrošināšanu".</t>
  </si>
  <si>
    <t>8.8.1.2.</t>
  </si>
  <si>
    <t>8.8.1.3.</t>
  </si>
  <si>
    <t>0950</t>
  </si>
  <si>
    <t>8.8.2.</t>
  </si>
  <si>
    <t>8.8.3.</t>
  </si>
  <si>
    <t>0957</t>
  </si>
  <si>
    <t>8.8.4.</t>
  </si>
  <si>
    <t>projekts Erasmus+</t>
  </si>
  <si>
    <t>0951</t>
  </si>
  <si>
    <t>8.8.5.</t>
  </si>
  <si>
    <t>8.8.6.</t>
  </si>
  <si>
    <t>Pabeigts.</t>
  </si>
  <si>
    <t>8.8.7.</t>
  </si>
  <si>
    <t>0981</t>
  </si>
  <si>
    <t>8.8.8.</t>
  </si>
  <si>
    <t>sākumskolas uzturēšanas izmaksas</t>
  </si>
  <si>
    <t>8.8.9.</t>
  </si>
  <si>
    <t>sākumskolas uzturēšanas izmaksas (CKS)</t>
  </si>
  <si>
    <t>8.8.10.</t>
  </si>
  <si>
    <t>sākumskolas ēdināšana (mērķdotācija)</t>
  </si>
  <si>
    <t>8.8.11.</t>
  </si>
  <si>
    <t xml:space="preserve">PII </t>
  </si>
  <si>
    <t>0952.1</t>
  </si>
  <si>
    <t>8.8.11.1</t>
  </si>
  <si>
    <t>- pedagogu algas, māc. līdzekļi (mērķdotācija)</t>
  </si>
  <si>
    <t>0952</t>
  </si>
  <si>
    <t>8.8.11.2.</t>
  </si>
  <si>
    <t>-  uzturēšana</t>
  </si>
  <si>
    <t>8.8.11.3.</t>
  </si>
  <si>
    <t>8.9.</t>
  </si>
  <si>
    <t>Ādažu novada  Mākslu skola</t>
  </si>
  <si>
    <t>8.9.1.</t>
  </si>
  <si>
    <t>pedagogu algas (mērķdotācija)</t>
  </si>
  <si>
    <t>8.10.</t>
  </si>
  <si>
    <t>Sporta skola</t>
  </si>
  <si>
    <t>09651</t>
  </si>
  <si>
    <t>8.10.1.</t>
  </si>
  <si>
    <t>0965</t>
  </si>
  <si>
    <t>8.10.2.</t>
  </si>
  <si>
    <t>Pašvaldības finansējums</t>
  </si>
  <si>
    <t>0930</t>
  </si>
  <si>
    <t>8.11</t>
  </si>
  <si>
    <t>Izglītības un jaunatnes nodaļa</t>
  </si>
  <si>
    <t>Lielākās plāna pozīcijas bērnu radošās nometnes vasarā.</t>
  </si>
  <si>
    <t>8.12.</t>
  </si>
  <si>
    <t>Līdzfinansējums skolēnu dalībai konkursos</t>
  </si>
  <si>
    <t>8.13.</t>
  </si>
  <si>
    <t>8.14.</t>
  </si>
  <si>
    <t>8.15.</t>
  </si>
  <si>
    <t xml:space="preserve">Par projekta gaitu ziņo izpilddirektors. </t>
  </si>
  <si>
    <t>0904</t>
  </si>
  <si>
    <t>Teritorijas novērtēšana pirms būvprojekta izstrādes un būvprojekts jaunas pamatskolas izveidei Ādažu pilsētā</t>
  </si>
  <si>
    <t>0990</t>
  </si>
  <si>
    <t>Latvijas Skolu jaunatnes dziesmu un deju svētki</t>
  </si>
  <si>
    <t>Ieguldījumi uzņēmumu pamatkapitālā</t>
  </si>
  <si>
    <t>9.1.</t>
  </si>
  <si>
    <t>SIA "Ādažu ūdens"</t>
  </si>
  <si>
    <t>9.2.</t>
  </si>
  <si>
    <t>SIA "Garkalnes ūdens"</t>
  </si>
  <si>
    <t>KOPĀ IZDEVUMI:</t>
  </si>
  <si>
    <t>Kredītu pamatsummas atmaksa</t>
  </si>
  <si>
    <t>PAVISAM KOPĀ IZDEVUMI:</t>
  </si>
  <si>
    <t>-</t>
  </si>
  <si>
    <t>Naudas līdzekļu atlikums uz gada beigām</t>
  </si>
  <si>
    <t>10.2.10.</t>
  </si>
  <si>
    <t>Projekts “Digitālā darba ar jaunatni sistēmas attīstība pašvaldībās”</t>
  </si>
  <si>
    <t>EUR 30'428 projekta “Digitālā darba ar jaunatni sistēmas attīstība pašvaldībās” ārfinansējums (0932).</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</si>
  <si>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</si>
  <si>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</si>
  <si>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</si>
  <si>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</si>
  <si>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EUR 78'842 no Baltezera kapu atmežotās daļas ceļu un celiņu izveidošanai plānotajiem līdzekļiem novirzīt Ķiršu ielas pārbūves 4.kārtai</t>
  </si>
  <si>
    <t>Projekts "Labklājības nozares un pašvaldību sociālās sfēras platformas "DigiSoc" izstrāde un ieviešana</t>
  </si>
  <si>
    <t>EUR 2'000 no ekonomijas plānošanas programmas iegādei iniciatīvu projektu finansējuma palielinājumam.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</si>
</sst>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 _€_-;\-* #,##0.00\ _€_-;_-* &quot;-&quot;??\ _€_-;_-@_-"/>
  </numFmts>
  <fonts count="25" x14ac:knownFonts="1">
    <font>
      <sz val="9"/>
      <color theme="1"/>
      <name val="Arial"/>
      <family val="2"/>
      <charset val="186"/>
    </font>
    <font>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9"/>
      <color theme="1"/>
      <name val="Arial"/>
      <family val="2"/>
      <charset val="186"/>
    </font>
    <font>
      <sz val="11"/>
      <color indexed="8"/>
      <name val="Calibri"/>
      <family val="2"/>
      <charset val="186"/>
    </font>
    <font>
      <sz val="11"/>
      <color rgb="FFFF0000"/>
      <name val="Times New Roman"/>
      <family val="1"/>
      <charset val="186"/>
    </font>
    <font>
      <b/>
      <sz val="16"/>
      <color theme="1"/>
      <name val="Times New Roman"/>
      <family val="1"/>
      <charset val="186"/>
    </font>
    <font>
      <b/>
      <sz val="11"/>
      <name val="Times New Roman"/>
      <family val="1"/>
      <charset val="186"/>
    </font>
    <font>
      <b/>
      <sz val="11"/>
      <color rgb="FFFF000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rgb="FFFF0000"/>
      <name val="Times New Roman"/>
      <family val="1"/>
      <charset val="186"/>
    </font>
    <font>
      <sz val="11"/>
      <color indexed="10"/>
      <name val="Times New Roman"/>
      <family val="1"/>
      <charset val="186"/>
    </font>
    <font>
      <i/>
      <sz val="11"/>
      <name val="Times New Roman"/>
      <family val="1"/>
      <charset val="186"/>
    </font>
    <font>
      <i/>
      <sz val="11"/>
      <color rgb="FFFF0000"/>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s>
  <fills count="15">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CC"/>
        <bgColor indexed="64"/>
      </patternFill>
    </fill>
  </fills>
  <borders count="3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0">
    <xf numFmtId="0" fontId="0" fillId="0" borderId="0"/>
    <xf numFmtId="43"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9" fontId="6" fillId="0" borderId="0" applyFont="0" applyFill="0" applyBorder="0" applyAlignment="0" applyProtection="0"/>
    <xf numFmtId="43" fontId="6" fillId="0" borderId="0" applyFont="0" applyFill="0" applyBorder="0" applyAlignment="0" applyProtection="0"/>
    <xf numFmtId="0" fontId="11" fillId="0" borderId="0" applyNumberFormat="0" applyFill="0" applyBorder="0" applyAlignment="0" applyProtection="0"/>
    <xf numFmtId="0" fontId="12" fillId="0" borderId="0"/>
    <xf numFmtId="9" fontId="6" fillId="0" borderId="0" applyFont="0" applyFill="0" applyBorder="0" applyAlignment="0" applyProtection="0"/>
  </cellStyleXfs>
  <cellXfs count="290">
    <xf numFmtId="0" fontId="0" fillId="0" borderId="0" xfId="0"/>
    <xf numFmtId="0" fontId="2" fillId="0" borderId="0" xfId="3" applyFont="1"/>
    <xf numFmtId="0" fontId="3" fillId="0" borderId="0" xfId="4" applyFont="1"/>
    <xf numFmtId="0" fontId="4" fillId="0" borderId="0" xfId="4" applyFont="1"/>
    <xf numFmtId="0" fontId="2" fillId="0" borderId="0" xfId="3" applyFont="1" applyAlignment="1">
      <alignment wrapText="1"/>
    </xf>
    <xf numFmtId="3" fontId="2" fillId="0" borderId="0" xfId="3" applyNumberFormat="1" applyFont="1"/>
    <xf numFmtId="164" fontId="2" fillId="0" borderId="0" xfId="1" applyNumberFormat="1" applyFont="1" applyAlignment="1">
      <alignment wrapText="1"/>
    </xf>
    <xf numFmtId="9" fontId="2" fillId="0" borderId="0" xfId="5" applyFont="1" applyAlignment="1">
      <alignment wrapText="1"/>
    </xf>
    <xf numFmtId="164" fontId="7" fillId="0" borderId="0" xfId="1" applyNumberFormat="1" applyFont="1" applyAlignment="1">
      <alignment wrapText="1"/>
    </xf>
    <xf numFmtId="9" fontId="7" fillId="0" borderId="0" xfId="2" applyFont="1" applyAlignment="1">
      <alignment wrapText="1"/>
    </xf>
    <xf numFmtId="0" fontId="7" fillId="0" borderId="0" xfId="3" applyFont="1" applyAlignment="1">
      <alignment wrapText="1"/>
    </xf>
    <xf numFmtId="164" fontId="2" fillId="0" borderId="0" xfId="1" applyNumberFormat="1" applyFont="1"/>
    <xf numFmtId="1" fontId="2" fillId="0" borderId="0" xfId="5" applyNumberFormat="1" applyFont="1" applyFill="1"/>
    <xf numFmtId="164" fontId="7" fillId="0" borderId="0" xfId="1" applyNumberFormat="1" applyFont="1"/>
    <xf numFmtId="164" fontId="7" fillId="0" borderId="0" xfId="2" applyNumberFormat="1" applyFont="1" applyFill="1"/>
    <xf numFmtId="3" fontId="7" fillId="0" borderId="0" xfId="3" applyNumberFormat="1" applyFont="1"/>
    <xf numFmtId="164" fontId="9" fillId="0" borderId="0" xfId="6" applyNumberFormat="1" applyFont="1"/>
    <xf numFmtId="164" fontId="9" fillId="0" borderId="0" xfId="1" applyNumberFormat="1" applyFont="1"/>
    <xf numFmtId="9" fontId="2" fillId="0" borderId="0" xfId="5" applyFont="1"/>
    <xf numFmtId="164" fontId="10" fillId="0" borderId="0" xfId="6" applyNumberFormat="1" applyFont="1"/>
    <xf numFmtId="9" fontId="10" fillId="0" borderId="0" xfId="2" applyFont="1"/>
    <xf numFmtId="0" fontId="11" fillId="0" borderId="0" xfId="7"/>
    <xf numFmtId="164" fontId="10" fillId="0" borderId="0" xfId="1" applyNumberFormat="1" applyFont="1"/>
    <xf numFmtId="9" fontId="7" fillId="0" borderId="0" xfId="5" applyFont="1"/>
    <xf numFmtId="0" fontId="9" fillId="0" borderId="1" xfId="3" applyFont="1" applyBorder="1" applyAlignment="1">
      <alignment horizontal="center" vertical="center"/>
    </xf>
    <xf numFmtId="0" fontId="9" fillId="0" borderId="2" xfId="3" applyFont="1" applyBorder="1" applyAlignment="1">
      <alignment horizontal="center" vertical="center" wrapText="1"/>
    </xf>
    <xf numFmtId="0" fontId="9" fillId="0" borderId="3" xfId="8" applyFont="1" applyBorder="1" applyAlignment="1">
      <alignment horizontal="center" vertical="center" wrapText="1"/>
    </xf>
    <xf numFmtId="164" fontId="9" fillId="0" borderId="3" xfId="1" applyNumberFormat="1" applyFont="1" applyBorder="1" applyAlignment="1">
      <alignment horizontal="center" vertical="center" wrapText="1"/>
    </xf>
    <xf numFmtId="9" fontId="9" fillId="0" borderId="3" xfId="5" applyFont="1" applyBorder="1" applyAlignment="1">
      <alignment horizontal="center" vertical="center" wrapText="1"/>
    </xf>
    <xf numFmtId="0" fontId="10" fillId="0" borderId="3" xfId="8" applyFont="1" applyBorder="1" applyAlignment="1">
      <alignment horizontal="center" vertical="center" wrapText="1"/>
    </xf>
    <xf numFmtId="9" fontId="10" fillId="0" borderId="3" xfId="2" applyFont="1" applyBorder="1" applyAlignment="1">
      <alignment horizontal="center" vertical="center" wrapText="1"/>
    </xf>
    <xf numFmtId="9" fontId="10" fillId="0" borderId="3" xfId="5" applyFont="1" applyBorder="1" applyAlignment="1">
      <alignment horizontal="center" vertical="center" wrapText="1"/>
    </xf>
    <xf numFmtId="0" fontId="9" fillId="2" borderId="4" xfId="3" applyFont="1" applyFill="1" applyBorder="1"/>
    <xf numFmtId="0" fontId="9" fillId="2" borderId="5" xfId="3" applyFont="1" applyFill="1" applyBorder="1" applyAlignment="1">
      <alignment wrapText="1"/>
    </xf>
    <xf numFmtId="164" fontId="9" fillId="2" borderId="6" xfId="1" applyNumberFormat="1" applyFont="1" applyFill="1" applyBorder="1"/>
    <xf numFmtId="3" fontId="9" fillId="2" borderId="6" xfId="3" applyNumberFormat="1" applyFont="1" applyFill="1" applyBorder="1"/>
    <xf numFmtId="9" fontId="2" fillId="2" borderId="6" xfId="5" applyFont="1" applyFill="1" applyBorder="1" applyAlignment="1">
      <alignment wrapText="1"/>
    </xf>
    <xf numFmtId="164" fontId="10" fillId="2" borderId="6" xfId="1" applyNumberFormat="1" applyFont="1" applyFill="1" applyBorder="1"/>
    <xf numFmtId="9" fontId="10" fillId="2" borderId="6" xfId="2" applyFont="1" applyFill="1" applyBorder="1"/>
    <xf numFmtId="164" fontId="7" fillId="2" borderId="6" xfId="1" applyNumberFormat="1" applyFont="1" applyFill="1" applyBorder="1" applyAlignment="1">
      <alignment wrapText="1"/>
    </xf>
    <xf numFmtId="0" fontId="9" fillId="3" borderId="4" xfId="3" quotePrefix="1" applyFont="1" applyFill="1" applyBorder="1"/>
    <xf numFmtId="0" fontId="9" fillId="3" borderId="5" xfId="3" applyFont="1" applyFill="1" applyBorder="1" applyAlignment="1">
      <alignment wrapText="1"/>
    </xf>
    <xf numFmtId="3" fontId="9" fillId="3" borderId="6" xfId="3" applyNumberFormat="1" applyFont="1" applyFill="1" applyBorder="1"/>
    <xf numFmtId="164" fontId="9" fillId="3" borderId="6" xfId="1" applyNumberFormat="1" applyFont="1" applyFill="1" applyBorder="1"/>
    <xf numFmtId="9" fontId="9" fillId="3" borderId="6" xfId="5" applyFont="1" applyFill="1" applyBorder="1"/>
    <xf numFmtId="3" fontId="10" fillId="3" borderId="6" xfId="3" applyNumberFormat="1" applyFont="1" applyFill="1" applyBorder="1"/>
    <xf numFmtId="9" fontId="10" fillId="3" borderId="6" xfId="2" applyFont="1" applyFill="1" applyBorder="1"/>
    <xf numFmtId="0" fontId="13" fillId="0" borderId="0" xfId="3" applyFont="1"/>
    <xf numFmtId="0" fontId="2" fillId="0" borderId="7" xfId="3" applyFont="1" applyBorder="1" applyAlignment="1">
      <alignment horizontal="left" indent="1"/>
    </xf>
    <xf numFmtId="0" fontId="2" fillId="0" borderId="8" xfId="3" applyFont="1" applyBorder="1" applyAlignment="1">
      <alignment horizontal="left" wrapText="1" indent="2"/>
    </xf>
    <xf numFmtId="3" fontId="2" fillId="0" borderId="9" xfId="3" applyNumberFormat="1" applyFont="1" applyBorder="1"/>
    <xf numFmtId="164" fontId="2" fillId="0" borderId="9" xfId="1" applyNumberFormat="1" applyFont="1" applyBorder="1"/>
    <xf numFmtId="9" fontId="2" fillId="0" borderId="9" xfId="5" applyFont="1" applyFill="1" applyBorder="1"/>
    <xf numFmtId="3" fontId="7" fillId="0" borderId="9" xfId="3" applyNumberFormat="1" applyFont="1" applyBorder="1"/>
    <xf numFmtId="9" fontId="7" fillId="0" borderId="9" xfId="2" applyFont="1" applyFill="1" applyBorder="1"/>
    <xf numFmtId="0" fontId="9" fillId="3" borderId="7" xfId="3" applyFont="1" applyFill="1" applyBorder="1"/>
    <xf numFmtId="0" fontId="9" fillId="3" borderId="8" xfId="3" applyFont="1" applyFill="1" applyBorder="1" applyAlignment="1">
      <alignment wrapText="1"/>
    </xf>
    <xf numFmtId="3" fontId="9" fillId="3" borderId="9" xfId="3" applyNumberFormat="1" applyFont="1" applyFill="1" applyBorder="1"/>
    <xf numFmtId="164" fontId="9" fillId="3" borderId="9" xfId="1" applyNumberFormat="1" applyFont="1" applyFill="1" applyBorder="1"/>
    <xf numFmtId="9" fontId="9" fillId="3" borderId="9" xfId="5" applyFont="1" applyFill="1" applyBorder="1"/>
    <xf numFmtId="3" fontId="10" fillId="3" borderId="9" xfId="3" applyNumberFormat="1" applyFont="1" applyFill="1" applyBorder="1"/>
    <xf numFmtId="9" fontId="10" fillId="3" borderId="9" xfId="2" applyFont="1" applyFill="1" applyBorder="1"/>
    <xf numFmtId="9" fontId="2" fillId="0" borderId="9" xfId="5" applyFont="1" applyBorder="1"/>
    <xf numFmtId="9" fontId="2" fillId="0" borderId="10" xfId="5" applyFont="1" applyFill="1" applyBorder="1"/>
    <xf numFmtId="0" fontId="1" fillId="0" borderId="0" xfId="3"/>
    <xf numFmtId="9" fontId="2" fillId="0" borderId="10" xfId="5" applyFont="1" applyFill="1" applyBorder="1" applyAlignment="1">
      <alignment wrapText="1"/>
    </xf>
    <xf numFmtId="3" fontId="7" fillId="3" borderId="9" xfId="3" applyNumberFormat="1" applyFont="1" applyFill="1" applyBorder="1"/>
    <xf numFmtId="9" fontId="7" fillId="0" borderId="9" xfId="2" applyFont="1" applyBorder="1"/>
    <xf numFmtId="0" fontId="14" fillId="0" borderId="7" xfId="3" applyFont="1" applyBorder="1" applyAlignment="1">
      <alignment horizontal="left" indent="2"/>
    </xf>
    <xf numFmtId="0" fontId="14" fillId="0" borderId="8" xfId="3" applyFont="1" applyBorder="1" applyAlignment="1">
      <alignment horizontal="left" wrapText="1" indent="3"/>
    </xf>
    <xf numFmtId="0" fontId="13" fillId="0" borderId="0" xfId="3" quotePrefix="1" applyFont="1"/>
    <xf numFmtId="9" fontId="2" fillId="3" borderId="9" xfId="5" applyFont="1" applyFill="1" applyBorder="1" applyAlignment="1">
      <alignment wrapText="1"/>
    </xf>
    <xf numFmtId="0" fontId="2" fillId="4" borderId="8" xfId="3" applyFont="1" applyFill="1" applyBorder="1" applyAlignment="1">
      <alignment horizontal="left" wrapText="1" indent="2"/>
    </xf>
    <xf numFmtId="9" fontId="2" fillId="0" borderId="9" xfId="5" applyFont="1" applyFill="1" applyBorder="1" applyAlignment="1">
      <alignment wrapText="1"/>
    </xf>
    <xf numFmtId="3" fontId="7" fillId="0" borderId="9" xfId="3" applyNumberFormat="1" applyFont="1" applyBorder="1" applyAlignment="1">
      <alignment wrapText="1"/>
    </xf>
    <xf numFmtId="0" fontId="9" fillId="3" borderId="7" xfId="3" quotePrefix="1" applyFont="1" applyFill="1" applyBorder="1"/>
    <xf numFmtId="164" fontId="10" fillId="3" borderId="9" xfId="1" applyNumberFormat="1" applyFont="1" applyFill="1" applyBorder="1"/>
    <xf numFmtId="164" fontId="10" fillId="3" borderId="9" xfId="2" applyNumberFormat="1" applyFont="1" applyFill="1" applyBorder="1"/>
    <xf numFmtId="0" fontId="2" fillId="2" borderId="7" xfId="3" applyFont="1" applyFill="1" applyBorder="1" applyAlignment="1">
      <alignment horizontal="left" indent="1"/>
    </xf>
    <xf numFmtId="0" fontId="2" fillId="2" borderId="8" xfId="3" applyFont="1" applyFill="1" applyBorder="1" applyAlignment="1">
      <alignment horizontal="left" wrapText="1" indent="2"/>
    </xf>
    <xf numFmtId="3" fontId="2" fillId="2" borderId="9" xfId="3" applyNumberFormat="1" applyFont="1" applyFill="1" applyBorder="1"/>
    <xf numFmtId="164" fontId="2" fillId="2" borderId="9" xfId="1" applyNumberFormat="1" applyFont="1" applyFill="1" applyBorder="1"/>
    <xf numFmtId="164" fontId="2" fillId="5" borderId="9" xfId="1" applyNumberFormat="1" applyFont="1" applyFill="1" applyBorder="1"/>
    <xf numFmtId="3" fontId="2" fillId="5" borderId="9" xfId="3" applyNumberFormat="1" applyFont="1" applyFill="1" applyBorder="1"/>
    <xf numFmtId="3" fontId="7" fillId="5" borderId="9" xfId="3" applyNumberFormat="1" applyFont="1" applyFill="1" applyBorder="1"/>
    <xf numFmtId="9" fontId="7" fillId="5" borderId="9" xfId="2" applyFont="1" applyFill="1" applyBorder="1"/>
    <xf numFmtId="3" fontId="2" fillId="7" borderId="9" xfId="3" applyNumberFormat="1" applyFont="1" applyFill="1" applyBorder="1"/>
    <xf numFmtId="164" fontId="2" fillId="7" borderId="9" xfId="1" applyNumberFormat="1" applyFont="1" applyFill="1" applyBorder="1"/>
    <xf numFmtId="3" fontId="2" fillId="7" borderId="9" xfId="3" applyNumberFormat="1" applyFont="1" applyFill="1" applyBorder="1" applyAlignment="1">
      <alignment wrapText="1"/>
    </xf>
    <xf numFmtId="3" fontId="7" fillId="7" borderId="9" xfId="3" applyNumberFormat="1" applyFont="1" applyFill="1" applyBorder="1"/>
    <xf numFmtId="9" fontId="7" fillId="7" borderId="9" xfId="2" applyFont="1" applyFill="1" applyBorder="1"/>
    <xf numFmtId="3" fontId="14" fillId="8" borderId="9" xfId="3" applyNumberFormat="1" applyFont="1" applyFill="1" applyBorder="1"/>
    <xf numFmtId="164" fontId="14" fillId="8" borderId="9" xfId="1" applyNumberFormat="1" applyFont="1" applyFill="1" applyBorder="1"/>
    <xf numFmtId="9" fontId="14" fillId="8" borderId="9" xfId="5" applyFont="1" applyFill="1" applyBorder="1" applyAlignment="1">
      <alignment wrapText="1"/>
    </xf>
    <xf numFmtId="3" fontId="15" fillId="8" borderId="9" xfId="3" applyNumberFormat="1" applyFont="1" applyFill="1" applyBorder="1"/>
    <xf numFmtId="9" fontId="15" fillId="8" borderId="9" xfId="2" applyFont="1" applyFill="1" applyBorder="1"/>
    <xf numFmtId="0" fontId="14" fillId="0" borderId="0" xfId="3" applyFont="1"/>
    <xf numFmtId="3" fontId="7" fillId="9" borderId="9" xfId="3" applyNumberFormat="1" applyFont="1" applyFill="1" applyBorder="1"/>
    <xf numFmtId="0" fontId="2" fillId="0" borderId="0" xfId="3" quotePrefix="1" applyFont="1"/>
    <xf numFmtId="164" fontId="2" fillId="0" borderId="9" xfId="1" applyNumberFormat="1" applyFont="1" applyFill="1" applyBorder="1"/>
    <xf numFmtId="9" fontId="7" fillId="9" borderId="9" xfId="2" applyFont="1" applyFill="1" applyBorder="1"/>
    <xf numFmtId="0" fontId="2" fillId="0" borderId="8" xfId="3" applyFont="1" applyBorder="1" applyAlignment="1">
      <alignment horizontal="left" wrapText="1" indent="3"/>
    </xf>
    <xf numFmtId="9" fontId="2" fillId="10" borderId="9" xfId="5" applyFont="1" applyFill="1" applyBorder="1" applyAlignment="1">
      <alignment wrapText="1"/>
    </xf>
    <xf numFmtId="9" fontId="2" fillId="2" borderId="9" xfId="5" applyFont="1" applyFill="1" applyBorder="1" applyAlignment="1">
      <alignment wrapText="1"/>
    </xf>
    <xf numFmtId="3" fontId="7" fillId="2" borderId="9" xfId="3" applyNumberFormat="1" applyFont="1" applyFill="1" applyBorder="1"/>
    <xf numFmtId="9" fontId="7" fillId="2" borderId="9" xfId="2" applyFont="1" applyFill="1" applyBorder="1"/>
    <xf numFmtId="3" fontId="7" fillId="6" borderId="9" xfId="3" applyNumberFormat="1" applyFont="1" applyFill="1" applyBorder="1"/>
    <xf numFmtId="0" fontId="7" fillId="0" borderId="0" xfId="3" applyFont="1"/>
    <xf numFmtId="9" fontId="2" fillId="0" borderId="13" xfId="5" applyFont="1" applyFill="1" applyBorder="1"/>
    <xf numFmtId="0" fontId="1" fillId="0" borderId="0" xfId="3" quotePrefix="1"/>
    <xf numFmtId="3" fontId="7" fillId="3" borderId="9" xfId="3" applyNumberFormat="1" applyFont="1" applyFill="1" applyBorder="1" applyAlignment="1">
      <alignment wrapText="1"/>
    </xf>
    <xf numFmtId="0" fontId="2" fillId="4" borderId="7" xfId="3" applyFont="1" applyFill="1" applyBorder="1" applyAlignment="1">
      <alignment horizontal="left" indent="2"/>
    </xf>
    <xf numFmtId="0" fontId="2" fillId="4" borderId="8" xfId="3" applyFont="1" applyFill="1" applyBorder="1" applyAlignment="1">
      <alignment horizontal="left" wrapText="1" indent="3"/>
    </xf>
    <xf numFmtId="1" fontId="2" fillId="0" borderId="9" xfId="5" applyNumberFormat="1" applyFont="1" applyFill="1" applyBorder="1"/>
    <xf numFmtId="0" fontId="7" fillId="0" borderId="0" xfId="3" quotePrefix="1" applyFont="1"/>
    <xf numFmtId="0" fontId="9" fillId="0" borderId="14" xfId="3" applyFont="1" applyBorder="1"/>
    <xf numFmtId="0" fontId="9" fillId="0" borderId="15" xfId="3" applyFont="1" applyBorder="1" applyAlignment="1">
      <alignment horizontal="right" wrapText="1"/>
    </xf>
    <xf numFmtId="3" fontId="9" fillId="0" borderId="3" xfId="3" applyNumberFormat="1" applyFont="1" applyBorder="1"/>
    <xf numFmtId="164" fontId="9" fillId="0" borderId="3" xfId="1" applyNumberFormat="1" applyFont="1" applyBorder="1"/>
    <xf numFmtId="9" fontId="9" fillId="0" borderId="3" xfId="5" applyFont="1" applyBorder="1"/>
    <xf numFmtId="3" fontId="10" fillId="0" borderId="3" xfId="3" applyNumberFormat="1" applyFont="1" applyBorder="1"/>
    <xf numFmtId="9" fontId="10" fillId="0" borderId="3" xfId="2" applyFont="1" applyBorder="1"/>
    <xf numFmtId="3" fontId="7" fillId="0" borderId="3" xfId="3" applyNumberFormat="1" applyFont="1" applyBorder="1" applyAlignment="1">
      <alignment wrapText="1"/>
    </xf>
    <xf numFmtId="0" fontId="9" fillId="0" borderId="16" xfId="3" quotePrefix="1" applyFont="1" applyBorder="1"/>
    <xf numFmtId="0" fontId="9" fillId="0" borderId="17" xfId="3" applyFont="1" applyBorder="1" applyAlignment="1">
      <alignment wrapText="1"/>
    </xf>
    <xf numFmtId="3" fontId="9" fillId="0" borderId="18" xfId="3" applyNumberFormat="1" applyFont="1" applyBorder="1"/>
    <xf numFmtId="164" fontId="9" fillId="0" borderId="18" xfId="1" applyNumberFormat="1" applyFont="1" applyBorder="1"/>
    <xf numFmtId="9" fontId="9" fillId="0" borderId="18" xfId="5" applyFont="1" applyFill="1" applyBorder="1"/>
    <xf numFmtId="3" fontId="10" fillId="0" borderId="18" xfId="3" applyNumberFormat="1" applyFont="1" applyBorder="1"/>
    <xf numFmtId="9" fontId="10" fillId="0" borderId="18" xfId="2" applyFont="1" applyFill="1" applyBorder="1"/>
    <xf numFmtId="0" fontId="9" fillId="3" borderId="19" xfId="3" applyFont="1" applyFill="1" applyBorder="1" applyAlignment="1">
      <alignment wrapText="1"/>
    </xf>
    <xf numFmtId="164" fontId="9" fillId="3" borderId="13" xfId="1" applyNumberFormat="1" applyFont="1" applyFill="1" applyBorder="1"/>
    <xf numFmtId="3" fontId="10" fillId="3" borderId="13" xfId="3" applyNumberFormat="1" applyFont="1" applyFill="1" applyBorder="1"/>
    <xf numFmtId="9" fontId="10" fillId="3" borderId="13" xfId="2" applyFont="1" applyFill="1" applyBorder="1"/>
    <xf numFmtId="49" fontId="2" fillId="0" borderId="19" xfId="3" applyNumberFormat="1" applyFont="1" applyBorder="1" applyAlignment="1">
      <alignment horizontal="left" wrapText="1" indent="4"/>
    </xf>
    <xf numFmtId="164" fontId="2" fillId="0" borderId="13" xfId="1" applyNumberFormat="1" applyFont="1" applyBorder="1"/>
    <xf numFmtId="3" fontId="2" fillId="0" borderId="19" xfId="3" applyNumberFormat="1" applyFont="1" applyBorder="1"/>
    <xf numFmtId="9" fontId="7" fillId="0" borderId="13" xfId="2" applyFont="1" applyFill="1" applyBorder="1"/>
    <xf numFmtId="3" fontId="7" fillId="0" borderId="13" xfId="3" applyNumberFormat="1" applyFont="1" applyBorder="1" applyAlignment="1">
      <alignment wrapText="1"/>
    </xf>
    <xf numFmtId="3" fontId="2" fillId="0" borderId="10" xfId="3" applyNumberFormat="1" applyFont="1" applyBorder="1"/>
    <xf numFmtId="164" fontId="2" fillId="0" borderId="10" xfId="1" applyNumberFormat="1" applyFont="1" applyBorder="1"/>
    <xf numFmtId="3" fontId="7" fillId="0" borderId="13" xfId="3" applyNumberFormat="1" applyFont="1" applyBorder="1"/>
    <xf numFmtId="49" fontId="2" fillId="0" borderId="8" xfId="3" applyNumberFormat="1" applyFont="1" applyBorder="1" applyAlignment="1">
      <alignment horizontal="left" wrapText="1" indent="4"/>
    </xf>
    <xf numFmtId="164" fontId="2" fillId="0" borderId="20" xfId="1" applyNumberFormat="1" applyFont="1" applyBorder="1"/>
    <xf numFmtId="3" fontId="2" fillId="0" borderId="21" xfId="3" applyNumberFormat="1" applyFont="1" applyBorder="1"/>
    <xf numFmtId="9" fontId="2" fillId="0" borderId="22" xfId="5" applyFont="1" applyFill="1" applyBorder="1"/>
    <xf numFmtId="9" fontId="2" fillId="0" borderId="6" xfId="5" applyFont="1" applyFill="1" applyBorder="1"/>
    <xf numFmtId="0" fontId="2" fillId="4" borderId="23" xfId="3" applyFont="1" applyFill="1" applyBorder="1" applyAlignment="1">
      <alignment horizontal="left" indent="2"/>
    </xf>
    <xf numFmtId="3" fontId="2" fillId="0" borderId="22" xfId="3" applyNumberFormat="1" applyFont="1" applyBorder="1"/>
    <xf numFmtId="49" fontId="2" fillId="0" borderId="20" xfId="3" applyNumberFormat="1" applyFont="1" applyBorder="1" applyAlignment="1">
      <alignment horizontal="left" wrapText="1" indent="4"/>
    </xf>
    <xf numFmtId="0" fontId="9" fillId="0" borderId="24" xfId="3" applyFont="1" applyBorder="1"/>
    <xf numFmtId="0" fontId="9" fillId="0" borderId="25" xfId="3" applyFont="1" applyBorder="1" applyAlignment="1">
      <alignment horizontal="right" wrapText="1"/>
    </xf>
    <xf numFmtId="9" fontId="9" fillId="0" borderId="18" xfId="5" applyFont="1" applyBorder="1"/>
    <xf numFmtId="9" fontId="10" fillId="0" borderId="18" xfId="2" applyFont="1" applyBorder="1"/>
    <xf numFmtId="0" fontId="9" fillId="0" borderId="0" xfId="3" applyFont="1"/>
    <xf numFmtId="9" fontId="7" fillId="0" borderId="0" xfId="2" applyFont="1"/>
    <xf numFmtId="10" fontId="2" fillId="0" borderId="0" xfId="9" applyNumberFormat="1" applyFont="1"/>
    <xf numFmtId="10" fontId="7" fillId="0" borderId="0" xfId="9" applyNumberFormat="1" applyFont="1"/>
    <xf numFmtId="49" fontId="9" fillId="3" borderId="26" xfId="3" applyNumberFormat="1" applyFont="1" applyFill="1" applyBorder="1" applyAlignment="1">
      <alignment horizontal="left" indent="2"/>
    </xf>
    <xf numFmtId="49" fontId="9" fillId="3" borderId="27" xfId="3" applyNumberFormat="1" applyFont="1" applyFill="1" applyBorder="1" applyAlignment="1">
      <alignment wrapText="1"/>
    </xf>
    <xf numFmtId="3" fontId="9" fillId="3" borderId="28" xfId="3" applyNumberFormat="1" applyFont="1" applyFill="1" applyBorder="1"/>
    <xf numFmtId="164" fontId="9" fillId="3" borderId="28" xfId="1" applyNumberFormat="1" applyFont="1" applyFill="1" applyBorder="1"/>
    <xf numFmtId="9" fontId="9" fillId="3" borderId="28" xfId="5" applyFont="1" applyFill="1" applyBorder="1"/>
    <xf numFmtId="3" fontId="10" fillId="3" borderId="28" xfId="3" applyNumberFormat="1" applyFont="1" applyFill="1" applyBorder="1"/>
    <xf numFmtId="9" fontId="10" fillId="3" borderId="28" xfId="2" applyFont="1" applyFill="1" applyBorder="1"/>
    <xf numFmtId="49" fontId="2" fillId="2" borderId="7" xfId="3" applyNumberFormat="1" applyFont="1" applyFill="1" applyBorder="1" applyAlignment="1">
      <alignment horizontal="left" indent="1"/>
    </xf>
    <xf numFmtId="49" fontId="2" fillId="2" borderId="8" xfId="3" applyNumberFormat="1" applyFont="1" applyFill="1" applyBorder="1" applyAlignment="1">
      <alignment horizontal="left" wrapText="1" indent="2"/>
    </xf>
    <xf numFmtId="9" fontId="2" fillId="2" borderId="9" xfId="5" applyFont="1" applyFill="1" applyBorder="1"/>
    <xf numFmtId="49" fontId="9" fillId="3" borderId="7" xfId="3" applyNumberFormat="1" applyFont="1" applyFill="1" applyBorder="1"/>
    <xf numFmtId="49" fontId="9" fillId="3" borderId="8" xfId="3" applyNumberFormat="1" applyFont="1" applyFill="1" applyBorder="1" applyAlignment="1">
      <alignment wrapText="1"/>
    </xf>
    <xf numFmtId="0" fontId="16" fillId="0" borderId="0" xfId="3" applyFont="1"/>
    <xf numFmtId="49" fontId="2" fillId="0" borderId="7" xfId="3" applyNumberFormat="1" applyFont="1" applyBorder="1" applyAlignment="1">
      <alignment horizontal="left" indent="2"/>
    </xf>
    <xf numFmtId="49" fontId="2" fillId="0" borderId="8" xfId="3" applyNumberFormat="1" applyFont="1" applyBorder="1" applyAlignment="1">
      <alignment horizontal="left" wrapText="1" indent="2"/>
    </xf>
    <xf numFmtId="49" fontId="9" fillId="2" borderId="8" xfId="3" applyNumberFormat="1" applyFont="1" applyFill="1" applyBorder="1" applyAlignment="1">
      <alignment horizontal="left" wrapText="1" indent="2"/>
    </xf>
    <xf numFmtId="3" fontId="9" fillId="2" borderId="9" xfId="3" applyNumberFormat="1" applyFont="1" applyFill="1" applyBorder="1"/>
    <xf numFmtId="164" fontId="9" fillId="2" borderId="9" xfId="1" applyNumberFormat="1" applyFont="1" applyFill="1" applyBorder="1"/>
    <xf numFmtId="3" fontId="7" fillId="2" borderId="9" xfId="3" applyNumberFormat="1" applyFont="1" applyFill="1" applyBorder="1" applyAlignment="1">
      <alignment wrapText="1"/>
    </xf>
    <xf numFmtId="3" fontId="10" fillId="2" borderId="9" xfId="3" applyNumberFormat="1" applyFont="1" applyFill="1" applyBorder="1"/>
    <xf numFmtId="9" fontId="10" fillId="2" borderId="9" xfId="2" applyFont="1" applyFill="1" applyBorder="1"/>
    <xf numFmtId="9" fontId="2" fillId="0" borderId="9" xfId="5" applyFont="1" applyBorder="1" applyAlignment="1">
      <alignment wrapText="1"/>
    </xf>
    <xf numFmtId="49" fontId="2" fillId="12" borderId="7" xfId="3" applyNumberFormat="1" applyFont="1" applyFill="1" applyBorder="1" applyAlignment="1">
      <alignment horizontal="left" indent="2"/>
    </xf>
    <xf numFmtId="0" fontId="2" fillId="10" borderId="8" xfId="3" applyFont="1" applyFill="1" applyBorder="1" applyAlignment="1">
      <alignment horizontal="left" wrapText="1" indent="3"/>
    </xf>
    <xf numFmtId="9" fontId="9" fillId="2" borderId="9" xfId="5" applyFont="1" applyFill="1" applyBorder="1"/>
    <xf numFmtId="9" fontId="2" fillId="0" borderId="12" xfId="5" applyFont="1" applyBorder="1" applyAlignment="1">
      <alignment wrapText="1"/>
    </xf>
    <xf numFmtId="164" fontId="2" fillId="11" borderId="9" xfId="1" applyNumberFormat="1" applyFont="1" applyFill="1" applyBorder="1"/>
    <xf numFmtId="3" fontId="7" fillId="11" borderId="9" xfId="3" applyNumberFormat="1" applyFont="1" applyFill="1" applyBorder="1"/>
    <xf numFmtId="9" fontId="7" fillId="11" borderId="9" xfId="2" applyFont="1" applyFill="1" applyBorder="1"/>
    <xf numFmtId="0" fontId="17" fillId="0" borderId="0" xfId="3" quotePrefix="1" applyFont="1"/>
    <xf numFmtId="49" fontId="17" fillId="0" borderId="7" xfId="3" applyNumberFormat="1" applyFont="1" applyBorder="1" applyAlignment="1">
      <alignment horizontal="left" indent="3"/>
    </xf>
    <xf numFmtId="0" fontId="17" fillId="10" borderId="8" xfId="3" applyFont="1" applyFill="1" applyBorder="1" applyAlignment="1">
      <alignment horizontal="left" wrapText="1" indent="6"/>
    </xf>
    <xf numFmtId="164" fontId="17" fillId="11" borderId="9" xfId="1" applyNumberFormat="1" applyFont="1" applyFill="1" applyBorder="1"/>
    <xf numFmtId="3" fontId="17" fillId="0" borderId="9" xfId="3" applyNumberFormat="1" applyFont="1" applyBorder="1"/>
    <xf numFmtId="9" fontId="17" fillId="0" borderId="9" xfId="5" applyFont="1" applyBorder="1" applyAlignment="1">
      <alignment wrapText="1"/>
    </xf>
    <xf numFmtId="3" fontId="18" fillId="11" borderId="9" xfId="3" applyNumberFormat="1" applyFont="1" applyFill="1" applyBorder="1"/>
    <xf numFmtId="9" fontId="18" fillId="11" borderId="9" xfId="2" applyFont="1" applyFill="1" applyBorder="1"/>
    <xf numFmtId="0" fontId="17" fillId="0" borderId="0" xfId="3" applyFont="1"/>
    <xf numFmtId="3" fontId="2" fillId="10" borderId="9" xfId="3" applyNumberFormat="1" applyFont="1" applyFill="1" applyBorder="1"/>
    <xf numFmtId="3" fontId="7" fillId="13" borderId="9" xfId="3" applyNumberFormat="1" applyFont="1" applyFill="1" applyBorder="1"/>
    <xf numFmtId="164" fontId="7" fillId="2" borderId="9" xfId="2" applyNumberFormat="1" applyFont="1" applyFill="1" applyBorder="1"/>
    <xf numFmtId="9" fontId="17" fillId="0" borderId="9" xfId="5" applyFont="1" applyFill="1" applyBorder="1" applyAlignment="1">
      <alignment wrapText="1"/>
    </xf>
    <xf numFmtId="49" fontId="2" fillId="12" borderId="7" xfId="3" applyNumberFormat="1" applyFont="1" applyFill="1" applyBorder="1" applyAlignment="1">
      <alignment horizontal="left" indent="1"/>
    </xf>
    <xf numFmtId="49" fontId="7" fillId="2" borderId="8" xfId="3" applyNumberFormat="1" applyFont="1" applyFill="1" applyBorder="1" applyAlignment="1">
      <alignment horizontal="left" wrapText="1" indent="2"/>
    </xf>
    <xf numFmtId="9" fontId="17" fillId="6" borderId="9" xfId="5" applyFont="1" applyFill="1" applyBorder="1" applyAlignment="1">
      <alignment wrapText="1"/>
    </xf>
    <xf numFmtId="9" fontId="17" fillId="2" borderId="9" xfId="5" applyFont="1" applyFill="1" applyBorder="1" applyAlignment="1">
      <alignment wrapText="1"/>
    </xf>
    <xf numFmtId="0" fontId="2" fillId="10" borderId="8" xfId="3" applyFont="1" applyFill="1" applyBorder="1" applyAlignment="1">
      <alignment horizontal="left" indent="2"/>
    </xf>
    <xf numFmtId="0" fontId="13" fillId="10" borderId="0" xfId="3" applyFont="1" applyFill="1"/>
    <xf numFmtId="0" fontId="2" fillId="10" borderId="29" xfId="3" applyFont="1" applyFill="1" applyBorder="1" applyAlignment="1">
      <alignment horizontal="left" indent="3"/>
    </xf>
    <xf numFmtId="164" fontId="2" fillId="10" borderId="9" xfId="1" applyNumberFormat="1" applyFont="1" applyFill="1" applyBorder="1"/>
    <xf numFmtId="9" fontId="2" fillId="10" borderId="9" xfId="5" applyFont="1" applyFill="1" applyBorder="1"/>
    <xf numFmtId="3" fontId="7" fillId="10" borderId="9" xfId="3" applyNumberFormat="1" applyFont="1" applyFill="1" applyBorder="1"/>
    <xf numFmtId="9" fontId="7" fillId="10" borderId="9" xfId="2" applyFont="1" applyFill="1" applyBorder="1"/>
    <xf numFmtId="0" fontId="13" fillId="10" borderId="0" xfId="3" applyFont="1" applyFill="1" applyAlignment="1">
      <alignment wrapText="1"/>
    </xf>
    <xf numFmtId="0" fontId="13" fillId="10" borderId="8" xfId="3" applyFont="1" applyFill="1" applyBorder="1" applyAlignment="1">
      <alignment horizontal="left" indent="2"/>
    </xf>
    <xf numFmtId="0" fontId="13" fillId="0" borderId="8" xfId="3" applyFont="1" applyBorder="1" applyAlignment="1">
      <alignment horizontal="left" indent="2"/>
    </xf>
    <xf numFmtId="0" fontId="2" fillId="0" borderId="29" xfId="3" applyFont="1" applyBorder="1" applyAlignment="1">
      <alignment horizontal="left" indent="3"/>
    </xf>
    <xf numFmtId="0" fontId="13" fillId="12" borderId="8" xfId="3" applyFont="1" applyFill="1" applyBorder="1" applyAlignment="1">
      <alignment horizontal="left" indent="2"/>
    </xf>
    <xf numFmtId="0" fontId="2" fillId="0" borderId="0" xfId="3" applyFont="1" applyAlignment="1">
      <alignment horizontal="right"/>
    </xf>
    <xf numFmtId="3" fontId="2" fillId="4" borderId="9" xfId="3" applyNumberFormat="1" applyFont="1" applyFill="1" applyBorder="1"/>
    <xf numFmtId="164" fontId="2" fillId="4" borderId="9" xfId="1" applyNumberFormat="1" applyFont="1" applyFill="1" applyBorder="1"/>
    <xf numFmtId="3" fontId="7" fillId="4" borderId="9" xfId="3" applyNumberFormat="1" applyFont="1" applyFill="1" applyBorder="1"/>
    <xf numFmtId="9" fontId="7" fillId="4" borderId="9" xfId="2" applyFont="1" applyFill="1" applyBorder="1"/>
    <xf numFmtId="9" fontId="2" fillId="0" borderId="11" xfId="5" applyFont="1" applyFill="1" applyBorder="1" applyAlignment="1">
      <alignment wrapText="1"/>
    </xf>
    <xf numFmtId="9" fontId="2" fillId="0" borderId="12" xfId="5" applyFont="1" applyFill="1" applyBorder="1" applyAlignment="1">
      <alignment wrapText="1"/>
    </xf>
    <xf numFmtId="0" fontId="2" fillId="4" borderId="0" xfId="3" quotePrefix="1" applyFont="1" applyFill="1"/>
    <xf numFmtId="0" fontId="2" fillId="4" borderId="0" xfId="3" applyFont="1" applyFill="1"/>
    <xf numFmtId="49" fontId="2" fillId="4" borderId="7" xfId="3" applyNumberFormat="1" applyFont="1" applyFill="1" applyBorder="1" applyAlignment="1">
      <alignment horizontal="left" indent="2"/>
    </xf>
    <xf numFmtId="49" fontId="2" fillId="4" borderId="8" xfId="3" applyNumberFormat="1" applyFont="1" applyFill="1" applyBorder="1" applyAlignment="1">
      <alignment horizontal="left" wrapText="1" indent="4"/>
    </xf>
    <xf numFmtId="9" fontId="7" fillId="0" borderId="12" xfId="2" applyFont="1" applyFill="1" applyBorder="1" applyAlignment="1"/>
    <xf numFmtId="0" fontId="19" fillId="0" borderId="0" xfId="3" quotePrefix="1" applyFont="1"/>
    <xf numFmtId="164" fontId="17" fillId="0" borderId="9" xfId="1" applyNumberFormat="1" applyFont="1" applyBorder="1"/>
    <xf numFmtId="3" fontId="18" fillId="0" borderId="9" xfId="3" applyNumberFormat="1" applyFont="1" applyBorder="1"/>
    <xf numFmtId="0" fontId="19" fillId="0" borderId="0" xfId="3" applyFont="1"/>
    <xf numFmtId="9" fontId="18" fillId="0" borderId="9" xfId="2" applyFont="1" applyFill="1" applyBorder="1"/>
    <xf numFmtId="0" fontId="20" fillId="0" borderId="0" xfId="3" applyFont="1"/>
    <xf numFmtId="0" fontId="20" fillId="0" borderId="0" xfId="3" quotePrefix="1" applyFont="1"/>
    <xf numFmtId="49" fontId="9" fillId="0" borderId="7" xfId="3" applyNumberFormat="1" applyFont="1" applyBorder="1" applyAlignment="1">
      <alignment horizontal="left" indent="2"/>
    </xf>
    <xf numFmtId="49" fontId="9" fillId="0" borderId="8" xfId="3" applyNumberFormat="1" applyFont="1" applyBorder="1" applyAlignment="1">
      <alignment horizontal="left" wrapText="1" indent="4"/>
    </xf>
    <xf numFmtId="3" fontId="9" fillId="0" borderId="9" xfId="3" applyNumberFormat="1" applyFont="1" applyBorder="1"/>
    <xf numFmtId="164" fontId="9" fillId="0" borderId="9" xfId="1" applyNumberFormat="1" applyFont="1" applyBorder="1"/>
    <xf numFmtId="3" fontId="10" fillId="0" borderId="9" xfId="3" applyNumberFormat="1" applyFont="1" applyBorder="1"/>
    <xf numFmtId="9" fontId="10" fillId="0" borderId="9" xfId="2" applyFont="1" applyFill="1" applyBorder="1"/>
    <xf numFmtId="0" fontId="21" fillId="0" borderId="0" xfId="3" applyFont="1"/>
    <xf numFmtId="49" fontId="2" fillId="0" borderId="7" xfId="3" applyNumberFormat="1" applyFont="1" applyBorder="1" applyAlignment="1">
      <alignment horizontal="left" indent="3"/>
    </xf>
    <xf numFmtId="49" fontId="9" fillId="2" borderId="7" xfId="3" applyNumberFormat="1" applyFont="1" applyFill="1" applyBorder="1" applyAlignment="1">
      <alignment horizontal="left" indent="1"/>
    </xf>
    <xf numFmtId="9" fontId="14" fillId="0" borderId="9" xfId="5" applyFont="1" applyFill="1" applyBorder="1" applyAlignment="1">
      <alignment wrapText="1"/>
    </xf>
    <xf numFmtId="49" fontId="22" fillId="2" borderId="7" xfId="3" applyNumberFormat="1" applyFont="1" applyFill="1" applyBorder="1" applyAlignment="1">
      <alignment horizontal="left" indent="1"/>
    </xf>
    <xf numFmtId="0" fontId="9" fillId="0" borderId="0" xfId="3" quotePrefix="1" applyFont="1"/>
    <xf numFmtId="49" fontId="9" fillId="0" borderId="14" xfId="3" applyNumberFormat="1" applyFont="1" applyBorder="1"/>
    <xf numFmtId="49" fontId="9" fillId="0" borderId="15" xfId="3" applyNumberFormat="1" applyFont="1" applyBorder="1" applyAlignment="1">
      <alignment horizontal="right" wrapText="1"/>
    </xf>
    <xf numFmtId="3" fontId="9" fillId="0" borderId="30" xfId="3" applyNumberFormat="1" applyFont="1" applyBorder="1"/>
    <xf numFmtId="164" fontId="9" fillId="0" borderId="30" xfId="1" applyNumberFormat="1" applyFont="1" applyBorder="1"/>
    <xf numFmtId="3" fontId="10" fillId="0" borderId="30" xfId="3" applyNumberFormat="1" applyFont="1" applyBorder="1"/>
    <xf numFmtId="9" fontId="10" fillId="0" borderId="30" xfId="2" applyFont="1" applyBorder="1"/>
    <xf numFmtId="3" fontId="9" fillId="0" borderId="0" xfId="3" applyNumberFormat="1" applyFont="1"/>
    <xf numFmtId="3" fontId="9" fillId="0" borderId="31" xfId="3" applyNumberFormat="1" applyFont="1" applyBorder="1"/>
    <xf numFmtId="164" fontId="9" fillId="0" borderId="31" xfId="1" applyNumberFormat="1" applyFont="1" applyBorder="1"/>
    <xf numFmtId="9" fontId="2" fillId="0" borderId="31" xfId="5" applyFont="1" applyBorder="1"/>
    <xf numFmtId="3" fontId="10" fillId="0" borderId="31" xfId="3" applyNumberFormat="1" applyFont="1" applyBorder="1"/>
    <xf numFmtId="9" fontId="10" fillId="0" borderId="31" xfId="2" applyFont="1" applyBorder="1"/>
    <xf numFmtId="49" fontId="9" fillId="3" borderId="32" xfId="3" applyNumberFormat="1" applyFont="1" applyFill="1" applyBorder="1" applyAlignment="1">
      <alignment horizontal="center"/>
    </xf>
    <xf numFmtId="49" fontId="9" fillId="3" borderId="33" xfId="3" applyNumberFormat="1" applyFont="1" applyFill="1" applyBorder="1" applyAlignment="1">
      <alignment wrapText="1"/>
    </xf>
    <xf numFmtId="3" fontId="9" fillId="3" borderId="34" xfId="3" applyNumberFormat="1" applyFont="1" applyFill="1" applyBorder="1"/>
    <xf numFmtId="164" fontId="9" fillId="3" borderId="34" xfId="1" applyNumberFormat="1" applyFont="1" applyFill="1" applyBorder="1"/>
    <xf numFmtId="9" fontId="9" fillId="3" borderId="34" xfId="5" applyFont="1" applyFill="1" applyBorder="1"/>
    <xf numFmtId="3" fontId="10" fillId="3" borderId="34" xfId="3" applyNumberFormat="1" applyFont="1" applyFill="1" applyBorder="1"/>
    <xf numFmtId="9" fontId="10" fillId="3" borderId="34" xfId="2" applyFont="1" applyFill="1" applyBorder="1"/>
    <xf numFmtId="165" fontId="7" fillId="0" borderId="0" xfId="3" applyNumberFormat="1" applyFont="1"/>
    <xf numFmtId="164" fontId="7" fillId="0" borderId="0" xfId="3" applyNumberFormat="1" applyFont="1"/>
    <xf numFmtId="9" fontId="2" fillId="0" borderId="13" xfId="5" applyFont="1" applyFill="1" applyBorder="1" applyAlignment="1">
      <alignment wrapText="1"/>
    </xf>
    <xf numFmtId="3" fontId="7" fillId="0" borderId="11" xfId="3" applyNumberFormat="1" applyFont="1" applyBorder="1" applyAlignment="1">
      <alignment horizontal="right"/>
    </xf>
    <xf numFmtId="3" fontId="7" fillId="0" borderId="12" xfId="3" applyNumberFormat="1" applyFont="1" applyBorder="1" applyAlignment="1">
      <alignment horizontal="right"/>
    </xf>
    <xf numFmtId="9" fontId="7" fillId="0" borderId="11" xfId="2" applyFont="1" applyBorder="1" applyAlignment="1">
      <alignment horizontal="right" wrapText="1"/>
    </xf>
    <xf numFmtId="9" fontId="7" fillId="0" borderId="12" xfId="2" applyFont="1" applyBorder="1" applyAlignment="1">
      <alignment horizontal="right" wrapText="1"/>
    </xf>
    <xf numFmtId="9" fontId="2" fillId="0" borderId="11" xfId="5" applyFont="1" applyFill="1" applyBorder="1" applyAlignment="1">
      <alignment horizontal="left" wrapText="1"/>
    </xf>
    <xf numFmtId="9" fontId="2" fillId="0" borderId="12" xfId="5" applyFont="1" applyFill="1" applyBorder="1" applyAlignment="1">
      <alignment horizontal="left" wrapText="1"/>
    </xf>
    <xf numFmtId="0" fontId="3" fillId="0" borderId="0" xfId="4" applyFont="1"/>
    <xf numFmtId="0" fontId="8" fillId="0" borderId="0" xfId="4" applyFont="1"/>
    <xf numFmtId="3" fontId="15" fillId="8" borderId="11" xfId="3" applyNumberFormat="1" applyFont="1" applyFill="1" applyBorder="1" applyAlignment="1">
      <alignment horizontal="right" vertical="center"/>
    </xf>
    <xf numFmtId="3" fontId="15" fillId="8" borderId="12" xfId="3" applyNumberFormat="1" applyFont="1" applyFill="1" applyBorder="1" applyAlignment="1">
      <alignment horizontal="right" vertical="center"/>
    </xf>
    <xf numFmtId="9" fontId="15" fillId="8" borderId="11" xfId="2" applyFont="1" applyFill="1" applyBorder="1" applyAlignment="1">
      <alignment horizontal="right" vertical="center"/>
    </xf>
    <xf numFmtId="9" fontId="15" fillId="8" borderId="12" xfId="2" applyFont="1" applyFill="1" applyBorder="1" applyAlignment="1">
      <alignment horizontal="right" vertical="center"/>
    </xf>
    <xf numFmtId="3" fontId="7" fillId="0" borderId="11" xfId="3" applyNumberFormat="1" applyFont="1" applyBorder="1" applyAlignment="1">
      <alignment horizontal="right" vertical="center"/>
    </xf>
    <xf numFmtId="3" fontId="7" fillId="0" borderId="12" xfId="3" applyNumberFormat="1" applyFont="1" applyBorder="1" applyAlignment="1">
      <alignment horizontal="right" vertical="center"/>
    </xf>
    <xf numFmtId="9" fontId="7" fillId="9" borderId="11" xfId="2" applyFont="1" applyFill="1" applyBorder="1" applyAlignment="1">
      <alignment horizontal="right" vertical="center"/>
    </xf>
    <xf numFmtId="9" fontId="7" fillId="9" borderId="12" xfId="2" applyFont="1" applyFill="1" applyBorder="1" applyAlignment="1">
      <alignment horizontal="right" vertical="center"/>
    </xf>
    <xf numFmtId="0" fontId="1" fillId="0" borderId="0" xfId="3"/>
    <xf numFmtId="9" fontId="2" fillId="0" borderId="11" xfId="5" applyFont="1" applyBorder="1" applyAlignment="1">
      <alignment horizontal="left" wrapText="1"/>
    </xf>
    <xf numFmtId="9" fontId="2" fillId="0" borderId="12" xfId="5" applyFont="1" applyBorder="1" applyAlignment="1">
      <alignment horizontal="left" wrapText="1"/>
    </xf>
    <xf numFmtId="164" fontId="2" fillId="14" borderId="9" xfId="1" applyNumberFormat="1" applyFont="1" applyFill="1" applyBorder="1"/>
    <xf numFmtId="9" fontId="2" fillId="14" borderId="9" xfId="5" applyFont="1" applyFill="1" applyBorder="1" applyAlignment="1">
      <alignment wrapText="1"/>
    </xf>
  </cellXfs>
  <cellStyles count="10">
    <cellStyle name="Comma" xfId="1" builtinId="3"/>
    <cellStyle name="Hyperlink" xfId="7" builtinId="8"/>
    <cellStyle name="Komats 10" xfId="6" xr:uid="{9F972DB4-42DF-4F9B-8443-A10602CF6F9E}"/>
    <cellStyle name="Normal" xfId="0" builtinId="0"/>
    <cellStyle name="Normal 2 2" xfId="8" xr:uid="{21D04BBF-807A-4360-983A-46BCF8401C16}"/>
    <cellStyle name="Parasts 2 2 5" xfId="3" xr:uid="{A790ADC9-ACA6-43F0-B0C0-4B275244581D}"/>
    <cellStyle name="Parasts 2 2 5 2" xfId="4" xr:uid="{66D0874A-A52A-488E-8EC5-C7E546DD282F}"/>
    <cellStyle name="Percent" xfId="2" builtinId="5"/>
    <cellStyle name="Percent 4" xfId="9" xr:uid="{4544068F-EBAC-4652-855C-FD2F5E30C1E8}"/>
    <cellStyle name="Procenti 2 3" xfId="5" xr:uid="{7AED7A86-4027-47B5-A8C7-3BD77D15C998}"/>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F30E-88B4-4A41-90B0-3AD04EB74EB2}">
  <sheetPr>
    <tabColor rgb="FF92D050"/>
  </sheetPr>
  <dimension ref="A1:M266"/>
  <sheetViews>
    <sheetView tabSelected="1" zoomScale="98" zoomScaleNormal="98" zoomScaleSheetLayoutView="80" workbookViewId="0">
      <pane xSplit="4" ySplit="5" topLeftCell="E6" activePane="bottomRight" state="frozen"/>
      <selection activeCell="C1" sqref="C1"/>
      <selection pane="topRight" activeCell="E1" sqref="E1"/>
      <selection pane="bottomLeft" activeCell="C6" sqref="C6"/>
      <selection pane="bottomRight" activeCell="H2" sqref="H2"/>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54" customWidth="1" collapsed="1"/>
    <col min="4" max="4" width="44" style="4" customWidth="1"/>
    <col min="5" max="5" width="14.85546875" style="11" customWidth="1"/>
    <col min="6" max="6" width="14.85546875" style="11" customWidth="1" collapsed="1"/>
    <col min="7" max="7" width="14.85546875" style="1" customWidth="1"/>
    <col min="8" max="8" width="70.7109375" style="18" customWidth="1" collapsed="1"/>
    <col min="9" max="9" width="14.85546875" style="107" hidden="1" customWidth="1" outlineLevel="1" collapsed="1"/>
    <col min="10" max="10" width="14.85546875" style="155" hidden="1" customWidth="1" outlineLevel="1" collapsed="1"/>
    <col min="11" max="11" width="45.85546875" style="107" hidden="1" customWidth="1" outlineLevel="1" collapsed="1"/>
    <col min="12" max="12" width="9.140625" style="1" collapsed="1"/>
    <col min="13" max="177" width="9.140625" style="1"/>
    <col min="178" max="179" width="0" style="1" hidden="1" customWidth="1"/>
    <col min="180" max="180" width="13.7109375" style="1" customWidth="1"/>
    <col min="181" max="181" width="52.85546875" style="1" customWidth="1"/>
    <col min="182" max="221" width="0" style="1" hidden="1" customWidth="1"/>
    <col min="222" max="223" width="14.85546875" style="1" customWidth="1"/>
    <col min="224" max="225" width="0" style="1" hidden="1" customWidth="1"/>
    <col min="226" max="226" width="14.85546875" style="1" customWidth="1"/>
    <col min="227" max="228" width="0" style="1" hidden="1" customWidth="1"/>
    <col min="229" max="229" width="14.85546875" style="1" customWidth="1"/>
    <col min="230" max="231" width="0" style="1" hidden="1" customWidth="1"/>
    <col min="232" max="232" width="14.85546875" style="1" customWidth="1"/>
    <col min="233" max="234" width="0" style="1" hidden="1" customWidth="1"/>
    <col min="235" max="235" width="14.85546875" style="1" customWidth="1"/>
    <col min="236" max="237" width="0" style="1" hidden="1" customWidth="1"/>
    <col min="238" max="239" width="14.85546875" style="1" customWidth="1"/>
    <col min="240" max="240" width="44.42578125" style="1" customWidth="1"/>
    <col min="241" max="245" width="14.85546875" style="1" customWidth="1"/>
    <col min="246" max="246" width="63.85546875" style="1" customWidth="1"/>
    <col min="247" max="247" width="13.28515625" style="1" customWidth="1"/>
    <col min="248" max="433" width="9.140625" style="1"/>
    <col min="434" max="435" width="0" style="1" hidden="1" customWidth="1"/>
    <col min="436" max="436" width="13.7109375" style="1" customWidth="1"/>
    <col min="437" max="437" width="52.85546875" style="1" customWidth="1"/>
    <col min="438" max="477" width="0" style="1" hidden="1" customWidth="1"/>
    <col min="478" max="479" width="14.85546875" style="1" customWidth="1"/>
    <col min="480" max="481" width="0" style="1" hidden="1" customWidth="1"/>
    <col min="482" max="482" width="14.85546875" style="1" customWidth="1"/>
    <col min="483" max="484" width="0" style="1" hidden="1" customWidth="1"/>
    <col min="485" max="485" width="14.85546875" style="1" customWidth="1"/>
    <col min="486" max="487" width="0" style="1" hidden="1" customWidth="1"/>
    <col min="488" max="488" width="14.85546875" style="1" customWidth="1"/>
    <col min="489" max="490" width="0" style="1" hidden="1" customWidth="1"/>
    <col min="491" max="491" width="14.85546875" style="1" customWidth="1"/>
    <col min="492" max="493" width="0" style="1" hidden="1" customWidth="1"/>
    <col min="494" max="495" width="14.85546875" style="1" customWidth="1"/>
    <col min="496" max="496" width="44.42578125" style="1" customWidth="1"/>
    <col min="497" max="501" width="14.85546875" style="1" customWidth="1"/>
    <col min="502" max="502" width="63.85546875" style="1" customWidth="1"/>
    <col min="503" max="503" width="13.28515625" style="1" customWidth="1"/>
    <col min="504" max="689" width="9.140625" style="1"/>
    <col min="690" max="691" width="0" style="1" hidden="1" customWidth="1"/>
    <col min="692" max="692" width="13.7109375" style="1" customWidth="1"/>
    <col min="693" max="693" width="52.85546875" style="1" customWidth="1"/>
    <col min="694" max="733" width="0" style="1" hidden="1" customWidth="1"/>
    <col min="734" max="735" width="14.85546875" style="1" customWidth="1"/>
    <col min="736" max="737" width="0" style="1" hidden="1" customWidth="1"/>
    <col min="738" max="738" width="14.85546875" style="1" customWidth="1"/>
    <col min="739" max="740" width="0" style="1" hidden="1" customWidth="1"/>
    <col min="741" max="741" width="14.85546875" style="1" customWidth="1"/>
    <col min="742" max="743" width="0" style="1" hidden="1" customWidth="1"/>
    <col min="744" max="744" width="14.85546875" style="1" customWidth="1"/>
    <col min="745" max="746" width="0" style="1" hidden="1" customWidth="1"/>
    <col min="747" max="747" width="14.85546875" style="1" customWidth="1"/>
    <col min="748" max="749" width="0" style="1" hidden="1" customWidth="1"/>
    <col min="750" max="751" width="14.85546875" style="1" customWidth="1"/>
    <col min="752" max="752" width="44.42578125" style="1" customWidth="1"/>
    <col min="753" max="757" width="14.85546875" style="1" customWidth="1"/>
    <col min="758" max="758" width="63.85546875" style="1" customWidth="1"/>
    <col min="759" max="759" width="13.28515625" style="1" customWidth="1"/>
    <col min="760" max="945" width="9.140625" style="1"/>
    <col min="946" max="947" width="0" style="1" hidden="1" customWidth="1"/>
    <col min="948" max="948" width="13.7109375" style="1" customWidth="1"/>
    <col min="949" max="949" width="52.85546875" style="1" customWidth="1"/>
    <col min="950" max="989" width="0" style="1" hidden="1" customWidth="1"/>
    <col min="990" max="991" width="14.85546875" style="1" customWidth="1"/>
    <col min="992" max="993" width="0" style="1" hidden="1" customWidth="1"/>
    <col min="994" max="994" width="14.85546875" style="1" customWidth="1"/>
    <col min="995" max="996" width="0" style="1" hidden="1" customWidth="1"/>
    <col min="997" max="997" width="14.85546875" style="1" customWidth="1"/>
    <col min="998" max="999" width="0" style="1" hidden="1" customWidth="1"/>
    <col min="1000" max="1000" width="14.85546875" style="1" customWidth="1"/>
    <col min="1001" max="1002" width="0" style="1" hidden="1" customWidth="1"/>
    <col min="1003" max="1003" width="14.85546875" style="1" customWidth="1"/>
    <col min="1004" max="1005" width="0" style="1" hidden="1" customWidth="1"/>
    <col min="1006" max="1007" width="14.85546875" style="1" customWidth="1"/>
    <col min="1008" max="1008" width="44.42578125" style="1" customWidth="1"/>
    <col min="1009" max="1013" width="14.85546875" style="1" customWidth="1"/>
    <col min="1014" max="1014" width="63.85546875" style="1" customWidth="1"/>
    <col min="1015" max="1015" width="13.28515625" style="1" customWidth="1"/>
    <col min="1016" max="1201" width="9.140625" style="1"/>
    <col min="1202" max="1203" width="0" style="1" hidden="1" customWidth="1"/>
    <col min="1204" max="1204" width="13.7109375" style="1" customWidth="1"/>
    <col min="1205" max="1205" width="52.85546875" style="1" customWidth="1"/>
    <col min="1206" max="1245" width="0" style="1" hidden="1" customWidth="1"/>
    <col min="1246" max="1247" width="14.85546875" style="1" customWidth="1"/>
    <col min="1248" max="1249" width="0" style="1" hidden="1" customWidth="1"/>
    <col min="1250" max="1250" width="14.85546875" style="1" customWidth="1"/>
    <col min="1251" max="1252" width="0" style="1" hidden="1" customWidth="1"/>
    <col min="1253" max="1253" width="14.85546875" style="1" customWidth="1"/>
    <col min="1254" max="1255" width="0" style="1" hidden="1" customWidth="1"/>
    <col min="1256" max="1256" width="14.85546875" style="1" customWidth="1"/>
    <col min="1257" max="1258" width="0" style="1" hidden="1" customWidth="1"/>
    <col min="1259" max="1259" width="14.85546875" style="1" customWidth="1"/>
    <col min="1260" max="1261" width="0" style="1" hidden="1" customWidth="1"/>
    <col min="1262" max="1263" width="14.85546875" style="1" customWidth="1"/>
    <col min="1264" max="1264" width="44.42578125" style="1" customWidth="1"/>
    <col min="1265" max="1269" width="14.85546875" style="1" customWidth="1"/>
    <col min="1270" max="1270" width="63.85546875" style="1" customWidth="1"/>
    <col min="1271" max="1271" width="13.28515625" style="1" customWidth="1"/>
    <col min="1272" max="1457" width="9.140625" style="1"/>
    <col min="1458" max="1459" width="0" style="1" hidden="1" customWidth="1"/>
    <col min="1460" max="1460" width="13.7109375" style="1" customWidth="1"/>
    <col min="1461" max="1461" width="52.85546875" style="1" customWidth="1"/>
    <col min="1462" max="1501" width="0" style="1" hidden="1" customWidth="1"/>
    <col min="1502" max="1503" width="14.85546875" style="1" customWidth="1"/>
    <col min="1504" max="1505" width="0" style="1" hidden="1" customWidth="1"/>
    <col min="1506" max="1506" width="14.85546875" style="1" customWidth="1"/>
    <col min="1507" max="1508" width="0" style="1" hidden="1" customWidth="1"/>
    <col min="1509" max="1509" width="14.85546875" style="1" customWidth="1"/>
    <col min="1510" max="1511" width="0" style="1" hidden="1" customWidth="1"/>
    <col min="1512" max="1512" width="14.85546875" style="1" customWidth="1"/>
    <col min="1513" max="1514" width="0" style="1" hidden="1" customWidth="1"/>
    <col min="1515" max="1515" width="14.85546875" style="1" customWidth="1"/>
    <col min="1516" max="1517" width="0" style="1" hidden="1" customWidth="1"/>
    <col min="1518" max="1519" width="14.85546875" style="1" customWidth="1"/>
    <col min="1520" max="1520" width="44.42578125" style="1" customWidth="1"/>
    <col min="1521" max="1525" width="14.85546875" style="1" customWidth="1"/>
    <col min="1526" max="1526" width="63.85546875" style="1" customWidth="1"/>
    <col min="1527" max="1527" width="13.28515625" style="1" customWidth="1"/>
    <col min="1528" max="1713" width="9.140625" style="1"/>
    <col min="1714" max="1715" width="0" style="1" hidden="1" customWidth="1"/>
    <col min="1716" max="1716" width="13.7109375" style="1" customWidth="1"/>
    <col min="1717" max="1717" width="52.85546875" style="1" customWidth="1"/>
    <col min="1718" max="1757" width="0" style="1" hidden="1" customWidth="1"/>
    <col min="1758" max="1759" width="14.85546875" style="1" customWidth="1"/>
    <col min="1760" max="1761" width="0" style="1" hidden="1" customWidth="1"/>
    <col min="1762" max="1762" width="14.85546875" style="1" customWidth="1"/>
    <col min="1763" max="1764" width="0" style="1" hidden="1" customWidth="1"/>
    <col min="1765" max="1765" width="14.85546875" style="1" customWidth="1"/>
    <col min="1766" max="1767" width="0" style="1" hidden="1" customWidth="1"/>
    <col min="1768" max="1768" width="14.85546875" style="1" customWidth="1"/>
    <col min="1769" max="1770" width="0" style="1" hidden="1" customWidth="1"/>
    <col min="1771" max="1771" width="14.85546875" style="1" customWidth="1"/>
    <col min="1772" max="1773" width="0" style="1" hidden="1" customWidth="1"/>
    <col min="1774" max="1775" width="14.85546875" style="1" customWidth="1"/>
    <col min="1776" max="1776" width="44.42578125" style="1" customWidth="1"/>
    <col min="1777" max="1781" width="14.85546875" style="1" customWidth="1"/>
    <col min="1782" max="1782" width="63.85546875" style="1" customWidth="1"/>
    <col min="1783" max="1783" width="13.28515625" style="1" customWidth="1"/>
    <col min="1784" max="1969" width="9.140625" style="1"/>
    <col min="1970" max="1971" width="0" style="1" hidden="1" customWidth="1"/>
    <col min="1972" max="1972" width="13.7109375" style="1" customWidth="1"/>
    <col min="1973" max="1973" width="52.85546875" style="1" customWidth="1"/>
    <col min="1974" max="2013" width="0" style="1" hidden="1" customWidth="1"/>
    <col min="2014" max="2015" width="14.85546875" style="1" customWidth="1"/>
    <col min="2016" max="2017" width="0" style="1" hidden="1" customWidth="1"/>
    <col min="2018" max="2018" width="14.85546875" style="1" customWidth="1"/>
    <col min="2019" max="2020" width="0" style="1" hidden="1" customWidth="1"/>
    <col min="2021" max="2021" width="14.85546875" style="1" customWidth="1"/>
    <col min="2022" max="2023" width="0" style="1" hidden="1" customWidth="1"/>
    <col min="2024" max="2024" width="14.85546875" style="1" customWidth="1"/>
    <col min="2025" max="2026" width="0" style="1" hidden="1" customWidth="1"/>
    <col min="2027" max="2027" width="14.85546875" style="1" customWidth="1"/>
    <col min="2028" max="2029" width="0" style="1" hidden="1" customWidth="1"/>
    <col min="2030" max="2031" width="14.85546875" style="1" customWidth="1"/>
    <col min="2032" max="2032" width="44.42578125" style="1" customWidth="1"/>
    <col min="2033" max="2037" width="14.85546875" style="1" customWidth="1"/>
    <col min="2038" max="2038" width="63.85546875" style="1" customWidth="1"/>
    <col min="2039" max="2039" width="13.28515625" style="1" customWidth="1"/>
    <col min="2040" max="2225" width="9.140625" style="1"/>
    <col min="2226" max="2227" width="0" style="1" hidden="1" customWidth="1"/>
    <col min="2228" max="2228" width="13.7109375" style="1" customWidth="1"/>
    <col min="2229" max="2229" width="52.85546875" style="1" customWidth="1"/>
    <col min="2230" max="2269" width="0" style="1" hidden="1" customWidth="1"/>
    <col min="2270" max="2271" width="14.85546875" style="1" customWidth="1"/>
    <col min="2272" max="2273" width="0" style="1" hidden="1" customWidth="1"/>
    <col min="2274" max="2274" width="14.85546875" style="1" customWidth="1"/>
    <col min="2275" max="2276" width="0" style="1" hidden="1" customWidth="1"/>
    <col min="2277" max="2277" width="14.85546875" style="1" customWidth="1"/>
    <col min="2278" max="2279" width="0" style="1" hidden="1" customWidth="1"/>
    <col min="2280" max="2280" width="14.85546875" style="1" customWidth="1"/>
    <col min="2281" max="2282" width="0" style="1" hidden="1" customWidth="1"/>
    <col min="2283" max="2283" width="14.85546875" style="1" customWidth="1"/>
    <col min="2284" max="2285" width="0" style="1" hidden="1" customWidth="1"/>
    <col min="2286" max="2287" width="14.85546875" style="1" customWidth="1"/>
    <col min="2288" max="2288" width="44.42578125" style="1" customWidth="1"/>
    <col min="2289" max="2293" width="14.85546875" style="1" customWidth="1"/>
    <col min="2294" max="2294" width="63.85546875" style="1" customWidth="1"/>
    <col min="2295" max="2295" width="13.28515625" style="1" customWidth="1"/>
    <col min="2296" max="2481" width="9.140625" style="1"/>
    <col min="2482" max="2483" width="0" style="1" hidden="1" customWidth="1"/>
    <col min="2484" max="2484" width="13.7109375" style="1" customWidth="1"/>
    <col min="2485" max="2485" width="52.85546875" style="1" customWidth="1"/>
    <col min="2486" max="2525" width="0" style="1" hidden="1" customWidth="1"/>
    <col min="2526" max="2527" width="14.85546875" style="1" customWidth="1"/>
    <col min="2528" max="2529" width="0" style="1" hidden="1" customWidth="1"/>
    <col min="2530" max="2530" width="14.85546875" style="1" customWidth="1"/>
    <col min="2531" max="2532" width="0" style="1" hidden="1" customWidth="1"/>
    <col min="2533" max="2533" width="14.85546875" style="1" customWidth="1"/>
    <col min="2534" max="2535" width="0" style="1" hidden="1" customWidth="1"/>
    <col min="2536" max="2536" width="14.85546875" style="1" customWidth="1"/>
    <col min="2537" max="2538" width="0" style="1" hidden="1" customWidth="1"/>
    <col min="2539" max="2539" width="14.85546875" style="1" customWidth="1"/>
    <col min="2540" max="2541" width="0" style="1" hidden="1" customWidth="1"/>
    <col min="2542" max="2543" width="14.85546875" style="1" customWidth="1"/>
    <col min="2544" max="2544" width="44.42578125" style="1" customWidth="1"/>
    <col min="2545" max="2549" width="14.85546875" style="1" customWidth="1"/>
    <col min="2550" max="2550" width="63.85546875" style="1" customWidth="1"/>
    <col min="2551" max="2551" width="13.28515625" style="1" customWidth="1"/>
    <col min="2552" max="2737" width="9.140625" style="1"/>
    <col min="2738" max="2739" width="0" style="1" hidden="1" customWidth="1"/>
    <col min="2740" max="2740" width="13.7109375" style="1" customWidth="1"/>
    <col min="2741" max="2741" width="52.85546875" style="1" customWidth="1"/>
    <col min="2742" max="2781" width="0" style="1" hidden="1" customWidth="1"/>
    <col min="2782" max="2783" width="14.85546875" style="1" customWidth="1"/>
    <col min="2784" max="2785" width="0" style="1" hidden="1" customWidth="1"/>
    <col min="2786" max="2786" width="14.85546875" style="1" customWidth="1"/>
    <col min="2787" max="2788" width="0" style="1" hidden="1" customWidth="1"/>
    <col min="2789" max="2789" width="14.85546875" style="1" customWidth="1"/>
    <col min="2790" max="2791" width="0" style="1" hidden="1" customWidth="1"/>
    <col min="2792" max="2792" width="14.85546875" style="1" customWidth="1"/>
    <col min="2793" max="2794" width="0" style="1" hidden="1" customWidth="1"/>
    <col min="2795" max="2795" width="14.85546875" style="1" customWidth="1"/>
    <col min="2796" max="2797" width="0" style="1" hidden="1" customWidth="1"/>
    <col min="2798" max="2799" width="14.85546875" style="1" customWidth="1"/>
    <col min="2800" max="2800" width="44.42578125" style="1" customWidth="1"/>
    <col min="2801" max="2805" width="14.85546875" style="1" customWidth="1"/>
    <col min="2806" max="2806" width="63.85546875" style="1" customWidth="1"/>
    <col min="2807" max="2807" width="13.28515625" style="1" customWidth="1"/>
    <col min="2808" max="2993" width="9.140625" style="1"/>
    <col min="2994" max="2995" width="0" style="1" hidden="1" customWidth="1"/>
    <col min="2996" max="2996" width="13.7109375" style="1" customWidth="1"/>
    <col min="2997" max="2997" width="52.85546875" style="1" customWidth="1"/>
    <col min="2998" max="3037" width="0" style="1" hidden="1" customWidth="1"/>
    <col min="3038" max="3039" width="14.85546875" style="1" customWidth="1"/>
    <col min="3040" max="3041" width="0" style="1" hidden="1" customWidth="1"/>
    <col min="3042" max="3042" width="14.85546875" style="1" customWidth="1"/>
    <col min="3043" max="3044" width="0" style="1" hidden="1" customWidth="1"/>
    <col min="3045" max="3045" width="14.85546875" style="1" customWidth="1"/>
    <col min="3046" max="3047" width="0" style="1" hidden="1" customWidth="1"/>
    <col min="3048" max="3048" width="14.85546875" style="1" customWidth="1"/>
    <col min="3049" max="3050" width="0" style="1" hidden="1" customWidth="1"/>
    <col min="3051" max="3051" width="14.85546875" style="1" customWidth="1"/>
    <col min="3052" max="3053" width="0" style="1" hidden="1" customWidth="1"/>
    <col min="3054" max="3055" width="14.85546875" style="1" customWidth="1"/>
    <col min="3056" max="3056" width="44.42578125" style="1" customWidth="1"/>
    <col min="3057" max="3061" width="14.85546875" style="1" customWidth="1"/>
    <col min="3062" max="3062" width="63.85546875" style="1" customWidth="1"/>
    <col min="3063" max="3063" width="13.28515625" style="1" customWidth="1"/>
    <col min="3064" max="3249" width="9.140625" style="1"/>
    <col min="3250" max="3251" width="0" style="1" hidden="1" customWidth="1"/>
    <col min="3252" max="3252" width="13.7109375" style="1" customWidth="1"/>
    <col min="3253" max="3253" width="52.85546875" style="1" customWidth="1"/>
    <col min="3254" max="3293" width="0" style="1" hidden="1" customWidth="1"/>
    <col min="3294" max="3295" width="14.85546875" style="1" customWidth="1"/>
    <col min="3296" max="3297" width="0" style="1" hidden="1" customWidth="1"/>
    <col min="3298" max="3298" width="14.85546875" style="1" customWidth="1"/>
    <col min="3299" max="3300" width="0" style="1" hidden="1" customWidth="1"/>
    <col min="3301" max="3301" width="14.85546875" style="1" customWidth="1"/>
    <col min="3302" max="3303" width="0" style="1" hidden="1" customWidth="1"/>
    <col min="3304" max="3304" width="14.85546875" style="1" customWidth="1"/>
    <col min="3305" max="3306" width="0" style="1" hidden="1" customWidth="1"/>
    <col min="3307" max="3307" width="14.85546875" style="1" customWidth="1"/>
    <col min="3308" max="3309" width="0" style="1" hidden="1" customWidth="1"/>
    <col min="3310" max="3311" width="14.85546875" style="1" customWidth="1"/>
    <col min="3312" max="3312" width="44.42578125" style="1" customWidth="1"/>
    <col min="3313" max="3317" width="14.85546875" style="1" customWidth="1"/>
    <col min="3318" max="3318" width="63.85546875" style="1" customWidth="1"/>
    <col min="3319" max="3319" width="13.28515625" style="1" customWidth="1"/>
    <col min="3320" max="3505" width="9.140625" style="1"/>
    <col min="3506" max="3507" width="0" style="1" hidden="1" customWidth="1"/>
    <col min="3508" max="3508" width="13.7109375" style="1" customWidth="1"/>
    <col min="3509" max="3509" width="52.85546875" style="1" customWidth="1"/>
    <col min="3510" max="3549" width="0" style="1" hidden="1" customWidth="1"/>
    <col min="3550" max="3551" width="14.85546875" style="1" customWidth="1"/>
    <col min="3552" max="3553" width="0" style="1" hidden="1" customWidth="1"/>
    <col min="3554" max="3554" width="14.85546875" style="1" customWidth="1"/>
    <col min="3555" max="3556" width="0" style="1" hidden="1" customWidth="1"/>
    <col min="3557" max="3557" width="14.85546875" style="1" customWidth="1"/>
    <col min="3558" max="3559" width="0" style="1" hidden="1" customWidth="1"/>
    <col min="3560" max="3560" width="14.85546875" style="1" customWidth="1"/>
    <col min="3561" max="3562" width="0" style="1" hidden="1" customWidth="1"/>
    <col min="3563" max="3563" width="14.85546875" style="1" customWidth="1"/>
    <col min="3564" max="3565" width="0" style="1" hidden="1" customWidth="1"/>
    <col min="3566" max="3567" width="14.85546875" style="1" customWidth="1"/>
    <col min="3568" max="3568" width="44.42578125" style="1" customWidth="1"/>
    <col min="3569" max="3573" width="14.85546875" style="1" customWidth="1"/>
    <col min="3574" max="3574" width="63.85546875" style="1" customWidth="1"/>
    <col min="3575" max="3575" width="13.28515625" style="1" customWidth="1"/>
    <col min="3576" max="3761" width="9.140625" style="1"/>
    <col min="3762" max="3763" width="0" style="1" hidden="1" customWidth="1"/>
    <col min="3764" max="3764" width="13.7109375" style="1" customWidth="1"/>
    <col min="3765" max="3765" width="52.85546875" style="1" customWidth="1"/>
    <col min="3766" max="3805" width="0" style="1" hidden="1" customWidth="1"/>
    <col min="3806" max="3807" width="14.85546875" style="1" customWidth="1"/>
    <col min="3808" max="3809" width="0" style="1" hidden="1" customWidth="1"/>
    <col min="3810" max="3810" width="14.85546875" style="1" customWidth="1"/>
    <col min="3811" max="3812" width="0" style="1" hidden="1" customWidth="1"/>
    <col min="3813" max="3813" width="14.85546875" style="1" customWidth="1"/>
    <col min="3814" max="3815" width="0" style="1" hidden="1" customWidth="1"/>
    <col min="3816" max="3816" width="14.85546875" style="1" customWidth="1"/>
    <col min="3817" max="3818" width="0" style="1" hidden="1" customWidth="1"/>
    <col min="3819" max="3819" width="14.85546875" style="1" customWidth="1"/>
    <col min="3820" max="3821" width="0" style="1" hidden="1" customWidth="1"/>
    <col min="3822" max="3823" width="14.85546875" style="1" customWidth="1"/>
    <col min="3824" max="3824" width="44.42578125" style="1" customWidth="1"/>
    <col min="3825" max="3829" width="14.85546875" style="1" customWidth="1"/>
    <col min="3830" max="3830" width="63.85546875" style="1" customWidth="1"/>
    <col min="3831" max="3831" width="13.28515625" style="1" customWidth="1"/>
    <col min="3832" max="4017" width="9.140625" style="1"/>
    <col min="4018" max="4019" width="0" style="1" hidden="1" customWidth="1"/>
    <col min="4020" max="4020" width="13.7109375" style="1" customWidth="1"/>
    <col min="4021" max="4021" width="52.85546875" style="1" customWidth="1"/>
    <col min="4022" max="4061" width="0" style="1" hidden="1" customWidth="1"/>
    <col min="4062" max="4063" width="14.85546875" style="1" customWidth="1"/>
    <col min="4064" max="4065" width="0" style="1" hidden="1" customWidth="1"/>
    <col min="4066" max="4066" width="14.85546875" style="1" customWidth="1"/>
    <col min="4067" max="4068" width="0" style="1" hidden="1" customWidth="1"/>
    <col min="4069" max="4069" width="14.85546875" style="1" customWidth="1"/>
    <col min="4070" max="4071" width="0" style="1" hidden="1" customWidth="1"/>
    <col min="4072" max="4072" width="14.85546875" style="1" customWidth="1"/>
    <col min="4073" max="4074" width="0" style="1" hidden="1" customWidth="1"/>
    <col min="4075" max="4075" width="14.85546875" style="1" customWidth="1"/>
    <col min="4076" max="4077" width="0" style="1" hidden="1" customWidth="1"/>
    <col min="4078" max="4079" width="14.85546875" style="1" customWidth="1"/>
    <col min="4080" max="4080" width="44.42578125" style="1" customWidth="1"/>
    <col min="4081" max="4085" width="14.85546875" style="1" customWidth="1"/>
    <col min="4086" max="4086" width="63.85546875" style="1" customWidth="1"/>
    <col min="4087" max="4087" width="13.28515625" style="1" customWidth="1"/>
    <col min="4088" max="4273" width="9.140625" style="1"/>
    <col min="4274" max="4275" width="0" style="1" hidden="1" customWidth="1"/>
    <col min="4276" max="4276" width="13.7109375" style="1" customWidth="1"/>
    <col min="4277" max="4277" width="52.85546875" style="1" customWidth="1"/>
    <col min="4278" max="4317" width="0" style="1" hidden="1" customWidth="1"/>
    <col min="4318" max="4319" width="14.85546875" style="1" customWidth="1"/>
    <col min="4320" max="4321" width="0" style="1" hidden="1" customWidth="1"/>
    <col min="4322" max="4322" width="14.85546875" style="1" customWidth="1"/>
    <col min="4323" max="4324" width="0" style="1" hidden="1" customWidth="1"/>
    <col min="4325" max="4325" width="14.85546875" style="1" customWidth="1"/>
    <col min="4326" max="4327" width="0" style="1" hidden="1" customWidth="1"/>
    <col min="4328" max="4328" width="14.85546875" style="1" customWidth="1"/>
    <col min="4329" max="4330" width="0" style="1" hidden="1" customWidth="1"/>
    <col min="4331" max="4331" width="14.85546875" style="1" customWidth="1"/>
    <col min="4332" max="4333" width="0" style="1" hidden="1" customWidth="1"/>
    <col min="4334" max="4335" width="14.85546875" style="1" customWidth="1"/>
    <col min="4336" max="4336" width="44.42578125" style="1" customWidth="1"/>
    <col min="4337" max="4341" width="14.85546875" style="1" customWidth="1"/>
    <col min="4342" max="4342" width="63.85546875" style="1" customWidth="1"/>
    <col min="4343" max="4343" width="13.28515625" style="1" customWidth="1"/>
    <col min="4344" max="4529" width="9.140625" style="1"/>
    <col min="4530" max="4531" width="0" style="1" hidden="1" customWidth="1"/>
    <col min="4532" max="4532" width="13.7109375" style="1" customWidth="1"/>
    <col min="4533" max="4533" width="52.85546875" style="1" customWidth="1"/>
    <col min="4534" max="4573" width="0" style="1" hidden="1" customWidth="1"/>
    <col min="4574" max="4575" width="14.85546875" style="1" customWidth="1"/>
    <col min="4576" max="4577" width="0" style="1" hidden="1" customWidth="1"/>
    <col min="4578" max="4578" width="14.85546875" style="1" customWidth="1"/>
    <col min="4579" max="4580" width="0" style="1" hidden="1" customWidth="1"/>
    <col min="4581" max="4581" width="14.85546875" style="1" customWidth="1"/>
    <col min="4582" max="4583" width="0" style="1" hidden="1" customWidth="1"/>
    <col min="4584" max="4584" width="14.85546875" style="1" customWidth="1"/>
    <col min="4585" max="4586" width="0" style="1" hidden="1" customWidth="1"/>
    <col min="4587" max="4587" width="14.85546875" style="1" customWidth="1"/>
    <col min="4588" max="4589" width="0" style="1" hidden="1" customWidth="1"/>
    <col min="4590" max="4591" width="14.85546875" style="1" customWidth="1"/>
    <col min="4592" max="4592" width="44.42578125" style="1" customWidth="1"/>
    <col min="4593" max="4597" width="14.85546875" style="1" customWidth="1"/>
    <col min="4598" max="4598" width="63.85546875" style="1" customWidth="1"/>
    <col min="4599" max="4599" width="13.28515625" style="1" customWidth="1"/>
    <col min="4600" max="4785" width="9.140625" style="1"/>
    <col min="4786" max="4787" width="0" style="1" hidden="1" customWidth="1"/>
    <col min="4788" max="4788" width="13.7109375" style="1" customWidth="1"/>
    <col min="4789" max="4789" width="52.85546875" style="1" customWidth="1"/>
    <col min="4790" max="4829" width="0" style="1" hidden="1" customWidth="1"/>
    <col min="4830" max="4831" width="14.85546875" style="1" customWidth="1"/>
    <col min="4832" max="4833" width="0" style="1" hidden="1" customWidth="1"/>
    <col min="4834" max="4834" width="14.85546875" style="1" customWidth="1"/>
    <col min="4835" max="4836" width="0" style="1" hidden="1" customWidth="1"/>
    <col min="4837" max="4837" width="14.85546875" style="1" customWidth="1"/>
    <col min="4838" max="4839" width="0" style="1" hidden="1" customWidth="1"/>
    <col min="4840" max="4840" width="14.85546875" style="1" customWidth="1"/>
    <col min="4841" max="4842" width="0" style="1" hidden="1" customWidth="1"/>
    <col min="4843" max="4843" width="14.85546875" style="1" customWidth="1"/>
    <col min="4844" max="4845" width="0" style="1" hidden="1" customWidth="1"/>
    <col min="4846" max="4847" width="14.85546875" style="1" customWidth="1"/>
    <col min="4848" max="4848" width="44.42578125" style="1" customWidth="1"/>
    <col min="4849" max="4853" width="14.85546875" style="1" customWidth="1"/>
    <col min="4854" max="4854" width="63.85546875" style="1" customWidth="1"/>
    <col min="4855" max="4855" width="13.28515625" style="1" customWidth="1"/>
    <col min="4856" max="5041" width="9.140625" style="1"/>
    <col min="5042" max="5043" width="0" style="1" hidden="1" customWidth="1"/>
    <col min="5044" max="5044" width="13.7109375" style="1" customWidth="1"/>
    <col min="5045" max="5045" width="52.85546875" style="1" customWidth="1"/>
    <col min="5046" max="5085" width="0" style="1" hidden="1" customWidth="1"/>
    <col min="5086" max="5087" width="14.85546875" style="1" customWidth="1"/>
    <col min="5088" max="5089" width="0" style="1" hidden="1" customWidth="1"/>
    <col min="5090" max="5090" width="14.85546875" style="1" customWidth="1"/>
    <col min="5091" max="5092" width="0" style="1" hidden="1" customWidth="1"/>
    <col min="5093" max="5093" width="14.85546875" style="1" customWidth="1"/>
    <col min="5094" max="5095" width="0" style="1" hidden="1" customWidth="1"/>
    <col min="5096" max="5096" width="14.85546875" style="1" customWidth="1"/>
    <col min="5097" max="5098" width="0" style="1" hidden="1" customWidth="1"/>
    <col min="5099" max="5099" width="14.85546875" style="1" customWidth="1"/>
    <col min="5100" max="5101" width="0" style="1" hidden="1" customWidth="1"/>
    <col min="5102" max="5103" width="14.85546875" style="1" customWidth="1"/>
    <col min="5104" max="5104" width="44.42578125" style="1" customWidth="1"/>
    <col min="5105" max="5109" width="14.85546875" style="1" customWidth="1"/>
    <col min="5110" max="5110" width="63.85546875" style="1" customWidth="1"/>
    <col min="5111" max="5111" width="13.28515625" style="1" customWidth="1"/>
    <col min="5112" max="5297" width="9.140625" style="1"/>
    <col min="5298" max="5299" width="0" style="1" hidden="1" customWidth="1"/>
    <col min="5300" max="5300" width="13.7109375" style="1" customWidth="1"/>
    <col min="5301" max="5301" width="52.85546875" style="1" customWidth="1"/>
    <col min="5302" max="5341" width="0" style="1" hidden="1" customWidth="1"/>
    <col min="5342" max="5343" width="14.85546875" style="1" customWidth="1"/>
    <col min="5344" max="5345" width="0" style="1" hidden="1" customWidth="1"/>
    <col min="5346" max="5346" width="14.85546875" style="1" customWidth="1"/>
    <col min="5347" max="5348" width="0" style="1" hidden="1" customWidth="1"/>
    <col min="5349" max="5349" width="14.85546875" style="1" customWidth="1"/>
    <col min="5350" max="5351" width="0" style="1" hidden="1" customWidth="1"/>
    <col min="5352" max="5352" width="14.85546875" style="1" customWidth="1"/>
    <col min="5353" max="5354" width="0" style="1" hidden="1" customWidth="1"/>
    <col min="5355" max="5355" width="14.85546875" style="1" customWidth="1"/>
    <col min="5356" max="5357" width="0" style="1" hidden="1" customWidth="1"/>
    <col min="5358" max="5359" width="14.85546875" style="1" customWidth="1"/>
    <col min="5360" max="5360" width="44.42578125" style="1" customWidth="1"/>
    <col min="5361" max="5365" width="14.85546875" style="1" customWidth="1"/>
    <col min="5366" max="5366" width="63.85546875" style="1" customWidth="1"/>
    <col min="5367" max="5367" width="13.28515625" style="1" customWidth="1"/>
    <col min="5368" max="5553" width="9.140625" style="1"/>
    <col min="5554" max="5555" width="0" style="1" hidden="1" customWidth="1"/>
    <col min="5556" max="5556" width="13.7109375" style="1" customWidth="1"/>
    <col min="5557" max="5557" width="52.85546875" style="1" customWidth="1"/>
    <col min="5558" max="5597" width="0" style="1" hidden="1" customWidth="1"/>
    <col min="5598" max="5599" width="14.85546875" style="1" customWidth="1"/>
    <col min="5600" max="5601" width="0" style="1" hidden="1" customWidth="1"/>
    <col min="5602" max="5602" width="14.85546875" style="1" customWidth="1"/>
    <col min="5603" max="5604" width="0" style="1" hidden="1" customWidth="1"/>
    <col min="5605" max="5605" width="14.85546875" style="1" customWidth="1"/>
    <col min="5606" max="5607" width="0" style="1" hidden="1" customWidth="1"/>
    <col min="5608" max="5608" width="14.85546875" style="1" customWidth="1"/>
    <col min="5609" max="5610" width="0" style="1" hidden="1" customWidth="1"/>
    <col min="5611" max="5611" width="14.85546875" style="1" customWidth="1"/>
    <col min="5612" max="5613" width="0" style="1" hidden="1" customWidth="1"/>
    <col min="5614" max="5615" width="14.85546875" style="1" customWidth="1"/>
    <col min="5616" max="5616" width="44.42578125" style="1" customWidth="1"/>
    <col min="5617" max="5621" width="14.85546875" style="1" customWidth="1"/>
    <col min="5622" max="5622" width="63.85546875" style="1" customWidth="1"/>
    <col min="5623" max="5623" width="13.28515625" style="1" customWidth="1"/>
    <col min="5624" max="5809" width="9.140625" style="1"/>
    <col min="5810" max="5811" width="0" style="1" hidden="1" customWidth="1"/>
    <col min="5812" max="5812" width="13.7109375" style="1" customWidth="1"/>
    <col min="5813" max="5813" width="52.85546875" style="1" customWidth="1"/>
    <col min="5814" max="5853" width="0" style="1" hidden="1" customWidth="1"/>
    <col min="5854" max="5855" width="14.85546875" style="1" customWidth="1"/>
    <col min="5856" max="5857" width="0" style="1" hidden="1" customWidth="1"/>
    <col min="5858" max="5858" width="14.85546875" style="1" customWidth="1"/>
    <col min="5859" max="5860" width="0" style="1" hidden="1" customWidth="1"/>
    <col min="5861" max="5861" width="14.85546875" style="1" customWidth="1"/>
    <col min="5862" max="5863" width="0" style="1" hidden="1" customWidth="1"/>
    <col min="5864" max="5864" width="14.85546875" style="1" customWidth="1"/>
    <col min="5865" max="5866" width="0" style="1" hidden="1" customWidth="1"/>
    <col min="5867" max="5867" width="14.85546875" style="1" customWidth="1"/>
    <col min="5868" max="5869" width="0" style="1" hidden="1" customWidth="1"/>
    <col min="5870" max="5871" width="14.85546875" style="1" customWidth="1"/>
    <col min="5872" max="5872" width="44.42578125" style="1" customWidth="1"/>
    <col min="5873" max="5877" width="14.85546875" style="1" customWidth="1"/>
    <col min="5878" max="5878" width="63.85546875" style="1" customWidth="1"/>
    <col min="5879" max="5879" width="13.28515625" style="1" customWidth="1"/>
    <col min="5880" max="6065" width="9.140625" style="1"/>
    <col min="6066" max="6067" width="0" style="1" hidden="1" customWidth="1"/>
    <col min="6068" max="6068" width="13.7109375" style="1" customWidth="1"/>
    <col min="6069" max="6069" width="52.85546875" style="1" customWidth="1"/>
    <col min="6070" max="6109" width="0" style="1" hidden="1" customWidth="1"/>
    <col min="6110" max="6111" width="14.85546875" style="1" customWidth="1"/>
    <col min="6112" max="6113" width="0" style="1" hidden="1" customWidth="1"/>
    <col min="6114" max="6114" width="14.85546875" style="1" customWidth="1"/>
    <col min="6115" max="6116" width="0" style="1" hidden="1" customWidth="1"/>
    <col min="6117" max="6117" width="14.85546875" style="1" customWidth="1"/>
    <col min="6118" max="6119" width="0" style="1" hidden="1" customWidth="1"/>
    <col min="6120" max="6120" width="14.85546875" style="1" customWidth="1"/>
    <col min="6121" max="6122" width="0" style="1" hidden="1" customWidth="1"/>
    <col min="6123" max="6123" width="14.85546875" style="1" customWidth="1"/>
    <col min="6124" max="6125" width="0" style="1" hidden="1" customWidth="1"/>
    <col min="6126" max="6127" width="14.85546875" style="1" customWidth="1"/>
    <col min="6128" max="6128" width="44.42578125" style="1" customWidth="1"/>
    <col min="6129" max="6133" width="14.85546875" style="1" customWidth="1"/>
    <col min="6134" max="6134" width="63.85546875" style="1" customWidth="1"/>
    <col min="6135" max="6135" width="13.28515625" style="1" customWidth="1"/>
    <col min="6136" max="6321" width="9.140625" style="1"/>
    <col min="6322" max="6323" width="0" style="1" hidden="1" customWidth="1"/>
    <col min="6324" max="6324" width="13.7109375" style="1" customWidth="1"/>
    <col min="6325" max="6325" width="52.85546875" style="1" customWidth="1"/>
    <col min="6326" max="6365" width="0" style="1" hidden="1" customWidth="1"/>
    <col min="6366" max="6367" width="14.85546875" style="1" customWidth="1"/>
    <col min="6368" max="6369" width="0" style="1" hidden="1" customWidth="1"/>
    <col min="6370" max="6370" width="14.85546875" style="1" customWidth="1"/>
    <col min="6371" max="6372" width="0" style="1" hidden="1" customWidth="1"/>
    <col min="6373" max="6373" width="14.85546875" style="1" customWidth="1"/>
    <col min="6374" max="6375" width="0" style="1" hidden="1" customWidth="1"/>
    <col min="6376" max="6376" width="14.85546875" style="1" customWidth="1"/>
    <col min="6377" max="6378" width="0" style="1" hidden="1" customWidth="1"/>
    <col min="6379" max="6379" width="14.85546875" style="1" customWidth="1"/>
    <col min="6380" max="6381" width="0" style="1" hidden="1" customWidth="1"/>
    <col min="6382" max="6383" width="14.85546875" style="1" customWidth="1"/>
    <col min="6384" max="6384" width="44.42578125" style="1" customWidth="1"/>
    <col min="6385" max="6389" width="14.85546875" style="1" customWidth="1"/>
    <col min="6390" max="6390" width="63.85546875" style="1" customWidth="1"/>
    <col min="6391" max="6391" width="13.28515625" style="1" customWidth="1"/>
    <col min="6392" max="6577" width="9.140625" style="1"/>
    <col min="6578" max="6579" width="0" style="1" hidden="1" customWidth="1"/>
    <col min="6580" max="6580" width="13.7109375" style="1" customWidth="1"/>
    <col min="6581" max="6581" width="52.85546875" style="1" customWidth="1"/>
    <col min="6582" max="6621" width="0" style="1" hidden="1" customWidth="1"/>
    <col min="6622" max="6623" width="14.85546875" style="1" customWidth="1"/>
    <col min="6624" max="6625" width="0" style="1" hidden="1" customWidth="1"/>
    <col min="6626" max="6626" width="14.85546875" style="1" customWidth="1"/>
    <col min="6627" max="6628" width="0" style="1" hidden="1" customWidth="1"/>
    <col min="6629" max="6629" width="14.85546875" style="1" customWidth="1"/>
    <col min="6630" max="6631" width="0" style="1" hidden="1" customWidth="1"/>
    <col min="6632" max="6632" width="14.85546875" style="1" customWidth="1"/>
    <col min="6633" max="6634" width="0" style="1" hidden="1" customWidth="1"/>
    <col min="6635" max="6635" width="14.85546875" style="1" customWidth="1"/>
    <col min="6636" max="6637" width="0" style="1" hidden="1" customWidth="1"/>
    <col min="6638" max="6639" width="14.85546875" style="1" customWidth="1"/>
    <col min="6640" max="6640" width="44.42578125" style="1" customWidth="1"/>
    <col min="6641" max="6645" width="14.85546875" style="1" customWidth="1"/>
    <col min="6646" max="6646" width="63.85546875" style="1" customWidth="1"/>
    <col min="6647" max="6647" width="13.28515625" style="1" customWidth="1"/>
    <col min="6648" max="6833" width="9.140625" style="1"/>
    <col min="6834" max="6835" width="0" style="1" hidden="1" customWidth="1"/>
    <col min="6836" max="6836" width="13.7109375" style="1" customWidth="1"/>
    <col min="6837" max="6837" width="52.85546875" style="1" customWidth="1"/>
    <col min="6838" max="6877" width="0" style="1" hidden="1" customWidth="1"/>
    <col min="6878" max="6879" width="14.85546875" style="1" customWidth="1"/>
    <col min="6880" max="6881" width="0" style="1" hidden="1" customWidth="1"/>
    <col min="6882" max="6882" width="14.85546875" style="1" customWidth="1"/>
    <col min="6883" max="6884" width="0" style="1" hidden="1" customWidth="1"/>
    <col min="6885" max="6885" width="14.85546875" style="1" customWidth="1"/>
    <col min="6886" max="6887" width="0" style="1" hidden="1" customWidth="1"/>
    <col min="6888" max="6888" width="14.85546875" style="1" customWidth="1"/>
    <col min="6889" max="6890" width="0" style="1" hidden="1" customWidth="1"/>
    <col min="6891" max="6891" width="14.85546875" style="1" customWidth="1"/>
    <col min="6892" max="6893" width="0" style="1" hidden="1" customWidth="1"/>
    <col min="6894" max="6895" width="14.85546875" style="1" customWidth="1"/>
    <col min="6896" max="6896" width="44.42578125" style="1" customWidth="1"/>
    <col min="6897" max="6901" width="14.85546875" style="1" customWidth="1"/>
    <col min="6902" max="6902" width="63.85546875" style="1" customWidth="1"/>
    <col min="6903" max="6903" width="13.28515625" style="1" customWidth="1"/>
    <col min="6904" max="7089" width="9.140625" style="1"/>
    <col min="7090" max="7091" width="0" style="1" hidden="1" customWidth="1"/>
    <col min="7092" max="7092" width="13.7109375" style="1" customWidth="1"/>
    <col min="7093" max="7093" width="52.85546875" style="1" customWidth="1"/>
    <col min="7094" max="7133" width="0" style="1" hidden="1" customWidth="1"/>
    <col min="7134" max="7135" width="14.85546875" style="1" customWidth="1"/>
    <col min="7136" max="7137" width="0" style="1" hidden="1" customWidth="1"/>
    <col min="7138" max="7138" width="14.85546875" style="1" customWidth="1"/>
    <col min="7139" max="7140" width="0" style="1" hidden="1" customWidth="1"/>
    <col min="7141" max="7141" width="14.85546875" style="1" customWidth="1"/>
    <col min="7142" max="7143" width="0" style="1" hidden="1" customWidth="1"/>
    <col min="7144" max="7144" width="14.85546875" style="1" customWidth="1"/>
    <col min="7145" max="7146" width="0" style="1" hidden="1" customWidth="1"/>
    <col min="7147" max="7147" width="14.85546875" style="1" customWidth="1"/>
    <col min="7148" max="7149" width="0" style="1" hidden="1" customWidth="1"/>
    <col min="7150" max="7151" width="14.85546875" style="1" customWidth="1"/>
    <col min="7152" max="7152" width="44.42578125" style="1" customWidth="1"/>
    <col min="7153" max="7157" width="14.85546875" style="1" customWidth="1"/>
    <col min="7158" max="7158" width="63.85546875" style="1" customWidth="1"/>
    <col min="7159" max="7159" width="13.28515625" style="1" customWidth="1"/>
    <col min="7160" max="7345" width="9.140625" style="1"/>
    <col min="7346" max="7347" width="0" style="1" hidden="1" customWidth="1"/>
    <col min="7348" max="7348" width="13.7109375" style="1" customWidth="1"/>
    <col min="7349" max="7349" width="52.85546875" style="1" customWidth="1"/>
    <col min="7350" max="7389" width="0" style="1" hidden="1" customWidth="1"/>
    <col min="7390" max="7391" width="14.85546875" style="1" customWidth="1"/>
    <col min="7392" max="7393" width="0" style="1" hidden="1" customWidth="1"/>
    <col min="7394" max="7394" width="14.85546875" style="1" customWidth="1"/>
    <col min="7395" max="7396" width="0" style="1" hidden="1" customWidth="1"/>
    <col min="7397" max="7397" width="14.85546875" style="1" customWidth="1"/>
    <col min="7398" max="7399" width="0" style="1" hidden="1" customWidth="1"/>
    <col min="7400" max="7400" width="14.85546875" style="1" customWidth="1"/>
    <col min="7401" max="7402" width="0" style="1" hidden="1" customWidth="1"/>
    <col min="7403" max="7403" width="14.85546875" style="1" customWidth="1"/>
    <col min="7404" max="7405" width="0" style="1" hidden="1" customWidth="1"/>
    <col min="7406" max="7407" width="14.85546875" style="1" customWidth="1"/>
    <col min="7408" max="7408" width="44.42578125" style="1" customWidth="1"/>
    <col min="7409" max="7413" width="14.85546875" style="1" customWidth="1"/>
    <col min="7414" max="7414" width="63.85546875" style="1" customWidth="1"/>
    <col min="7415" max="7415" width="13.28515625" style="1" customWidth="1"/>
    <col min="7416" max="7601" width="9.140625" style="1"/>
    <col min="7602" max="7603" width="0" style="1" hidden="1" customWidth="1"/>
    <col min="7604" max="7604" width="13.7109375" style="1" customWidth="1"/>
    <col min="7605" max="7605" width="52.85546875" style="1" customWidth="1"/>
    <col min="7606" max="7645" width="0" style="1" hidden="1" customWidth="1"/>
    <col min="7646" max="7647" width="14.85546875" style="1" customWidth="1"/>
    <col min="7648" max="7649" width="0" style="1" hidden="1" customWidth="1"/>
    <col min="7650" max="7650" width="14.85546875" style="1" customWidth="1"/>
    <col min="7651" max="7652" width="0" style="1" hidden="1" customWidth="1"/>
    <col min="7653" max="7653" width="14.85546875" style="1" customWidth="1"/>
    <col min="7654" max="7655" width="0" style="1" hidden="1" customWidth="1"/>
    <col min="7656" max="7656" width="14.85546875" style="1" customWidth="1"/>
    <col min="7657" max="7658" width="0" style="1" hidden="1" customWidth="1"/>
    <col min="7659" max="7659" width="14.85546875" style="1" customWidth="1"/>
    <col min="7660" max="7661" width="0" style="1" hidden="1" customWidth="1"/>
    <col min="7662" max="7663" width="14.85546875" style="1" customWidth="1"/>
    <col min="7664" max="7664" width="44.42578125" style="1" customWidth="1"/>
    <col min="7665" max="7669" width="14.85546875" style="1" customWidth="1"/>
    <col min="7670" max="7670" width="63.85546875" style="1" customWidth="1"/>
    <col min="7671" max="7671" width="13.28515625" style="1" customWidth="1"/>
    <col min="7672" max="7857" width="9.140625" style="1"/>
    <col min="7858" max="7859" width="0" style="1" hidden="1" customWidth="1"/>
    <col min="7860" max="7860" width="13.7109375" style="1" customWidth="1"/>
    <col min="7861" max="7861" width="52.85546875" style="1" customWidth="1"/>
    <col min="7862" max="7901" width="0" style="1" hidden="1" customWidth="1"/>
    <col min="7902" max="7903" width="14.85546875" style="1" customWidth="1"/>
    <col min="7904" max="7905" width="0" style="1" hidden="1" customWidth="1"/>
    <col min="7906" max="7906" width="14.85546875" style="1" customWidth="1"/>
    <col min="7907" max="7908" width="0" style="1" hidden="1" customWidth="1"/>
    <col min="7909" max="7909" width="14.85546875" style="1" customWidth="1"/>
    <col min="7910" max="7911" width="0" style="1" hidden="1" customWidth="1"/>
    <col min="7912" max="7912" width="14.85546875" style="1" customWidth="1"/>
    <col min="7913" max="7914" width="0" style="1" hidden="1" customWidth="1"/>
    <col min="7915" max="7915" width="14.85546875" style="1" customWidth="1"/>
    <col min="7916" max="7917" width="0" style="1" hidden="1" customWidth="1"/>
    <col min="7918" max="7919" width="14.85546875" style="1" customWidth="1"/>
    <col min="7920" max="7920" width="44.42578125" style="1" customWidth="1"/>
    <col min="7921" max="7925" width="14.85546875" style="1" customWidth="1"/>
    <col min="7926" max="7926" width="63.85546875" style="1" customWidth="1"/>
    <col min="7927" max="7927" width="13.28515625" style="1" customWidth="1"/>
    <col min="7928" max="8113" width="9.140625" style="1"/>
    <col min="8114" max="8115" width="0" style="1" hidden="1" customWidth="1"/>
    <col min="8116" max="8116" width="13.7109375" style="1" customWidth="1"/>
    <col min="8117" max="8117" width="52.85546875" style="1" customWidth="1"/>
    <col min="8118" max="8157" width="0" style="1" hidden="1" customWidth="1"/>
    <col min="8158" max="8159" width="14.85546875" style="1" customWidth="1"/>
    <col min="8160" max="8161" width="0" style="1" hidden="1" customWidth="1"/>
    <col min="8162" max="8162" width="14.85546875" style="1" customWidth="1"/>
    <col min="8163" max="8164" width="0" style="1" hidden="1" customWidth="1"/>
    <col min="8165" max="8165" width="14.85546875" style="1" customWidth="1"/>
    <col min="8166" max="8167" width="0" style="1" hidden="1" customWidth="1"/>
    <col min="8168" max="8168" width="14.85546875" style="1" customWidth="1"/>
    <col min="8169" max="8170" width="0" style="1" hidden="1" customWidth="1"/>
    <col min="8171" max="8171" width="14.85546875" style="1" customWidth="1"/>
    <col min="8172" max="8173" width="0" style="1" hidden="1" customWidth="1"/>
    <col min="8174" max="8175" width="14.85546875" style="1" customWidth="1"/>
    <col min="8176" max="8176" width="44.42578125" style="1" customWidth="1"/>
    <col min="8177" max="8181" width="14.85546875" style="1" customWidth="1"/>
    <col min="8182" max="8182" width="63.85546875" style="1" customWidth="1"/>
    <col min="8183" max="8183" width="13.28515625" style="1" customWidth="1"/>
    <col min="8184" max="8369" width="9.140625" style="1"/>
    <col min="8370" max="8371" width="0" style="1" hidden="1" customWidth="1"/>
    <col min="8372" max="8372" width="13.7109375" style="1" customWidth="1"/>
    <col min="8373" max="8373" width="52.85546875" style="1" customWidth="1"/>
    <col min="8374" max="8413" width="0" style="1" hidden="1" customWidth="1"/>
    <col min="8414" max="8415" width="14.85546875" style="1" customWidth="1"/>
    <col min="8416" max="8417" width="0" style="1" hidden="1" customWidth="1"/>
    <col min="8418" max="8418" width="14.85546875" style="1" customWidth="1"/>
    <col min="8419" max="8420" width="0" style="1" hidden="1" customWidth="1"/>
    <col min="8421" max="8421" width="14.85546875" style="1" customWidth="1"/>
    <col min="8422" max="8423" width="0" style="1" hidden="1" customWidth="1"/>
    <col min="8424" max="8424" width="14.85546875" style="1" customWidth="1"/>
    <col min="8425" max="8426" width="0" style="1" hidden="1" customWidth="1"/>
    <col min="8427" max="8427" width="14.85546875" style="1" customWidth="1"/>
    <col min="8428" max="8429" width="0" style="1" hidden="1" customWidth="1"/>
    <col min="8430" max="8431" width="14.85546875" style="1" customWidth="1"/>
    <col min="8432" max="8432" width="44.42578125" style="1" customWidth="1"/>
    <col min="8433" max="8437" width="14.85546875" style="1" customWidth="1"/>
    <col min="8438" max="8438" width="63.85546875" style="1" customWidth="1"/>
    <col min="8439" max="8439" width="13.28515625" style="1" customWidth="1"/>
    <col min="8440" max="8625" width="9.140625" style="1"/>
    <col min="8626" max="8627" width="0" style="1" hidden="1" customWidth="1"/>
    <col min="8628" max="8628" width="13.7109375" style="1" customWidth="1"/>
    <col min="8629" max="8629" width="52.85546875" style="1" customWidth="1"/>
    <col min="8630" max="8669" width="0" style="1" hidden="1" customWidth="1"/>
    <col min="8670" max="8671" width="14.85546875" style="1" customWidth="1"/>
    <col min="8672" max="8673" width="0" style="1" hidden="1" customWidth="1"/>
    <col min="8674" max="8674" width="14.85546875" style="1" customWidth="1"/>
    <col min="8675" max="8676" width="0" style="1" hidden="1" customWidth="1"/>
    <col min="8677" max="8677" width="14.85546875" style="1" customWidth="1"/>
    <col min="8678" max="8679" width="0" style="1" hidden="1" customWidth="1"/>
    <col min="8680" max="8680" width="14.85546875" style="1" customWidth="1"/>
    <col min="8681" max="8682" width="0" style="1" hidden="1" customWidth="1"/>
    <col min="8683" max="8683" width="14.85546875" style="1" customWidth="1"/>
    <col min="8684" max="8685" width="0" style="1" hidden="1" customWidth="1"/>
    <col min="8686" max="8687" width="14.85546875" style="1" customWidth="1"/>
    <col min="8688" max="8688" width="44.42578125" style="1" customWidth="1"/>
    <col min="8689" max="8693" width="14.85546875" style="1" customWidth="1"/>
    <col min="8694" max="8694" width="63.85546875" style="1" customWidth="1"/>
    <col min="8695" max="8695" width="13.28515625" style="1" customWidth="1"/>
    <col min="8696" max="8881" width="9.140625" style="1"/>
    <col min="8882" max="8883" width="0" style="1" hidden="1" customWidth="1"/>
    <col min="8884" max="8884" width="13.7109375" style="1" customWidth="1"/>
    <col min="8885" max="8885" width="52.85546875" style="1" customWidth="1"/>
    <col min="8886" max="8925" width="0" style="1" hidden="1" customWidth="1"/>
    <col min="8926" max="8927" width="14.85546875" style="1" customWidth="1"/>
    <col min="8928" max="8929" width="0" style="1" hidden="1" customWidth="1"/>
    <col min="8930" max="8930" width="14.85546875" style="1" customWidth="1"/>
    <col min="8931" max="8932" width="0" style="1" hidden="1" customWidth="1"/>
    <col min="8933" max="8933" width="14.85546875" style="1" customWidth="1"/>
    <col min="8934" max="8935" width="0" style="1" hidden="1" customWidth="1"/>
    <col min="8936" max="8936" width="14.85546875" style="1" customWidth="1"/>
    <col min="8937" max="8938" width="0" style="1" hidden="1" customWidth="1"/>
    <col min="8939" max="8939" width="14.85546875" style="1" customWidth="1"/>
    <col min="8940" max="8941" width="0" style="1" hidden="1" customWidth="1"/>
    <col min="8942" max="8943" width="14.85546875" style="1" customWidth="1"/>
    <col min="8944" max="8944" width="44.42578125" style="1" customWidth="1"/>
    <col min="8945" max="8949" width="14.85546875" style="1" customWidth="1"/>
    <col min="8950" max="8950" width="63.85546875" style="1" customWidth="1"/>
    <col min="8951" max="8951" width="13.28515625" style="1" customWidth="1"/>
    <col min="8952" max="9137" width="9.140625" style="1"/>
    <col min="9138" max="9139" width="0" style="1" hidden="1" customWidth="1"/>
    <col min="9140" max="9140" width="13.7109375" style="1" customWidth="1"/>
    <col min="9141" max="9141" width="52.85546875" style="1" customWidth="1"/>
    <col min="9142" max="9181" width="0" style="1" hidden="1" customWidth="1"/>
    <col min="9182" max="9183" width="14.85546875" style="1" customWidth="1"/>
    <col min="9184" max="9185" width="0" style="1" hidden="1" customWidth="1"/>
    <col min="9186" max="9186" width="14.85546875" style="1" customWidth="1"/>
    <col min="9187" max="9188" width="0" style="1" hidden="1" customWidth="1"/>
    <col min="9189" max="9189" width="14.85546875" style="1" customWidth="1"/>
    <col min="9190" max="9191" width="0" style="1" hidden="1" customWidth="1"/>
    <col min="9192" max="9192" width="14.85546875" style="1" customWidth="1"/>
    <col min="9193" max="9194" width="0" style="1" hidden="1" customWidth="1"/>
    <col min="9195" max="9195" width="14.85546875" style="1" customWidth="1"/>
    <col min="9196" max="9197" width="0" style="1" hidden="1" customWidth="1"/>
    <col min="9198" max="9199" width="14.85546875" style="1" customWidth="1"/>
    <col min="9200" max="9200" width="44.42578125" style="1" customWidth="1"/>
    <col min="9201" max="9205" width="14.85546875" style="1" customWidth="1"/>
    <col min="9206" max="9206" width="63.85546875" style="1" customWidth="1"/>
    <col min="9207" max="9207" width="13.28515625" style="1" customWidth="1"/>
    <col min="9208" max="9393" width="9.140625" style="1"/>
    <col min="9394" max="9395" width="0" style="1" hidden="1" customWidth="1"/>
    <col min="9396" max="9396" width="13.7109375" style="1" customWidth="1"/>
    <col min="9397" max="9397" width="52.85546875" style="1" customWidth="1"/>
    <col min="9398" max="9437" width="0" style="1" hidden="1" customWidth="1"/>
    <col min="9438" max="9439" width="14.85546875" style="1" customWidth="1"/>
    <col min="9440" max="9441" width="0" style="1" hidden="1" customWidth="1"/>
    <col min="9442" max="9442" width="14.85546875" style="1" customWidth="1"/>
    <col min="9443" max="9444" width="0" style="1" hidden="1" customWidth="1"/>
    <col min="9445" max="9445" width="14.85546875" style="1" customWidth="1"/>
    <col min="9446" max="9447" width="0" style="1" hidden="1" customWidth="1"/>
    <col min="9448" max="9448" width="14.85546875" style="1" customWidth="1"/>
    <col min="9449" max="9450" width="0" style="1" hidden="1" customWidth="1"/>
    <col min="9451" max="9451" width="14.85546875" style="1" customWidth="1"/>
    <col min="9452" max="9453" width="0" style="1" hidden="1" customWidth="1"/>
    <col min="9454" max="9455" width="14.85546875" style="1" customWidth="1"/>
    <col min="9456" max="9456" width="44.42578125" style="1" customWidth="1"/>
    <col min="9457" max="9461" width="14.85546875" style="1" customWidth="1"/>
    <col min="9462" max="9462" width="63.85546875" style="1" customWidth="1"/>
    <col min="9463" max="9463" width="13.28515625" style="1" customWidth="1"/>
    <col min="9464" max="9649" width="9.140625" style="1"/>
    <col min="9650" max="9651" width="0" style="1" hidden="1" customWidth="1"/>
    <col min="9652" max="9652" width="13.7109375" style="1" customWidth="1"/>
    <col min="9653" max="9653" width="52.85546875" style="1" customWidth="1"/>
    <col min="9654" max="9693" width="0" style="1" hidden="1" customWidth="1"/>
    <col min="9694" max="9695" width="14.85546875" style="1" customWidth="1"/>
    <col min="9696" max="9697" width="0" style="1" hidden="1" customWidth="1"/>
    <col min="9698" max="9698" width="14.85546875" style="1" customWidth="1"/>
    <col min="9699" max="9700" width="0" style="1" hidden="1" customWidth="1"/>
    <col min="9701" max="9701" width="14.85546875" style="1" customWidth="1"/>
    <col min="9702" max="9703" width="0" style="1" hidden="1" customWidth="1"/>
    <col min="9704" max="9704" width="14.85546875" style="1" customWidth="1"/>
    <col min="9705" max="9706" width="0" style="1" hidden="1" customWidth="1"/>
    <col min="9707" max="9707" width="14.85546875" style="1" customWidth="1"/>
    <col min="9708" max="9709" width="0" style="1" hidden="1" customWidth="1"/>
    <col min="9710" max="9711" width="14.85546875" style="1" customWidth="1"/>
    <col min="9712" max="9712" width="44.42578125" style="1" customWidth="1"/>
    <col min="9713" max="9717" width="14.85546875" style="1" customWidth="1"/>
    <col min="9718" max="9718" width="63.85546875" style="1" customWidth="1"/>
    <col min="9719" max="9719" width="13.28515625" style="1" customWidth="1"/>
    <col min="9720" max="9905" width="9.140625" style="1"/>
    <col min="9906" max="9907" width="0" style="1" hidden="1" customWidth="1"/>
    <col min="9908" max="9908" width="13.7109375" style="1" customWidth="1"/>
    <col min="9909" max="9909" width="52.85546875" style="1" customWidth="1"/>
    <col min="9910" max="9949" width="0" style="1" hidden="1" customWidth="1"/>
    <col min="9950" max="9951" width="14.85546875" style="1" customWidth="1"/>
    <col min="9952" max="9953" width="0" style="1" hidden="1" customWidth="1"/>
    <col min="9954" max="9954" width="14.85546875" style="1" customWidth="1"/>
    <col min="9955" max="9956" width="0" style="1" hidden="1" customWidth="1"/>
    <col min="9957" max="9957" width="14.85546875" style="1" customWidth="1"/>
    <col min="9958" max="9959" width="0" style="1" hidden="1" customWidth="1"/>
    <col min="9960" max="9960" width="14.85546875" style="1" customWidth="1"/>
    <col min="9961" max="9962" width="0" style="1" hidden="1" customWidth="1"/>
    <col min="9963" max="9963" width="14.85546875" style="1" customWidth="1"/>
    <col min="9964" max="9965" width="0" style="1" hidden="1" customWidth="1"/>
    <col min="9966" max="9967" width="14.85546875" style="1" customWidth="1"/>
    <col min="9968" max="9968" width="44.42578125" style="1" customWidth="1"/>
    <col min="9969" max="9973" width="14.85546875" style="1" customWidth="1"/>
    <col min="9974" max="9974" width="63.85546875" style="1" customWidth="1"/>
    <col min="9975" max="9975" width="13.28515625" style="1" customWidth="1"/>
    <col min="9976" max="10161" width="9.140625" style="1"/>
    <col min="10162" max="10163" width="0" style="1" hidden="1" customWidth="1"/>
    <col min="10164" max="10164" width="13.7109375" style="1" customWidth="1"/>
    <col min="10165" max="10165" width="52.85546875" style="1" customWidth="1"/>
    <col min="10166" max="10205" width="0" style="1" hidden="1" customWidth="1"/>
    <col min="10206" max="10207" width="14.85546875" style="1" customWidth="1"/>
    <col min="10208" max="10209" width="0" style="1" hidden="1" customWidth="1"/>
    <col min="10210" max="10210" width="14.85546875" style="1" customWidth="1"/>
    <col min="10211" max="10212" width="0" style="1" hidden="1" customWidth="1"/>
    <col min="10213" max="10213" width="14.85546875" style="1" customWidth="1"/>
    <col min="10214" max="10215" width="0" style="1" hidden="1" customWidth="1"/>
    <col min="10216" max="10216" width="14.85546875" style="1" customWidth="1"/>
    <col min="10217" max="10218" width="0" style="1" hidden="1" customWidth="1"/>
    <col min="10219" max="10219" width="14.85546875" style="1" customWidth="1"/>
    <col min="10220" max="10221" width="0" style="1" hidden="1" customWidth="1"/>
    <col min="10222" max="10223" width="14.85546875" style="1" customWidth="1"/>
    <col min="10224" max="10224" width="44.42578125" style="1" customWidth="1"/>
    <col min="10225" max="10229" width="14.85546875" style="1" customWidth="1"/>
    <col min="10230" max="10230" width="63.85546875" style="1" customWidth="1"/>
    <col min="10231" max="10231" width="13.28515625" style="1" customWidth="1"/>
    <col min="10232" max="10417" width="9.140625" style="1"/>
    <col min="10418" max="10419" width="0" style="1" hidden="1" customWidth="1"/>
    <col min="10420" max="10420" width="13.7109375" style="1" customWidth="1"/>
    <col min="10421" max="10421" width="52.85546875" style="1" customWidth="1"/>
    <col min="10422" max="10461" width="0" style="1" hidden="1" customWidth="1"/>
    <col min="10462" max="10463" width="14.85546875" style="1" customWidth="1"/>
    <col min="10464" max="10465" width="0" style="1" hidden="1" customWidth="1"/>
    <col min="10466" max="10466" width="14.85546875" style="1" customWidth="1"/>
    <col min="10467" max="10468" width="0" style="1" hidden="1" customWidth="1"/>
    <col min="10469" max="10469" width="14.85546875" style="1" customWidth="1"/>
    <col min="10470" max="10471" width="0" style="1" hidden="1" customWidth="1"/>
    <col min="10472" max="10472" width="14.85546875" style="1" customWidth="1"/>
    <col min="10473" max="10474" width="0" style="1" hidden="1" customWidth="1"/>
    <col min="10475" max="10475" width="14.85546875" style="1" customWidth="1"/>
    <col min="10476" max="10477" width="0" style="1" hidden="1" customWidth="1"/>
    <col min="10478" max="10479" width="14.85546875" style="1" customWidth="1"/>
    <col min="10480" max="10480" width="44.42578125" style="1" customWidth="1"/>
    <col min="10481" max="10485" width="14.85546875" style="1" customWidth="1"/>
    <col min="10486" max="10486" width="63.85546875" style="1" customWidth="1"/>
    <col min="10487" max="10487" width="13.28515625" style="1" customWidth="1"/>
    <col min="10488" max="10673" width="9.140625" style="1"/>
    <col min="10674" max="10675" width="0" style="1" hidden="1" customWidth="1"/>
    <col min="10676" max="10676" width="13.7109375" style="1" customWidth="1"/>
    <col min="10677" max="10677" width="52.85546875" style="1" customWidth="1"/>
    <col min="10678" max="10717" width="0" style="1" hidden="1" customWidth="1"/>
    <col min="10718" max="10719" width="14.85546875" style="1" customWidth="1"/>
    <col min="10720" max="10721" width="0" style="1" hidden="1" customWidth="1"/>
    <col min="10722" max="10722" width="14.85546875" style="1" customWidth="1"/>
    <col min="10723" max="10724" width="0" style="1" hidden="1" customWidth="1"/>
    <col min="10725" max="10725" width="14.85546875" style="1" customWidth="1"/>
    <col min="10726" max="10727" width="0" style="1" hidden="1" customWidth="1"/>
    <col min="10728" max="10728" width="14.85546875" style="1" customWidth="1"/>
    <col min="10729" max="10730" width="0" style="1" hidden="1" customWidth="1"/>
    <col min="10731" max="10731" width="14.85546875" style="1" customWidth="1"/>
    <col min="10732" max="10733" width="0" style="1" hidden="1" customWidth="1"/>
    <col min="10734" max="10735" width="14.85546875" style="1" customWidth="1"/>
    <col min="10736" max="10736" width="44.42578125" style="1" customWidth="1"/>
    <col min="10737" max="10741" width="14.85546875" style="1" customWidth="1"/>
    <col min="10742" max="10742" width="63.85546875" style="1" customWidth="1"/>
    <col min="10743" max="10743" width="13.28515625" style="1" customWidth="1"/>
    <col min="10744" max="10929" width="9.140625" style="1"/>
    <col min="10930" max="10931" width="0" style="1" hidden="1" customWidth="1"/>
    <col min="10932" max="10932" width="13.7109375" style="1" customWidth="1"/>
    <col min="10933" max="10933" width="52.85546875" style="1" customWidth="1"/>
    <col min="10934" max="10973" width="0" style="1" hidden="1" customWidth="1"/>
    <col min="10974" max="10975" width="14.85546875" style="1" customWidth="1"/>
    <col min="10976" max="10977" width="0" style="1" hidden="1" customWidth="1"/>
    <col min="10978" max="10978" width="14.85546875" style="1" customWidth="1"/>
    <col min="10979" max="10980" width="0" style="1" hidden="1" customWidth="1"/>
    <col min="10981" max="10981" width="14.85546875" style="1" customWidth="1"/>
    <col min="10982" max="10983" width="0" style="1" hidden="1" customWidth="1"/>
    <col min="10984" max="10984" width="14.85546875" style="1" customWidth="1"/>
    <col min="10985" max="10986" width="0" style="1" hidden="1" customWidth="1"/>
    <col min="10987" max="10987" width="14.85546875" style="1" customWidth="1"/>
    <col min="10988" max="10989" width="0" style="1" hidden="1" customWidth="1"/>
    <col min="10990" max="10991" width="14.85546875" style="1" customWidth="1"/>
    <col min="10992" max="10992" width="44.42578125" style="1" customWidth="1"/>
    <col min="10993" max="10997" width="14.85546875" style="1" customWidth="1"/>
    <col min="10998" max="10998" width="63.85546875" style="1" customWidth="1"/>
    <col min="10999" max="10999" width="13.28515625" style="1" customWidth="1"/>
    <col min="11000" max="11185" width="9.140625" style="1"/>
    <col min="11186" max="11187" width="0" style="1" hidden="1" customWidth="1"/>
    <col min="11188" max="11188" width="13.7109375" style="1" customWidth="1"/>
    <col min="11189" max="11189" width="52.85546875" style="1" customWidth="1"/>
    <col min="11190" max="11229" width="0" style="1" hidden="1" customWidth="1"/>
    <col min="11230" max="11231" width="14.85546875" style="1" customWidth="1"/>
    <col min="11232" max="11233" width="0" style="1" hidden="1" customWidth="1"/>
    <col min="11234" max="11234" width="14.85546875" style="1" customWidth="1"/>
    <col min="11235" max="11236" width="0" style="1" hidden="1" customWidth="1"/>
    <col min="11237" max="11237" width="14.85546875" style="1" customWidth="1"/>
    <col min="11238" max="11239" width="0" style="1" hidden="1" customWidth="1"/>
    <col min="11240" max="11240" width="14.85546875" style="1" customWidth="1"/>
    <col min="11241" max="11242" width="0" style="1" hidden="1" customWidth="1"/>
    <col min="11243" max="11243" width="14.85546875" style="1" customWidth="1"/>
    <col min="11244" max="11245" width="0" style="1" hidden="1" customWidth="1"/>
    <col min="11246" max="11247" width="14.85546875" style="1" customWidth="1"/>
    <col min="11248" max="11248" width="44.42578125" style="1" customWidth="1"/>
    <col min="11249" max="11253" width="14.85546875" style="1" customWidth="1"/>
    <col min="11254" max="11254" width="63.85546875" style="1" customWidth="1"/>
    <col min="11255" max="11255" width="13.28515625" style="1" customWidth="1"/>
    <col min="11256" max="11441" width="9.140625" style="1"/>
    <col min="11442" max="11443" width="0" style="1" hidden="1" customWidth="1"/>
    <col min="11444" max="11444" width="13.7109375" style="1" customWidth="1"/>
    <col min="11445" max="11445" width="52.85546875" style="1" customWidth="1"/>
    <col min="11446" max="11485" width="0" style="1" hidden="1" customWidth="1"/>
    <col min="11486" max="11487" width="14.85546875" style="1" customWidth="1"/>
    <col min="11488" max="11489" width="0" style="1" hidden="1" customWidth="1"/>
    <col min="11490" max="11490" width="14.85546875" style="1" customWidth="1"/>
    <col min="11491" max="11492" width="0" style="1" hidden="1" customWidth="1"/>
    <col min="11493" max="11493" width="14.85546875" style="1" customWidth="1"/>
    <col min="11494" max="11495" width="0" style="1" hidden="1" customWidth="1"/>
    <col min="11496" max="11496" width="14.85546875" style="1" customWidth="1"/>
    <col min="11497" max="11498" width="0" style="1" hidden="1" customWidth="1"/>
    <col min="11499" max="11499" width="14.85546875" style="1" customWidth="1"/>
    <col min="11500" max="11501" width="0" style="1" hidden="1" customWidth="1"/>
    <col min="11502" max="11503" width="14.85546875" style="1" customWidth="1"/>
    <col min="11504" max="11504" width="44.42578125" style="1" customWidth="1"/>
    <col min="11505" max="11509" width="14.85546875" style="1" customWidth="1"/>
    <col min="11510" max="11510" width="63.85546875" style="1" customWidth="1"/>
    <col min="11511" max="11511" width="13.28515625" style="1" customWidth="1"/>
    <col min="11512" max="11697" width="9.140625" style="1"/>
    <col min="11698" max="11699" width="0" style="1" hidden="1" customWidth="1"/>
    <col min="11700" max="11700" width="13.7109375" style="1" customWidth="1"/>
    <col min="11701" max="11701" width="52.85546875" style="1" customWidth="1"/>
    <col min="11702" max="11741" width="0" style="1" hidden="1" customWidth="1"/>
    <col min="11742" max="11743" width="14.85546875" style="1" customWidth="1"/>
    <col min="11744" max="11745" width="0" style="1" hidden="1" customWidth="1"/>
    <col min="11746" max="11746" width="14.85546875" style="1" customWidth="1"/>
    <col min="11747" max="11748" width="0" style="1" hidden="1" customWidth="1"/>
    <col min="11749" max="11749" width="14.85546875" style="1" customWidth="1"/>
    <col min="11750" max="11751" width="0" style="1" hidden="1" customWidth="1"/>
    <col min="11752" max="11752" width="14.85546875" style="1" customWidth="1"/>
    <col min="11753" max="11754" width="0" style="1" hidden="1" customWidth="1"/>
    <col min="11755" max="11755" width="14.85546875" style="1" customWidth="1"/>
    <col min="11756" max="11757" width="0" style="1" hidden="1" customWidth="1"/>
    <col min="11758" max="11759" width="14.85546875" style="1" customWidth="1"/>
    <col min="11760" max="11760" width="44.42578125" style="1" customWidth="1"/>
    <col min="11761" max="11765" width="14.85546875" style="1" customWidth="1"/>
    <col min="11766" max="11766" width="63.85546875" style="1" customWidth="1"/>
    <col min="11767" max="11767" width="13.28515625" style="1" customWidth="1"/>
    <col min="11768" max="11953" width="9.140625" style="1"/>
    <col min="11954" max="11955" width="0" style="1" hidden="1" customWidth="1"/>
    <col min="11956" max="11956" width="13.7109375" style="1" customWidth="1"/>
    <col min="11957" max="11957" width="52.85546875" style="1" customWidth="1"/>
    <col min="11958" max="11997" width="0" style="1" hidden="1" customWidth="1"/>
    <col min="11998" max="11999" width="14.85546875" style="1" customWidth="1"/>
    <col min="12000" max="12001" width="0" style="1" hidden="1" customWidth="1"/>
    <col min="12002" max="12002" width="14.85546875" style="1" customWidth="1"/>
    <col min="12003" max="12004" width="0" style="1" hidden="1" customWidth="1"/>
    <col min="12005" max="12005" width="14.85546875" style="1" customWidth="1"/>
    <col min="12006" max="12007" width="0" style="1" hidden="1" customWidth="1"/>
    <col min="12008" max="12008" width="14.85546875" style="1" customWidth="1"/>
    <col min="12009" max="12010" width="0" style="1" hidden="1" customWidth="1"/>
    <col min="12011" max="12011" width="14.85546875" style="1" customWidth="1"/>
    <col min="12012" max="12013" width="0" style="1" hidden="1" customWidth="1"/>
    <col min="12014" max="12015" width="14.85546875" style="1" customWidth="1"/>
    <col min="12016" max="12016" width="44.42578125" style="1" customWidth="1"/>
    <col min="12017" max="12021" width="14.85546875" style="1" customWidth="1"/>
    <col min="12022" max="12022" width="63.85546875" style="1" customWidth="1"/>
    <col min="12023" max="12023" width="13.28515625" style="1" customWidth="1"/>
    <col min="12024" max="12209" width="9.140625" style="1"/>
    <col min="12210" max="12211" width="0" style="1" hidden="1" customWidth="1"/>
    <col min="12212" max="12212" width="13.7109375" style="1" customWidth="1"/>
    <col min="12213" max="12213" width="52.85546875" style="1" customWidth="1"/>
    <col min="12214" max="12253" width="0" style="1" hidden="1" customWidth="1"/>
    <col min="12254" max="12255" width="14.85546875" style="1" customWidth="1"/>
    <col min="12256" max="12257" width="0" style="1" hidden="1" customWidth="1"/>
    <col min="12258" max="12258" width="14.85546875" style="1" customWidth="1"/>
    <col min="12259" max="12260" width="0" style="1" hidden="1" customWidth="1"/>
    <col min="12261" max="12261" width="14.85546875" style="1" customWidth="1"/>
    <col min="12262" max="12263" width="0" style="1" hidden="1" customWidth="1"/>
    <col min="12264" max="12264" width="14.85546875" style="1" customWidth="1"/>
    <col min="12265" max="12266" width="0" style="1" hidden="1" customWidth="1"/>
    <col min="12267" max="12267" width="14.85546875" style="1" customWidth="1"/>
    <col min="12268" max="12269" width="0" style="1" hidden="1" customWidth="1"/>
    <col min="12270" max="12271" width="14.85546875" style="1" customWidth="1"/>
    <col min="12272" max="12272" width="44.42578125" style="1" customWidth="1"/>
    <col min="12273" max="12277" width="14.85546875" style="1" customWidth="1"/>
    <col min="12278" max="12278" width="63.85546875" style="1" customWidth="1"/>
    <col min="12279" max="12279" width="13.28515625" style="1" customWidth="1"/>
    <col min="12280" max="12465" width="9.140625" style="1"/>
    <col min="12466" max="12467" width="0" style="1" hidden="1" customWidth="1"/>
    <col min="12468" max="12468" width="13.7109375" style="1" customWidth="1"/>
    <col min="12469" max="12469" width="52.85546875" style="1" customWidth="1"/>
    <col min="12470" max="12509" width="0" style="1" hidden="1" customWidth="1"/>
    <col min="12510" max="12511" width="14.85546875" style="1" customWidth="1"/>
    <col min="12512" max="12513" width="0" style="1" hidden="1" customWidth="1"/>
    <col min="12514" max="12514" width="14.85546875" style="1" customWidth="1"/>
    <col min="12515" max="12516" width="0" style="1" hidden="1" customWidth="1"/>
    <col min="12517" max="12517" width="14.85546875" style="1" customWidth="1"/>
    <col min="12518" max="12519" width="0" style="1" hidden="1" customWidth="1"/>
    <col min="12520" max="12520" width="14.85546875" style="1" customWidth="1"/>
    <col min="12521" max="12522" width="0" style="1" hidden="1" customWidth="1"/>
    <col min="12523" max="12523" width="14.85546875" style="1" customWidth="1"/>
    <col min="12524" max="12525" width="0" style="1" hidden="1" customWidth="1"/>
    <col min="12526" max="12527" width="14.85546875" style="1" customWidth="1"/>
    <col min="12528" max="12528" width="44.42578125" style="1" customWidth="1"/>
    <col min="12529" max="12533" width="14.85546875" style="1" customWidth="1"/>
    <col min="12534" max="12534" width="63.85546875" style="1" customWidth="1"/>
    <col min="12535" max="12535" width="13.28515625" style="1" customWidth="1"/>
    <col min="12536" max="12721" width="9.140625" style="1"/>
    <col min="12722" max="12723" width="0" style="1" hidden="1" customWidth="1"/>
    <col min="12724" max="12724" width="13.7109375" style="1" customWidth="1"/>
    <col min="12725" max="12725" width="52.85546875" style="1" customWidth="1"/>
    <col min="12726" max="12765" width="0" style="1" hidden="1" customWidth="1"/>
    <col min="12766" max="12767" width="14.85546875" style="1" customWidth="1"/>
    <col min="12768" max="12769" width="0" style="1" hidden="1" customWidth="1"/>
    <col min="12770" max="12770" width="14.85546875" style="1" customWidth="1"/>
    <col min="12771" max="12772" width="0" style="1" hidden="1" customWidth="1"/>
    <col min="12773" max="12773" width="14.85546875" style="1" customWidth="1"/>
    <col min="12774" max="12775" width="0" style="1" hidden="1" customWidth="1"/>
    <col min="12776" max="12776" width="14.85546875" style="1" customWidth="1"/>
    <col min="12777" max="12778" width="0" style="1" hidden="1" customWidth="1"/>
    <col min="12779" max="12779" width="14.85546875" style="1" customWidth="1"/>
    <col min="12780" max="12781" width="0" style="1" hidden="1" customWidth="1"/>
    <col min="12782" max="12783" width="14.85546875" style="1" customWidth="1"/>
    <col min="12784" max="12784" width="44.42578125" style="1" customWidth="1"/>
    <col min="12785" max="12789" width="14.85546875" style="1" customWidth="1"/>
    <col min="12790" max="12790" width="63.85546875" style="1" customWidth="1"/>
    <col min="12791" max="12791" width="13.28515625" style="1" customWidth="1"/>
    <col min="12792" max="12977" width="9.140625" style="1"/>
    <col min="12978" max="12979" width="0" style="1" hidden="1" customWidth="1"/>
    <col min="12980" max="12980" width="13.7109375" style="1" customWidth="1"/>
    <col min="12981" max="12981" width="52.85546875" style="1" customWidth="1"/>
    <col min="12982" max="13021" width="0" style="1" hidden="1" customWidth="1"/>
    <col min="13022" max="13023" width="14.85546875" style="1" customWidth="1"/>
    <col min="13024" max="13025" width="0" style="1" hidden="1" customWidth="1"/>
    <col min="13026" max="13026" width="14.85546875" style="1" customWidth="1"/>
    <col min="13027" max="13028" width="0" style="1" hidden="1" customWidth="1"/>
    <col min="13029" max="13029" width="14.85546875" style="1" customWidth="1"/>
    <col min="13030" max="13031" width="0" style="1" hidden="1" customWidth="1"/>
    <col min="13032" max="13032" width="14.85546875" style="1" customWidth="1"/>
    <col min="13033" max="13034" width="0" style="1" hidden="1" customWidth="1"/>
    <col min="13035" max="13035" width="14.85546875" style="1" customWidth="1"/>
    <col min="13036" max="13037" width="0" style="1" hidden="1" customWidth="1"/>
    <col min="13038" max="13039" width="14.85546875" style="1" customWidth="1"/>
    <col min="13040" max="13040" width="44.42578125" style="1" customWidth="1"/>
    <col min="13041" max="13045" width="14.85546875" style="1" customWidth="1"/>
    <col min="13046" max="13046" width="63.85546875" style="1" customWidth="1"/>
    <col min="13047" max="13047" width="13.28515625" style="1" customWidth="1"/>
    <col min="13048" max="13233" width="9.140625" style="1"/>
    <col min="13234" max="13235" width="0" style="1" hidden="1" customWidth="1"/>
    <col min="13236" max="13236" width="13.7109375" style="1" customWidth="1"/>
    <col min="13237" max="13237" width="52.85546875" style="1" customWidth="1"/>
    <col min="13238" max="13277" width="0" style="1" hidden="1" customWidth="1"/>
    <col min="13278" max="13279" width="14.85546875" style="1" customWidth="1"/>
    <col min="13280" max="13281" width="0" style="1" hidden="1" customWidth="1"/>
    <col min="13282" max="13282" width="14.85546875" style="1" customWidth="1"/>
    <col min="13283" max="13284" width="0" style="1" hidden="1" customWidth="1"/>
    <col min="13285" max="13285" width="14.85546875" style="1" customWidth="1"/>
    <col min="13286" max="13287" width="0" style="1" hidden="1" customWidth="1"/>
    <col min="13288" max="13288" width="14.85546875" style="1" customWidth="1"/>
    <col min="13289" max="13290" width="0" style="1" hidden="1" customWidth="1"/>
    <col min="13291" max="13291" width="14.85546875" style="1" customWidth="1"/>
    <col min="13292" max="13293" width="0" style="1" hidden="1" customWidth="1"/>
    <col min="13294" max="13295" width="14.85546875" style="1" customWidth="1"/>
    <col min="13296" max="13296" width="44.42578125" style="1" customWidth="1"/>
    <col min="13297" max="13301" width="14.85546875" style="1" customWidth="1"/>
    <col min="13302" max="13302" width="63.85546875" style="1" customWidth="1"/>
    <col min="13303" max="13303" width="13.28515625" style="1" customWidth="1"/>
    <col min="13304" max="13489" width="9.140625" style="1"/>
    <col min="13490" max="13491" width="0" style="1" hidden="1" customWidth="1"/>
    <col min="13492" max="13492" width="13.7109375" style="1" customWidth="1"/>
    <col min="13493" max="13493" width="52.85546875" style="1" customWidth="1"/>
    <col min="13494" max="13533" width="0" style="1" hidden="1" customWidth="1"/>
    <col min="13534" max="13535" width="14.85546875" style="1" customWidth="1"/>
    <col min="13536" max="13537" width="0" style="1" hidden="1" customWidth="1"/>
    <col min="13538" max="13538" width="14.85546875" style="1" customWidth="1"/>
    <col min="13539" max="13540" width="0" style="1" hidden="1" customWidth="1"/>
    <col min="13541" max="13541" width="14.85546875" style="1" customWidth="1"/>
    <col min="13542" max="13543" width="0" style="1" hidden="1" customWidth="1"/>
    <col min="13544" max="13544" width="14.85546875" style="1" customWidth="1"/>
    <col min="13545" max="13546" width="0" style="1" hidden="1" customWidth="1"/>
    <col min="13547" max="13547" width="14.85546875" style="1" customWidth="1"/>
    <col min="13548" max="13549" width="0" style="1" hidden="1" customWidth="1"/>
    <col min="13550" max="13551" width="14.85546875" style="1" customWidth="1"/>
    <col min="13552" max="13552" width="44.42578125" style="1" customWidth="1"/>
    <col min="13553" max="13557" width="14.85546875" style="1" customWidth="1"/>
    <col min="13558" max="13558" width="63.85546875" style="1" customWidth="1"/>
    <col min="13559" max="13559" width="13.28515625" style="1" customWidth="1"/>
    <col min="13560" max="13745" width="9.140625" style="1"/>
    <col min="13746" max="13747" width="0" style="1" hidden="1" customWidth="1"/>
    <col min="13748" max="13748" width="13.7109375" style="1" customWidth="1"/>
    <col min="13749" max="13749" width="52.85546875" style="1" customWidth="1"/>
    <col min="13750" max="13789" width="0" style="1" hidden="1" customWidth="1"/>
    <col min="13790" max="13791" width="14.85546875" style="1" customWidth="1"/>
    <col min="13792" max="13793" width="0" style="1" hidden="1" customWidth="1"/>
    <col min="13794" max="13794" width="14.85546875" style="1" customWidth="1"/>
    <col min="13795" max="13796" width="0" style="1" hidden="1" customWidth="1"/>
    <col min="13797" max="13797" width="14.85546875" style="1" customWidth="1"/>
    <col min="13798" max="13799" width="0" style="1" hidden="1" customWidth="1"/>
    <col min="13800" max="13800" width="14.85546875" style="1" customWidth="1"/>
    <col min="13801" max="13802" width="0" style="1" hidden="1" customWidth="1"/>
    <col min="13803" max="13803" width="14.85546875" style="1" customWidth="1"/>
    <col min="13804" max="13805" width="0" style="1" hidden="1" customWidth="1"/>
    <col min="13806" max="13807" width="14.85546875" style="1" customWidth="1"/>
    <col min="13808" max="13808" width="44.42578125" style="1" customWidth="1"/>
    <col min="13809" max="13813" width="14.85546875" style="1" customWidth="1"/>
    <col min="13814" max="13814" width="63.85546875" style="1" customWidth="1"/>
    <col min="13815" max="13815" width="13.28515625" style="1" customWidth="1"/>
    <col min="13816" max="14001" width="9.140625" style="1"/>
    <col min="14002" max="14003" width="0" style="1" hidden="1" customWidth="1"/>
    <col min="14004" max="14004" width="13.7109375" style="1" customWidth="1"/>
    <col min="14005" max="14005" width="52.85546875" style="1" customWidth="1"/>
    <col min="14006" max="14045" width="0" style="1" hidden="1" customWidth="1"/>
    <col min="14046" max="14047" width="14.85546875" style="1" customWidth="1"/>
    <col min="14048" max="14049" width="0" style="1" hidden="1" customWidth="1"/>
    <col min="14050" max="14050" width="14.85546875" style="1" customWidth="1"/>
    <col min="14051" max="14052" width="0" style="1" hidden="1" customWidth="1"/>
    <col min="14053" max="14053" width="14.85546875" style="1" customWidth="1"/>
    <col min="14054" max="14055" width="0" style="1" hidden="1" customWidth="1"/>
    <col min="14056" max="14056" width="14.85546875" style="1" customWidth="1"/>
    <col min="14057" max="14058" width="0" style="1" hidden="1" customWidth="1"/>
    <col min="14059" max="14059" width="14.85546875" style="1" customWidth="1"/>
    <col min="14060" max="14061" width="0" style="1" hidden="1" customWidth="1"/>
    <col min="14062" max="14063" width="14.85546875" style="1" customWidth="1"/>
    <col min="14064" max="14064" width="44.42578125" style="1" customWidth="1"/>
    <col min="14065" max="14069" width="14.85546875" style="1" customWidth="1"/>
    <col min="14070" max="14070" width="63.85546875" style="1" customWidth="1"/>
    <col min="14071" max="14071" width="13.28515625" style="1" customWidth="1"/>
    <col min="14072" max="14257" width="9.140625" style="1"/>
    <col min="14258" max="14259" width="0" style="1" hidden="1" customWidth="1"/>
    <col min="14260" max="14260" width="13.7109375" style="1" customWidth="1"/>
    <col min="14261" max="14261" width="52.85546875" style="1" customWidth="1"/>
    <col min="14262" max="14301" width="0" style="1" hidden="1" customWidth="1"/>
    <col min="14302" max="14303" width="14.85546875" style="1" customWidth="1"/>
    <col min="14304" max="14305" width="0" style="1" hidden="1" customWidth="1"/>
    <col min="14306" max="14306" width="14.85546875" style="1" customWidth="1"/>
    <col min="14307" max="14308" width="0" style="1" hidden="1" customWidth="1"/>
    <col min="14309" max="14309" width="14.85546875" style="1" customWidth="1"/>
    <col min="14310" max="14311" width="0" style="1" hidden="1" customWidth="1"/>
    <col min="14312" max="14312" width="14.85546875" style="1" customWidth="1"/>
    <col min="14313" max="14314" width="0" style="1" hidden="1" customWidth="1"/>
    <col min="14315" max="14315" width="14.85546875" style="1" customWidth="1"/>
    <col min="14316" max="14317" width="0" style="1" hidden="1" customWidth="1"/>
    <col min="14318" max="14319" width="14.85546875" style="1" customWidth="1"/>
    <col min="14320" max="14320" width="44.42578125" style="1" customWidth="1"/>
    <col min="14321" max="14325" width="14.85546875" style="1" customWidth="1"/>
    <col min="14326" max="14326" width="63.85546875" style="1" customWidth="1"/>
    <col min="14327" max="14327" width="13.28515625" style="1" customWidth="1"/>
    <col min="14328" max="14513" width="9.140625" style="1"/>
    <col min="14514" max="14515" width="0" style="1" hidden="1" customWidth="1"/>
    <col min="14516" max="14516" width="13.7109375" style="1" customWidth="1"/>
    <col min="14517" max="14517" width="52.85546875" style="1" customWidth="1"/>
    <col min="14518" max="14557" width="0" style="1" hidden="1" customWidth="1"/>
    <col min="14558" max="14559" width="14.85546875" style="1" customWidth="1"/>
    <col min="14560" max="14561" width="0" style="1" hidden="1" customWidth="1"/>
    <col min="14562" max="14562" width="14.85546875" style="1" customWidth="1"/>
    <col min="14563" max="14564" width="0" style="1" hidden="1" customWidth="1"/>
    <col min="14565" max="14565" width="14.85546875" style="1" customWidth="1"/>
    <col min="14566" max="14567" width="0" style="1" hidden="1" customWidth="1"/>
    <col min="14568" max="14568" width="14.85546875" style="1" customWidth="1"/>
    <col min="14569" max="14570" width="0" style="1" hidden="1" customWidth="1"/>
    <col min="14571" max="14571" width="14.85546875" style="1" customWidth="1"/>
    <col min="14572" max="14573" width="0" style="1" hidden="1" customWidth="1"/>
    <col min="14574" max="14575" width="14.85546875" style="1" customWidth="1"/>
    <col min="14576" max="14576" width="44.42578125" style="1" customWidth="1"/>
    <col min="14577" max="14581" width="14.85546875" style="1" customWidth="1"/>
    <col min="14582" max="14582" width="63.85546875" style="1" customWidth="1"/>
    <col min="14583" max="14583" width="13.28515625" style="1" customWidth="1"/>
    <col min="14584" max="14769" width="9.140625" style="1"/>
    <col min="14770" max="14771" width="0" style="1" hidden="1" customWidth="1"/>
    <col min="14772" max="14772" width="13.7109375" style="1" customWidth="1"/>
    <col min="14773" max="14773" width="52.85546875" style="1" customWidth="1"/>
    <col min="14774" max="14813" width="0" style="1" hidden="1" customWidth="1"/>
    <col min="14814" max="14815" width="14.85546875" style="1" customWidth="1"/>
    <col min="14816" max="14817" width="0" style="1" hidden="1" customWidth="1"/>
    <col min="14818" max="14818" width="14.85546875" style="1" customWidth="1"/>
    <col min="14819" max="14820" width="0" style="1" hidden="1" customWidth="1"/>
    <col min="14821" max="14821" width="14.85546875" style="1" customWidth="1"/>
    <col min="14822" max="14823" width="0" style="1" hidden="1" customWidth="1"/>
    <col min="14824" max="14824" width="14.85546875" style="1" customWidth="1"/>
    <col min="14825" max="14826" width="0" style="1" hidden="1" customWidth="1"/>
    <col min="14827" max="14827" width="14.85546875" style="1" customWidth="1"/>
    <col min="14828" max="14829" width="0" style="1" hidden="1" customWidth="1"/>
    <col min="14830" max="14831" width="14.85546875" style="1" customWidth="1"/>
    <col min="14832" max="14832" width="44.42578125" style="1" customWidth="1"/>
    <col min="14833" max="14837" width="14.85546875" style="1" customWidth="1"/>
    <col min="14838" max="14838" width="63.85546875" style="1" customWidth="1"/>
    <col min="14839" max="14839" width="13.28515625" style="1" customWidth="1"/>
    <col min="14840" max="15025" width="9.140625" style="1"/>
    <col min="15026" max="15027" width="0" style="1" hidden="1" customWidth="1"/>
    <col min="15028" max="15028" width="13.7109375" style="1" customWidth="1"/>
    <col min="15029" max="15029" width="52.85546875" style="1" customWidth="1"/>
    <col min="15030" max="15069" width="0" style="1" hidden="1" customWidth="1"/>
    <col min="15070" max="15071" width="14.85546875" style="1" customWidth="1"/>
    <col min="15072" max="15073" width="0" style="1" hidden="1" customWidth="1"/>
    <col min="15074" max="15074" width="14.85546875" style="1" customWidth="1"/>
    <col min="15075" max="15076" width="0" style="1" hidden="1" customWidth="1"/>
    <col min="15077" max="15077" width="14.85546875" style="1" customWidth="1"/>
    <col min="15078" max="15079" width="0" style="1" hidden="1" customWidth="1"/>
    <col min="15080" max="15080" width="14.85546875" style="1" customWidth="1"/>
    <col min="15081" max="15082" width="0" style="1" hidden="1" customWidth="1"/>
    <col min="15083" max="15083" width="14.85546875" style="1" customWidth="1"/>
    <col min="15084" max="15085" width="0" style="1" hidden="1" customWidth="1"/>
    <col min="15086" max="15087" width="14.85546875" style="1" customWidth="1"/>
    <col min="15088" max="15088" width="44.42578125" style="1" customWidth="1"/>
    <col min="15089" max="15093" width="14.85546875" style="1" customWidth="1"/>
    <col min="15094" max="15094" width="63.85546875" style="1" customWidth="1"/>
    <col min="15095" max="15095" width="13.28515625" style="1" customWidth="1"/>
    <col min="15096" max="15281" width="9.140625" style="1"/>
    <col min="15282" max="15283" width="0" style="1" hidden="1" customWidth="1"/>
    <col min="15284" max="15284" width="13.7109375" style="1" customWidth="1"/>
    <col min="15285" max="15285" width="52.85546875" style="1" customWidth="1"/>
    <col min="15286" max="15325" width="0" style="1" hidden="1" customWidth="1"/>
    <col min="15326" max="15327" width="14.85546875" style="1" customWidth="1"/>
    <col min="15328" max="15329" width="0" style="1" hidden="1" customWidth="1"/>
    <col min="15330" max="15330" width="14.85546875" style="1" customWidth="1"/>
    <col min="15331" max="15332" width="0" style="1" hidden="1" customWidth="1"/>
    <col min="15333" max="15333" width="14.85546875" style="1" customWidth="1"/>
    <col min="15334" max="15335" width="0" style="1" hidden="1" customWidth="1"/>
    <col min="15336" max="15336" width="14.85546875" style="1" customWidth="1"/>
    <col min="15337" max="15338" width="0" style="1" hidden="1" customWidth="1"/>
    <col min="15339" max="15339" width="14.85546875" style="1" customWidth="1"/>
    <col min="15340" max="15341" width="0" style="1" hidden="1" customWidth="1"/>
    <col min="15342" max="15343" width="14.85546875" style="1" customWidth="1"/>
    <col min="15344" max="15344" width="44.42578125" style="1" customWidth="1"/>
    <col min="15345" max="15349" width="14.85546875" style="1" customWidth="1"/>
    <col min="15350" max="15350" width="63.85546875" style="1" customWidth="1"/>
    <col min="15351" max="15351" width="13.28515625" style="1" customWidth="1"/>
    <col min="15352" max="15537" width="9.140625" style="1"/>
    <col min="15538" max="15539" width="0" style="1" hidden="1" customWidth="1"/>
    <col min="15540" max="15540" width="13.7109375" style="1" customWidth="1"/>
    <col min="15541" max="15541" width="52.85546875" style="1" customWidth="1"/>
    <col min="15542" max="15581" width="0" style="1" hidden="1" customWidth="1"/>
    <col min="15582" max="15583" width="14.85546875" style="1" customWidth="1"/>
    <col min="15584" max="15585" width="0" style="1" hidden="1" customWidth="1"/>
    <col min="15586" max="15586" width="14.85546875" style="1" customWidth="1"/>
    <col min="15587" max="15588" width="0" style="1" hidden="1" customWidth="1"/>
    <col min="15589" max="15589" width="14.85546875" style="1" customWidth="1"/>
    <col min="15590" max="15591" width="0" style="1" hidden="1" customWidth="1"/>
    <col min="15592" max="15592" width="14.85546875" style="1" customWidth="1"/>
    <col min="15593" max="15594" width="0" style="1" hidden="1" customWidth="1"/>
    <col min="15595" max="15595" width="14.85546875" style="1" customWidth="1"/>
    <col min="15596" max="15597" width="0" style="1" hidden="1" customWidth="1"/>
    <col min="15598" max="15599" width="14.85546875" style="1" customWidth="1"/>
    <col min="15600" max="15600" width="44.42578125" style="1" customWidth="1"/>
    <col min="15601" max="15605" width="14.85546875" style="1" customWidth="1"/>
    <col min="15606" max="15606" width="63.85546875" style="1" customWidth="1"/>
    <col min="15607" max="15607" width="13.28515625" style="1" customWidth="1"/>
    <col min="15608" max="15793" width="9.140625" style="1"/>
    <col min="15794" max="15795" width="0" style="1" hidden="1" customWidth="1"/>
    <col min="15796" max="15796" width="13.7109375" style="1" customWidth="1"/>
    <col min="15797" max="15797" width="52.85546875" style="1" customWidth="1"/>
    <col min="15798" max="15837" width="0" style="1" hidden="1" customWidth="1"/>
    <col min="15838" max="15839" width="14.85546875" style="1" customWidth="1"/>
    <col min="15840" max="15841" width="0" style="1" hidden="1" customWidth="1"/>
    <col min="15842" max="15842" width="14.85546875" style="1" customWidth="1"/>
    <col min="15843" max="15844" width="0" style="1" hidden="1" customWidth="1"/>
    <col min="15845" max="15845" width="14.85546875" style="1" customWidth="1"/>
    <col min="15846" max="15847" width="0" style="1" hidden="1" customWidth="1"/>
    <col min="15848" max="15848" width="14.85546875" style="1" customWidth="1"/>
    <col min="15849" max="15850" width="0" style="1" hidden="1" customWidth="1"/>
    <col min="15851" max="15851" width="14.85546875" style="1" customWidth="1"/>
    <col min="15852" max="15853" width="0" style="1" hidden="1" customWidth="1"/>
    <col min="15854" max="15855" width="14.85546875" style="1" customWidth="1"/>
    <col min="15856" max="15856" width="44.42578125" style="1" customWidth="1"/>
    <col min="15857" max="15861" width="14.85546875" style="1" customWidth="1"/>
    <col min="15862" max="15862" width="63.85546875" style="1" customWidth="1"/>
    <col min="15863" max="15863" width="13.28515625" style="1" customWidth="1"/>
    <col min="15864" max="16049" width="9.140625" style="1"/>
    <col min="16050" max="16051" width="0" style="1" hidden="1" customWidth="1"/>
    <col min="16052" max="16052" width="13.7109375" style="1" customWidth="1"/>
    <col min="16053" max="16053" width="52.85546875" style="1" customWidth="1"/>
    <col min="16054" max="16093" width="0" style="1" hidden="1" customWidth="1"/>
    <col min="16094" max="16095" width="14.85546875" style="1" customWidth="1"/>
    <col min="16096" max="16097" width="0" style="1" hidden="1" customWidth="1"/>
    <col min="16098" max="16098" width="14.85546875" style="1" customWidth="1"/>
    <col min="16099" max="16100" width="0" style="1" hidden="1" customWidth="1"/>
    <col min="16101" max="16101" width="14.85546875" style="1" customWidth="1"/>
    <col min="16102" max="16103" width="0" style="1" hidden="1" customWidth="1"/>
    <col min="16104" max="16104" width="14.85546875" style="1" customWidth="1"/>
    <col min="16105" max="16106" width="0" style="1" hidden="1" customWidth="1"/>
    <col min="16107" max="16107" width="14.85546875" style="1" customWidth="1"/>
    <col min="16108" max="16109" width="0" style="1" hidden="1" customWidth="1"/>
    <col min="16110" max="16111" width="14.85546875" style="1" customWidth="1"/>
    <col min="16112" max="16112" width="44.42578125" style="1" customWidth="1"/>
    <col min="16113" max="16117" width="14.85546875" style="1" customWidth="1"/>
    <col min="16118" max="16118" width="63.85546875" style="1" customWidth="1"/>
    <col min="16119" max="16119" width="13.28515625" style="1" customWidth="1"/>
    <col min="16120" max="16318" width="9.140625" style="1"/>
    <col min="16319" max="16351" width="9.140625" style="1" customWidth="1"/>
    <col min="16352" max="16359" width="9.140625" style="1"/>
    <col min="16360" max="16360" width="9.140625" style="1" customWidth="1"/>
    <col min="16361" max="16384" width="9.140625" style="1"/>
  </cols>
  <sheetData>
    <row r="1" spans="1:11" ht="25.5" outlineLevel="1" x14ac:dyDescent="0.35">
      <c r="C1" s="2" t="s">
        <v>0</v>
      </c>
      <c r="D1" s="3"/>
      <c r="E1" s="6"/>
      <c r="F1" s="6"/>
      <c r="G1" s="4"/>
      <c r="H1" s="7"/>
      <c r="I1" s="8"/>
      <c r="J1" s="9"/>
      <c r="K1" s="10"/>
    </row>
    <row r="2" spans="1:11" ht="25.5" outlineLevel="1" x14ac:dyDescent="0.35">
      <c r="C2" s="275" t="s">
        <v>1</v>
      </c>
      <c r="D2" s="275"/>
      <c r="G2" s="5"/>
      <c r="H2" s="12"/>
      <c r="I2" s="13"/>
      <c r="J2" s="14"/>
      <c r="K2" s="15"/>
    </row>
    <row r="3" spans="1:11" ht="20.25" outlineLevel="1" x14ac:dyDescent="0.3">
      <c r="C3" s="276" t="s">
        <v>2</v>
      </c>
      <c r="D3" s="276"/>
      <c r="E3" s="17">
        <f>E91-E120-E42</f>
        <v>37257977</v>
      </c>
      <c r="F3" s="17">
        <f>F91-F120-F42</f>
        <v>37259477</v>
      </c>
      <c r="G3" s="16"/>
      <c r="I3" s="19"/>
      <c r="J3" s="20"/>
      <c r="K3" s="19"/>
    </row>
    <row r="4" spans="1:11" ht="15.75" outlineLevel="1" thickBot="1" x14ac:dyDescent="0.3">
      <c r="C4" s="21"/>
      <c r="E4" s="17"/>
      <c r="F4" s="17"/>
      <c r="G4" s="18"/>
      <c r="I4" s="22"/>
      <c r="J4" s="13"/>
      <c r="K4" s="23"/>
    </row>
    <row r="5" spans="1:11" ht="55.15" customHeight="1" thickBot="1" x14ac:dyDescent="0.3">
      <c r="C5" s="24" t="s">
        <v>3</v>
      </c>
      <c r="D5" s="25" t="s">
        <v>4</v>
      </c>
      <c r="E5" s="27" t="s">
        <v>6</v>
      </c>
      <c r="F5" s="27" t="s">
        <v>7</v>
      </c>
      <c r="G5" s="26" t="s">
        <v>8</v>
      </c>
      <c r="H5" s="28" t="s">
        <v>9</v>
      </c>
      <c r="I5" s="29" t="s">
        <v>10</v>
      </c>
      <c r="J5" s="30" t="s">
        <v>11</v>
      </c>
      <c r="K5" s="31" t="s">
        <v>12</v>
      </c>
    </row>
    <row r="6" spans="1:11" x14ac:dyDescent="0.25">
      <c r="C6" s="32" t="s">
        <v>13</v>
      </c>
      <c r="D6" s="33" t="s">
        <v>14</v>
      </c>
      <c r="E6" s="34">
        <f>ROUND((E7+E10+E13+E16+E19),0)</f>
        <v>42715458</v>
      </c>
      <c r="F6" s="34">
        <f t="shared" ref="F6" si="0">ROUND((F7+F10+F13+F16+F19),0)</f>
        <v>42715458</v>
      </c>
      <c r="G6" s="35">
        <f>F6-E6</f>
        <v>0</v>
      </c>
      <c r="H6" s="36"/>
      <c r="I6" s="37">
        <f>ROUND((I7+I10+I13+I16+I19),0)</f>
        <v>29885578</v>
      </c>
      <c r="J6" s="38">
        <f>I6/E6</f>
        <v>0.69964315962619439</v>
      </c>
      <c r="K6" s="39"/>
    </row>
    <row r="7" spans="1:11" x14ac:dyDescent="0.25">
      <c r="B7" s="1" t="s">
        <v>15</v>
      </c>
      <c r="C7" s="40" t="s">
        <v>16</v>
      </c>
      <c r="D7" s="41" t="s">
        <v>17</v>
      </c>
      <c r="E7" s="43">
        <f t="shared" ref="E7" si="1">SUM(E8:E8)</f>
        <v>39439118</v>
      </c>
      <c r="F7" s="43">
        <f>SUM(F8:F8)</f>
        <v>39439118</v>
      </c>
      <c r="G7" s="42">
        <f t="shared" ref="G7:G64" si="2">F7-E7</f>
        <v>0</v>
      </c>
      <c r="H7" s="44"/>
      <c r="I7" s="45">
        <f>SUM(I8:I8)</f>
        <v>26886600.870000001</v>
      </c>
      <c r="J7" s="46">
        <f t="shared" ref="J7:J64" si="3">I7/E7</f>
        <v>0.68172419246292482</v>
      </c>
      <c r="K7" s="45"/>
    </row>
    <row r="8" spans="1:11" ht="18.75" customHeight="1" x14ac:dyDescent="0.25">
      <c r="A8" s="1" t="s">
        <v>18</v>
      </c>
      <c r="B8" s="47" t="s">
        <v>19</v>
      </c>
      <c r="C8" s="48" t="s">
        <v>20</v>
      </c>
      <c r="D8" s="49" t="s">
        <v>21</v>
      </c>
      <c r="E8" s="51">
        <v>39439118</v>
      </c>
      <c r="F8" s="51">
        <f>ROUND(E8,0)</f>
        <v>39439118</v>
      </c>
      <c r="G8" s="50">
        <f t="shared" si="2"/>
        <v>0</v>
      </c>
      <c r="H8" s="52"/>
      <c r="I8" s="53">
        <v>26886600.870000001</v>
      </c>
      <c r="J8" s="54">
        <f t="shared" si="3"/>
        <v>0.68172419246292482</v>
      </c>
      <c r="K8" s="53" t="s">
        <v>22</v>
      </c>
    </row>
    <row r="9" spans="1:11" ht="32.450000000000003" customHeight="1" x14ac:dyDescent="0.25">
      <c r="C9" s="32" t="s">
        <v>23</v>
      </c>
      <c r="D9" s="33" t="s">
        <v>24</v>
      </c>
      <c r="E9" s="34">
        <f>E10+E13+E16</f>
        <v>3211340</v>
      </c>
      <c r="F9" s="34">
        <f>F10+F13+F16</f>
        <v>3211340</v>
      </c>
      <c r="G9" s="35">
        <f t="shared" si="2"/>
        <v>0</v>
      </c>
      <c r="H9" s="36"/>
      <c r="I9" s="37">
        <f>I10+I13+I16</f>
        <v>2940814.66</v>
      </c>
      <c r="J9" s="38">
        <f t="shared" si="3"/>
        <v>0.91575935902146777</v>
      </c>
      <c r="K9" s="39" t="s">
        <v>25</v>
      </c>
    </row>
    <row r="10" spans="1:11" x14ac:dyDescent="0.25">
      <c r="B10" s="1" t="s">
        <v>26</v>
      </c>
      <c r="C10" s="55" t="s">
        <v>27</v>
      </c>
      <c r="D10" s="56" t="s">
        <v>28</v>
      </c>
      <c r="E10" s="58">
        <f>SUM(E11:E12)</f>
        <v>2082625</v>
      </c>
      <c r="F10" s="58">
        <f>SUM(F11:F12)</f>
        <v>2082625</v>
      </c>
      <c r="G10" s="57">
        <f t="shared" si="2"/>
        <v>0</v>
      </c>
      <c r="H10" s="59"/>
      <c r="I10" s="60">
        <f>SUM(I11:I12)</f>
        <v>1872197.98</v>
      </c>
      <c r="J10" s="61">
        <f t="shared" si="3"/>
        <v>0.89896067703019022</v>
      </c>
      <c r="K10" s="60"/>
    </row>
    <row r="11" spans="1:11" x14ac:dyDescent="0.25">
      <c r="A11" s="1" t="s">
        <v>18</v>
      </c>
      <c r="B11" s="47" t="s">
        <v>29</v>
      </c>
      <c r="C11" s="48" t="s">
        <v>30</v>
      </c>
      <c r="D11" s="49" t="s">
        <v>21</v>
      </c>
      <c r="E11" s="51">
        <v>1945625</v>
      </c>
      <c r="F11" s="51">
        <f>ROUND(E11,0)</f>
        <v>1945625</v>
      </c>
      <c r="G11" s="50">
        <f t="shared" si="2"/>
        <v>0</v>
      </c>
      <c r="H11" s="62"/>
      <c r="I11" s="53">
        <v>1792573.51</v>
      </c>
      <c r="J11" s="54">
        <f t="shared" si="3"/>
        <v>0.92133556569225827</v>
      </c>
      <c r="K11" s="53"/>
    </row>
    <row r="12" spans="1:11" x14ac:dyDescent="0.25">
      <c r="A12" s="1" t="s">
        <v>18</v>
      </c>
      <c r="B12" s="47" t="s">
        <v>31</v>
      </c>
      <c r="C12" s="48" t="s">
        <v>32</v>
      </c>
      <c r="D12" s="49" t="s">
        <v>33</v>
      </c>
      <c r="E12" s="51">
        <v>137000</v>
      </c>
      <c r="F12" s="51">
        <f>ROUND(E12,0)</f>
        <v>137000</v>
      </c>
      <c r="G12" s="50">
        <f t="shared" si="2"/>
        <v>0</v>
      </c>
      <c r="H12" s="52"/>
      <c r="I12" s="53">
        <v>79624.47</v>
      </c>
      <c r="J12" s="54">
        <f t="shared" si="3"/>
        <v>0.58120051094890512</v>
      </c>
      <c r="K12" s="53"/>
    </row>
    <row r="13" spans="1:11" x14ac:dyDescent="0.25">
      <c r="B13" s="1" t="s">
        <v>34</v>
      </c>
      <c r="C13" s="55" t="s">
        <v>35</v>
      </c>
      <c r="D13" s="56" t="s">
        <v>36</v>
      </c>
      <c r="E13" s="58">
        <f>SUM(E14:E15)</f>
        <v>392228</v>
      </c>
      <c r="F13" s="58">
        <f>SUM(F14:F15)</f>
        <v>392228</v>
      </c>
      <c r="G13" s="57">
        <f t="shared" si="2"/>
        <v>0</v>
      </c>
      <c r="H13" s="59"/>
      <c r="I13" s="60">
        <f>SUM(I14:I15)</f>
        <v>363006.41000000003</v>
      </c>
      <c r="J13" s="61">
        <f t="shared" si="3"/>
        <v>0.92549846007934167</v>
      </c>
      <c r="K13" s="60"/>
    </row>
    <row r="14" spans="1:11" x14ac:dyDescent="0.25">
      <c r="A14" s="1" t="s">
        <v>18</v>
      </c>
      <c r="B14" s="47" t="s">
        <v>37</v>
      </c>
      <c r="C14" s="48" t="s">
        <v>38</v>
      </c>
      <c r="D14" s="49" t="s">
        <v>39</v>
      </c>
      <c r="E14" s="51">
        <v>362228</v>
      </c>
      <c r="F14" s="51">
        <f>ROUND(E14,0)</f>
        <v>362228</v>
      </c>
      <c r="G14" s="50">
        <f t="shared" si="2"/>
        <v>0</v>
      </c>
      <c r="H14" s="63"/>
      <c r="I14" s="53">
        <v>330557.52</v>
      </c>
      <c r="J14" s="54">
        <f t="shared" si="3"/>
        <v>0.91256755413717328</v>
      </c>
      <c r="K14" s="53"/>
    </row>
    <row r="15" spans="1:11" x14ac:dyDescent="0.25">
      <c r="A15" s="1" t="s">
        <v>18</v>
      </c>
      <c r="B15" s="47" t="s">
        <v>40</v>
      </c>
      <c r="C15" s="48" t="s">
        <v>41</v>
      </c>
      <c r="D15" s="49" t="s">
        <v>33</v>
      </c>
      <c r="E15" s="51">
        <v>30000</v>
      </c>
      <c r="F15" s="51">
        <f>ROUND(E15,0)</f>
        <v>30000</v>
      </c>
      <c r="G15" s="50">
        <f t="shared" si="2"/>
        <v>0</v>
      </c>
      <c r="H15" s="52"/>
      <c r="I15" s="53">
        <v>32448.89</v>
      </c>
      <c r="J15" s="54">
        <f t="shared" si="3"/>
        <v>1.0816296666666667</v>
      </c>
      <c r="K15" s="53"/>
    </row>
    <row r="16" spans="1:11" ht="29.25" x14ac:dyDescent="0.25">
      <c r="B16" s="1" t="s">
        <v>42</v>
      </c>
      <c r="C16" s="55" t="s">
        <v>43</v>
      </c>
      <c r="D16" s="56" t="s">
        <v>44</v>
      </c>
      <c r="E16" s="58">
        <f>SUM(E17:E18)</f>
        <v>736487</v>
      </c>
      <c r="F16" s="58">
        <f>SUM(F17:F18)</f>
        <v>736487</v>
      </c>
      <c r="G16" s="57">
        <f t="shared" si="2"/>
        <v>0</v>
      </c>
      <c r="H16" s="59"/>
      <c r="I16" s="60">
        <f>SUM(I17:I18)</f>
        <v>705610.27</v>
      </c>
      <c r="J16" s="61">
        <f t="shared" si="3"/>
        <v>0.95807566189219906</v>
      </c>
      <c r="K16" s="60"/>
    </row>
    <row r="17" spans="1:11" ht="18.75" customHeight="1" x14ac:dyDescent="0.25">
      <c r="A17" s="1" t="s">
        <v>18</v>
      </c>
      <c r="B17" s="47" t="s">
        <v>45</v>
      </c>
      <c r="C17" s="48" t="s">
        <v>46</v>
      </c>
      <c r="D17" s="49" t="s">
        <v>39</v>
      </c>
      <c r="E17" s="51">
        <v>665899</v>
      </c>
      <c r="F17" s="51">
        <f>ROUND(E17,0)</f>
        <v>665899</v>
      </c>
      <c r="G17" s="50">
        <f t="shared" si="2"/>
        <v>0</v>
      </c>
      <c r="H17" s="63"/>
      <c r="I17" s="53">
        <v>668706.42000000004</v>
      </c>
      <c r="J17" s="54">
        <f t="shared" si="3"/>
        <v>1.0042159847063894</v>
      </c>
      <c r="K17" s="53"/>
    </row>
    <row r="18" spans="1:11" x14ac:dyDescent="0.25">
      <c r="A18" s="1" t="s">
        <v>18</v>
      </c>
      <c r="B18" s="47" t="s">
        <v>47</v>
      </c>
      <c r="C18" s="48" t="s">
        <v>48</v>
      </c>
      <c r="D18" s="49" t="s">
        <v>33</v>
      </c>
      <c r="E18" s="51">
        <v>70588</v>
      </c>
      <c r="F18" s="51">
        <f>ROUND(E18,0)</f>
        <v>70588</v>
      </c>
      <c r="G18" s="50">
        <f t="shared" si="2"/>
        <v>0</v>
      </c>
      <c r="H18" s="62"/>
      <c r="I18" s="53">
        <v>36903.85</v>
      </c>
      <c r="J18" s="54">
        <f t="shared" si="3"/>
        <v>0.52280628435428111</v>
      </c>
      <c r="K18" s="53"/>
    </row>
    <row r="19" spans="1:11" ht="29.25" x14ac:dyDescent="0.25">
      <c r="B19" s="64"/>
      <c r="C19" s="55" t="s">
        <v>49</v>
      </c>
      <c r="D19" s="56" t="s">
        <v>50</v>
      </c>
      <c r="E19" s="58">
        <f>SUM(E20:E21)</f>
        <v>65000</v>
      </c>
      <c r="F19" s="58">
        <f t="shared" ref="F19" si="4">SUM(F20:F21)</f>
        <v>65000</v>
      </c>
      <c r="G19" s="57">
        <f t="shared" si="2"/>
        <v>0</v>
      </c>
      <c r="H19" s="59"/>
      <c r="I19" s="60">
        <f>SUM(I20:I21)</f>
        <v>58162.9</v>
      </c>
      <c r="J19" s="61">
        <f t="shared" si="3"/>
        <v>0.89481384615384618</v>
      </c>
      <c r="K19" s="60"/>
    </row>
    <row r="20" spans="1:11" ht="14.45" customHeight="1" outlineLevel="1" x14ac:dyDescent="0.25">
      <c r="B20" s="47" t="s">
        <v>51</v>
      </c>
      <c r="C20" s="48" t="s">
        <v>52</v>
      </c>
      <c r="D20" s="49" t="s">
        <v>53</v>
      </c>
      <c r="E20" s="51">
        <v>5000</v>
      </c>
      <c r="F20" s="51">
        <f>ROUND(E20,0)</f>
        <v>5000</v>
      </c>
      <c r="G20" s="50">
        <f t="shared" si="2"/>
        <v>0</v>
      </c>
      <c r="H20" s="63"/>
      <c r="I20" s="53">
        <v>4713.5</v>
      </c>
      <c r="J20" s="54">
        <f t="shared" si="3"/>
        <v>0.94269999999999998</v>
      </c>
      <c r="K20" s="53"/>
    </row>
    <row r="21" spans="1:11" ht="15.6" customHeight="1" x14ac:dyDescent="0.25">
      <c r="B21" s="47" t="s">
        <v>54</v>
      </c>
      <c r="C21" s="48" t="s">
        <v>52</v>
      </c>
      <c r="D21" s="49" t="s">
        <v>55</v>
      </c>
      <c r="E21" s="51">
        <v>60000</v>
      </c>
      <c r="F21" s="51">
        <f>ROUND(E21,0)</f>
        <v>60000</v>
      </c>
      <c r="G21" s="50">
        <f t="shared" si="2"/>
        <v>0</v>
      </c>
      <c r="H21" s="65"/>
      <c r="I21" s="53">
        <v>53449.4</v>
      </c>
      <c r="J21" s="54">
        <f t="shared" si="3"/>
        <v>0.89082333333333341</v>
      </c>
      <c r="K21" s="53"/>
    </row>
    <row r="22" spans="1:11" ht="15.75" customHeight="1" x14ac:dyDescent="0.25">
      <c r="B22" s="1" t="s">
        <v>56</v>
      </c>
      <c r="C22" s="55" t="s">
        <v>57</v>
      </c>
      <c r="D22" s="56" t="s">
        <v>58</v>
      </c>
      <c r="E22" s="58">
        <f>E23+E27</f>
        <v>144060</v>
      </c>
      <c r="F22" s="58">
        <f t="shared" ref="F22" si="5">F23+F27</f>
        <v>144060</v>
      </c>
      <c r="G22" s="57">
        <f t="shared" si="2"/>
        <v>0</v>
      </c>
      <c r="H22" s="59"/>
      <c r="I22" s="60">
        <f>I23+I27</f>
        <v>138876.38</v>
      </c>
      <c r="J22" s="61">
        <f t="shared" si="3"/>
        <v>0.96401763154241293</v>
      </c>
      <c r="K22" s="66"/>
    </row>
    <row r="23" spans="1:11" x14ac:dyDescent="0.25">
      <c r="A23" s="1" t="s">
        <v>18</v>
      </c>
      <c r="B23" s="1" t="s">
        <v>59</v>
      </c>
      <c r="C23" s="48" t="s">
        <v>60</v>
      </c>
      <c r="D23" s="49" t="s">
        <v>61</v>
      </c>
      <c r="E23" s="51">
        <f>E24+E25+E26</f>
        <v>6100</v>
      </c>
      <c r="F23" s="51">
        <f>F24+F25+F26</f>
        <v>6100</v>
      </c>
      <c r="G23" s="50">
        <f t="shared" si="2"/>
        <v>0</v>
      </c>
      <c r="H23" s="62"/>
      <c r="I23" s="53">
        <f>I24+I25+I26</f>
        <v>4680.9699999999993</v>
      </c>
      <c r="J23" s="67">
        <f t="shared" si="3"/>
        <v>0.76737213114754088</v>
      </c>
      <c r="K23" s="53"/>
    </row>
    <row r="24" spans="1:11" ht="26.25" x14ac:dyDescent="0.25">
      <c r="B24" s="47" t="s">
        <v>62</v>
      </c>
      <c r="C24" s="68" t="s">
        <v>63</v>
      </c>
      <c r="D24" s="69" t="s">
        <v>64</v>
      </c>
      <c r="E24" s="51">
        <v>1100</v>
      </c>
      <c r="F24" s="51">
        <f>ROUND(E24,0)</f>
        <v>1100</v>
      </c>
      <c r="G24" s="50">
        <f t="shared" si="2"/>
        <v>0</v>
      </c>
      <c r="H24" s="62"/>
      <c r="I24" s="53">
        <v>997.29</v>
      </c>
      <c r="J24" s="54">
        <f t="shared" si="3"/>
        <v>0.90662727272727273</v>
      </c>
      <c r="K24" s="53"/>
    </row>
    <row r="25" spans="1:11" ht="26.25" x14ac:dyDescent="0.25">
      <c r="B25" s="47" t="s">
        <v>65</v>
      </c>
      <c r="C25" s="68" t="s">
        <v>66</v>
      </c>
      <c r="D25" s="69" t="s">
        <v>67</v>
      </c>
      <c r="E25" s="51">
        <v>4500</v>
      </c>
      <c r="F25" s="51">
        <f>ROUND(E25,0)</f>
        <v>4500</v>
      </c>
      <c r="G25" s="50">
        <f t="shared" si="2"/>
        <v>0</v>
      </c>
      <c r="H25" s="62"/>
      <c r="I25" s="53">
        <v>3235.18</v>
      </c>
      <c r="J25" s="54">
        <f t="shared" si="3"/>
        <v>0.71892888888888884</v>
      </c>
      <c r="K25" s="53"/>
    </row>
    <row r="26" spans="1:11" ht="26.25" x14ac:dyDescent="0.25">
      <c r="B26" s="47" t="s">
        <v>68</v>
      </c>
      <c r="C26" s="68" t="s">
        <v>69</v>
      </c>
      <c r="D26" s="69" t="s">
        <v>70</v>
      </c>
      <c r="E26" s="51">
        <v>500</v>
      </c>
      <c r="F26" s="51">
        <f>ROUND(E26,0)</f>
        <v>500</v>
      </c>
      <c r="G26" s="50">
        <f t="shared" si="2"/>
        <v>0</v>
      </c>
      <c r="H26" s="62"/>
      <c r="I26" s="53">
        <v>448.5</v>
      </c>
      <c r="J26" s="54">
        <f t="shared" si="3"/>
        <v>0.89700000000000002</v>
      </c>
      <c r="K26" s="53"/>
    </row>
    <row r="27" spans="1:11" x14ac:dyDescent="0.25">
      <c r="A27" s="1" t="s">
        <v>18</v>
      </c>
      <c r="B27" s="1" t="s">
        <v>71</v>
      </c>
      <c r="C27" s="48" t="s">
        <v>72</v>
      </c>
      <c r="D27" s="49" t="s">
        <v>73</v>
      </c>
      <c r="E27" s="51">
        <f>SUM(E28:E33)</f>
        <v>137960</v>
      </c>
      <c r="F27" s="51">
        <f t="shared" ref="F27" si="6">SUM(F28:F33)</f>
        <v>137960</v>
      </c>
      <c r="G27" s="50">
        <f t="shared" si="2"/>
        <v>0</v>
      </c>
      <c r="H27" s="62"/>
      <c r="I27" s="53">
        <f>SUM(I28:I33)</f>
        <v>134195.41</v>
      </c>
      <c r="J27" s="67">
        <f t="shared" si="3"/>
        <v>0.97271245288489416</v>
      </c>
      <c r="K27" s="53"/>
    </row>
    <row r="28" spans="1:11" ht="26.25" x14ac:dyDescent="0.25">
      <c r="B28" s="47" t="s">
        <v>74</v>
      </c>
      <c r="C28" s="68" t="s">
        <v>75</v>
      </c>
      <c r="D28" s="69" t="s">
        <v>76</v>
      </c>
      <c r="E28" s="51">
        <v>100</v>
      </c>
      <c r="F28" s="51">
        <f t="shared" ref="F28:F33" si="7">ROUND(E28,0)</f>
        <v>100</v>
      </c>
      <c r="G28" s="50">
        <f t="shared" si="2"/>
        <v>0</v>
      </c>
      <c r="H28" s="62"/>
      <c r="I28" s="53">
        <v>81.5</v>
      </c>
      <c r="J28" s="54">
        <f t="shared" si="3"/>
        <v>0.81499999999999995</v>
      </c>
      <c r="K28" s="53"/>
    </row>
    <row r="29" spans="1:11" ht="26.25" x14ac:dyDescent="0.25">
      <c r="B29" s="70" t="s">
        <v>77</v>
      </c>
      <c r="C29" s="68" t="s">
        <v>78</v>
      </c>
      <c r="D29" s="69" t="s">
        <v>79</v>
      </c>
      <c r="E29" s="51">
        <v>1860</v>
      </c>
      <c r="F29" s="51">
        <f t="shared" si="7"/>
        <v>1860</v>
      </c>
      <c r="G29" s="50">
        <f t="shared" si="2"/>
        <v>0</v>
      </c>
      <c r="H29" s="62"/>
      <c r="I29" s="53">
        <v>1925.98</v>
      </c>
      <c r="J29" s="54">
        <f t="shared" si="3"/>
        <v>1.03547311827957</v>
      </c>
      <c r="K29" s="53"/>
    </row>
    <row r="30" spans="1:11" ht="25.9" customHeight="1" x14ac:dyDescent="0.25">
      <c r="B30" s="47" t="s">
        <v>80</v>
      </c>
      <c r="C30" s="68" t="s">
        <v>81</v>
      </c>
      <c r="D30" s="69" t="s">
        <v>82</v>
      </c>
      <c r="E30" s="51">
        <v>33000</v>
      </c>
      <c r="F30" s="51">
        <f t="shared" si="7"/>
        <v>33000</v>
      </c>
      <c r="G30" s="50">
        <f t="shared" si="2"/>
        <v>0</v>
      </c>
      <c r="H30" s="62"/>
      <c r="I30" s="53">
        <v>33354.120000000003</v>
      </c>
      <c r="J30" s="54">
        <f t="shared" si="3"/>
        <v>1.0107309090909091</v>
      </c>
      <c r="K30" s="53"/>
    </row>
    <row r="31" spans="1:11" ht="26.25" x14ac:dyDescent="0.25">
      <c r="B31" s="47" t="s">
        <v>83</v>
      </c>
      <c r="C31" s="68" t="s">
        <v>84</v>
      </c>
      <c r="D31" s="69" t="s">
        <v>85</v>
      </c>
      <c r="E31" s="51">
        <v>13000</v>
      </c>
      <c r="F31" s="51">
        <f t="shared" si="7"/>
        <v>13000</v>
      </c>
      <c r="G31" s="50">
        <f t="shared" si="2"/>
        <v>0</v>
      </c>
      <c r="H31" s="62"/>
      <c r="I31" s="53">
        <v>18321.87</v>
      </c>
      <c r="J31" s="54">
        <f t="shared" si="3"/>
        <v>1.4093746153846154</v>
      </c>
      <c r="K31" s="53"/>
    </row>
    <row r="32" spans="1:11" x14ac:dyDescent="0.25">
      <c r="B32" s="47" t="s">
        <v>86</v>
      </c>
      <c r="C32" s="68" t="s">
        <v>87</v>
      </c>
      <c r="D32" s="69" t="s">
        <v>88</v>
      </c>
      <c r="E32" s="51">
        <v>85000</v>
      </c>
      <c r="F32" s="51">
        <f t="shared" si="7"/>
        <v>85000</v>
      </c>
      <c r="G32" s="50">
        <f t="shared" si="2"/>
        <v>0</v>
      </c>
      <c r="H32" s="62"/>
      <c r="I32" s="53">
        <v>76621.850000000006</v>
      </c>
      <c r="J32" s="54">
        <f t="shared" si="3"/>
        <v>0.9014335294117648</v>
      </c>
      <c r="K32" s="53"/>
    </row>
    <row r="33" spans="1:12" x14ac:dyDescent="0.25">
      <c r="B33" s="47" t="s">
        <v>89</v>
      </c>
      <c r="C33" s="68" t="s">
        <v>90</v>
      </c>
      <c r="D33" s="69" t="s">
        <v>91</v>
      </c>
      <c r="E33" s="51">
        <v>5000</v>
      </c>
      <c r="F33" s="51">
        <f t="shared" si="7"/>
        <v>5000</v>
      </c>
      <c r="G33" s="50">
        <f t="shared" si="2"/>
        <v>0</v>
      </c>
      <c r="H33" s="62"/>
      <c r="I33" s="53">
        <v>3890.09</v>
      </c>
      <c r="J33" s="54">
        <f t="shared" si="3"/>
        <v>0.77801799999999999</v>
      </c>
      <c r="K33" s="53"/>
    </row>
    <row r="34" spans="1:12" ht="18" customHeight="1" x14ac:dyDescent="0.25">
      <c r="B34" s="1" t="s">
        <v>92</v>
      </c>
      <c r="C34" s="55" t="s">
        <v>93</v>
      </c>
      <c r="D34" s="56" t="s">
        <v>94</v>
      </c>
      <c r="E34" s="58">
        <f>E35+E36</f>
        <v>130000</v>
      </c>
      <c r="F34" s="58">
        <f>F35+F36</f>
        <v>130000</v>
      </c>
      <c r="G34" s="57">
        <f t="shared" si="2"/>
        <v>0</v>
      </c>
      <c r="H34" s="71"/>
      <c r="I34" s="60">
        <f>I35+I36</f>
        <v>152738.26</v>
      </c>
      <c r="J34" s="61">
        <f t="shared" si="3"/>
        <v>1.1749096923076925</v>
      </c>
      <c r="K34" s="66"/>
    </row>
    <row r="35" spans="1:12" ht="16.5" customHeight="1" x14ac:dyDescent="0.25">
      <c r="B35" s="64" t="s">
        <v>95</v>
      </c>
      <c r="C35" s="48" t="s">
        <v>96</v>
      </c>
      <c r="D35" s="49" t="s">
        <v>94</v>
      </c>
      <c r="E35" s="51">
        <v>90000</v>
      </c>
      <c r="F35" s="51">
        <f>ROUND(E35,0)</f>
        <v>90000</v>
      </c>
      <c r="G35" s="50">
        <f t="shared" si="2"/>
        <v>0</v>
      </c>
      <c r="H35" s="52"/>
      <c r="I35" s="53">
        <v>114544.92</v>
      </c>
      <c r="J35" s="54">
        <f t="shared" si="3"/>
        <v>1.2727213333333334</v>
      </c>
      <c r="K35" s="53"/>
    </row>
    <row r="36" spans="1:12" ht="30" x14ac:dyDescent="0.25">
      <c r="B36" s="64" t="s">
        <v>97</v>
      </c>
      <c r="C36" s="48" t="s">
        <v>98</v>
      </c>
      <c r="D36" s="49" t="s">
        <v>99</v>
      </c>
      <c r="E36" s="51">
        <v>40000</v>
      </c>
      <c r="F36" s="51">
        <f>ROUND(E36,0)</f>
        <v>40000</v>
      </c>
      <c r="G36" s="50">
        <f t="shared" si="2"/>
        <v>0</v>
      </c>
      <c r="H36" s="52"/>
      <c r="I36" s="53">
        <v>38193.339999999997</v>
      </c>
      <c r="J36" s="54">
        <f t="shared" si="3"/>
        <v>0.95483349999999989</v>
      </c>
      <c r="K36" s="53"/>
    </row>
    <row r="37" spans="1:12" ht="18" customHeight="1" x14ac:dyDescent="0.25">
      <c r="B37" s="1" t="s">
        <v>100</v>
      </c>
      <c r="C37" s="55" t="s">
        <v>101</v>
      </c>
      <c r="D37" s="56" t="s">
        <v>102</v>
      </c>
      <c r="E37" s="58">
        <f>E38+E39+E40</f>
        <v>35728</v>
      </c>
      <c r="F37" s="58">
        <f>F38+F39+F40</f>
        <v>35728</v>
      </c>
      <c r="G37" s="57">
        <f t="shared" si="2"/>
        <v>0</v>
      </c>
      <c r="H37" s="59"/>
      <c r="I37" s="60">
        <f>I38+I39+I40</f>
        <v>176633.03999999998</v>
      </c>
      <c r="J37" s="61">
        <f t="shared" si="3"/>
        <v>4.9438266905508277</v>
      </c>
      <c r="K37" s="60"/>
      <c r="L37" s="5"/>
    </row>
    <row r="38" spans="1:12" ht="20.25" customHeight="1" x14ac:dyDescent="0.25">
      <c r="A38" s="1" t="s">
        <v>18</v>
      </c>
      <c r="B38" s="4" t="s">
        <v>103</v>
      </c>
      <c r="C38" s="48" t="s">
        <v>104</v>
      </c>
      <c r="D38" s="72" t="s">
        <v>105</v>
      </c>
      <c r="E38" s="51">
        <v>25728</v>
      </c>
      <c r="F38" s="51">
        <f>ROUND(E38,0)</f>
        <v>25728</v>
      </c>
      <c r="G38" s="50">
        <f t="shared" si="2"/>
        <v>0</v>
      </c>
      <c r="H38" s="73"/>
      <c r="I38" s="53">
        <f>89565+64858.59+2432+5650+2273-4104</f>
        <v>160674.59</v>
      </c>
      <c r="J38" s="54">
        <f t="shared" si="3"/>
        <v>6.245125544154229</v>
      </c>
      <c r="K38" s="74" t="s">
        <v>106</v>
      </c>
    </row>
    <row r="39" spans="1:12" ht="27.75" customHeight="1" x14ac:dyDescent="0.25">
      <c r="B39" s="1" t="s">
        <v>107</v>
      </c>
      <c r="C39" s="48" t="s">
        <v>108</v>
      </c>
      <c r="D39" s="49" t="s">
        <v>109</v>
      </c>
      <c r="E39" s="51">
        <v>0</v>
      </c>
      <c r="F39" s="51">
        <f>ROUND(E39,0)</f>
        <v>0</v>
      </c>
      <c r="G39" s="50">
        <f t="shared" si="2"/>
        <v>0</v>
      </c>
      <c r="H39" s="73"/>
      <c r="I39" s="53">
        <f>3122.68+4101</f>
        <v>7223.68</v>
      </c>
      <c r="J39" s="54" t="e">
        <f t="shared" si="3"/>
        <v>#DIV/0!</v>
      </c>
      <c r="K39" s="74" t="s">
        <v>110</v>
      </c>
    </row>
    <row r="40" spans="1:12" x14ac:dyDescent="0.25">
      <c r="B40" s="1" t="s">
        <v>111</v>
      </c>
      <c r="C40" s="48" t="s">
        <v>112</v>
      </c>
      <c r="D40" s="49" t="s">
        <v>113</v>
      </c>
      <c r="E40" s="51">
        <v>10000</v>
      </c>
      <c r="F40" s="51">
        <f>ROUND(E40,0)</f>
        <v>10000</v>
      </c>
      <c r="G40" s="50">
        <f t="shared" si="2"/>
        <v>0</v>
      </c>
      <c r="H40" s="52"/>
      <c r="I40" s="53">
        <v>8734.77</v>
      </c>
      <c r="J40" s="54">
        <f t="shared" si="3"/>
        <v>0.87347700000000006</v>
      </c>
      <c r="K40" s="53"/>
      <c r="L40" s="5"/>
    </row>
    <row r="41" spans="1:12" ht="26.45" customHeight="1" x14ac:dyDescent="0.25">
      <c r="B41" s="1" t="s">
        <v>114</v>
      </c>
      <c r="C41" s="75" t="s">
        <v>115</v>
      </c>
      <c r="D41" s="56" t="s">
        <v>116</v>
      </c>
      <c r="E41" s="58">
        <v>0</v>
      </c>
      <c r="F41" s="58">
        <v>0</v>
      </c>
      <c r="G41" s="57">
        <f t="shared" si="2"/>
        <v>0</v>
      </c>
      <c r="H41" s="71"/>
      <c r="I41" s="60">
        <f>89227.78+50+1</f>
        <v>89278.78</v>
      </c>
      <c r="J41" s="61" t="e">
        <f t="shared" si="3"/>
        <v>#DIV/0!</v>
      </c>
      <c r="K41" s="66" t="s">
        <v>117</v>
      </c>
    </row>
    <row r="42" spans="1:12" ht="31.5" customHeight="1" x14ac:dyDescent="0.25">
      <c r="C42" s="75" t="s">
        <v>118</v>
      </c>
      <c r="D42" s="56" t="s">
        <v>119</v>
      </c>
      <c r="E42" s="58">
        <f>E43+E62</f>
        <v>17618701</v>
      </c>
      <c r="F42" s="58">
        <f>F43+F62</f>
        <v>17672389</v>
      </c>
      <c r="G42" s="57">
        <f t="shared" si="2"/>
        <v>53688</v>
      </c>
      <c r="H42" s="57"/>
      <c r="I42" s="76" t="e">
        <f>I43+I62+#REF!</f>
        <v>#REF!</v>
      </c>
      <c r="J42" s="77" t="e">
        <f t="shared" si="3"/>
        <v>#REF!</v>
      </c>
      <c r="K42" s="60"/>
    </row>
    <row r="43" spans="1:12" ht="17.45" customHeight="1" x14ac:dyDescent="0.25">
      <c r="B43" s="47"/>
      <c r="C43" s="78" t="s">
        <v>120</v>
      </c>
      <c r="D43" s="79" t="s">
        <v>121</v>
      </c>
      <c r="E43" s="82">
        <f>SUM(E44:E47)+E50+SUM(E54:E61)</f>
        <v>9758404</v>
      </c>
      <c r="F43" s="82">
        <f>SUM(F44:F47)+F50+SUM(F54:F61)</f>
        <v>9781664</v>
      </c>
      <c r="G43" s="83">
        <f t="shared" si="2"/>
        <v>23260</v>
      </c>
      <c r="H43" s="83"/>
      <c r="I43" s="84">
        <f>SUM(I44:I47)+I50+SUM(I54:I61)</f>
        <v>6940114.8400000008</v>
      </c>
      <c r="J43" s="85">
        <f t="shared" si="3"/>
        <v>0.71119363781208489</v>
      </c>
      <c r="K43" s="84"/>
    </row>
    <row r="44" spans="1:12" ht="16.899999999999999" customHeight="1" x14ac:dyDescent="0.25">
      <c r="A44" s="1" t="s">
        <v>122</v>
      </c>
      <c r="B44" s="1" t="s">
        <v>123</v>
      </c>
      <c r="C44" s="68" t="s">
        <v>124</v>
      </c>
      <c r="D44" s="49" t="s">
        <v>125</v>
      </c>
      <c r="E44" s="51">
        <v>718764</v>
      </c>
      <c r="F44" s="51">
        <f>ROUND(E44,0)</f>
        <v>718764</v>
      </c>
      <c r="G44" s="50">
        <f t="shared" si="2"/>
        <v>0</v>
      </c>
      <c r="H44" s="73"/>
      <c r="I44" s="53">
        <v>526119</v>
      </c>
      <c r="J44" s="54">
        <f t="shared" si="3"/>
        <v>0.73197739452727184</v>
      </c>
      <c r="K44" s="53"/>
    </row>
    <row r="45" spans="1:12" ht="13.9" customHeight="1" x14ac:dyDescent="0.25">
      <c r="A45" s="1" t="s">
        <v>122</v>
      </c>
      <c r="B45" s="64" t="s">
        <v>126</v>
      </c>
      <c r="C45" s="68" t="s">
        <v>127</v>
      </c>
      <c r="D45" s="49" t="s">
        <v>128</v>
      </c>
      <c r="E45" s="51">
        <v>313180</v>
      </c>
      <c r="F45" s="51">
        <f>ROUND(E45,0)</f>
        <v>313180</v>
      </c>
      <c r="G45" s="50">
        <f t="shared" si="2"/>
        <v>0</v>
      </c>
      <c r="H45" s="52"/>
      <c r="I45" s="53">
        <v>218718</v>
      </c>
      <c r="J45" s="54">
        <f t="shared" si="3"/>
        <v>0.69837792962513567</v>
      </c>
      <c r="K45" s="53"/>
    </row>
    <row r="46" spans="1:12" x14ac:dyDescent="0.25">
      <c r="B46" s="64" t="s">
        <v>129</v>
      </c>
      <c r="C46" s="68" t="s">
        <v>130</v>
      </c>
      <c r="D46" s="49" t="s">
        <v>131</v>
      </c>
      <c r="E46" s="51">
        <v>341692</v>
      </c>
      <c r="F46" s="51">
        <f>ROUND(E46,0)</f>
        <v>341692</v>
      </c>
      <c r="G46" s="50">
        <f t="shared" si="2"/>
        <v>0</v>
      </c>
      <c r="H46" s="73"/>
      <c r="I46" s="53">
        <v>228051.24</v>
      </c>
      <c r="J46" s="54">
        <f t="shared" si="3"/>
        <v>0.66741755733233432</v>
      </c>
      <c r="K46" s="53"/>
    </row>
    <row r="47" spans="1:12" ht="14.25" customHeight="1" x14ac:dyDescent="0.25">
      <c r="A47" s="1" t="s">
        <v>122</v>
      </c>
      <c r="B47" s="64" t="s">
        <v>132</v>
      </c>
      <c r="C47" s="68" t="s">
        <v>133</v>
      </c>
      <c r="D47" s="49" t="s">
        <v>134</v>
      </c>
      <c r="E47" s="50">
        <f>E48+E49</f>
        <v>0</v>
      </c>
      <c r="F47" s="51">
        <f t="shared" ref="F47" si="8">F48+F49</f>
        <v>0</v>
      </c>
      <c r="G47" s="50">
        <f t="shared" si="2"/>
        <v>0</v>
      </c>
      <c r="H47" s="50"/>
      <c r="I47" s="53">
        <f>I48</f>
        <v>112837.57</v>
      </c>
      <c r="J47" s="54" t="e">
        <f t="shared" si="3"/>
        <v>#DIV/0!</v>
      </c>
      <c r="K47" s="53"/>
    </row>
    <row r="48" spans="1:12" ht="14.25" customHeight="1" x14ac:dyDescent="0.25">
      <c r="B48" s="64"/>
      <c r="C48" s="68" t="s">
        <v>135</v>
      </c>
      <c r="D48" s="69" t="s">
        <v>136</v>
      </c>
      <c r="E48" s="51">
        <v>0</v>
      </c>
      <c r="F48" s="51">
        <f>ROUND(E48,0)</f>
        <v>0</v>
      </c>
      <c r="G48" s="50">
        <f t="shared" si="2"/>
        <v>0</v>
      </c>
      <c r="H48" s="73"/>
      <c r="I48" s="53">
        <v>112837.57</v>
      </c>
      <c r="J48" s="54" t="e">
        <f t="shared" si="3"/>
        <v>#DIV/0!</v>
      </c>
      <c r="K48" s="53"/>
    </row>
    <row r="49" spans="1:11" ht="29.45" customHeight="1" x14ac:dyDescent="0.25">
      <c r="B49" s="64"/>
      <c r="C49" s="68" t="s">
        <v>137</v>
      </c>
      <c r="D49" s="69" t="s">
        <v>138</v>
      </c>
      <c r="E49" s="51">
        <v>0</v>
      </c>
      <c r="F49" s="51">
        <f>ROUND(E49,0)</f>
        <v>0</v>
      </c>
      <c r="G49" s="50">
        <f t="shared" si="2"/>
        <v>0</v>
      </c>
      <c r="H49" s="73"/>
      <c r="I49" s="53">
        <v>0</v>
      </c>
      <c r="J49" s="54" t="e">
        <f t="shared" si="3"/>
        <v>#DIV/0!</v>
      </c>
      <c r="K49" s="53"/>
    </row>
    <row r="50" spans="1:11" ht="13.9" customHeight="1" x14ac:dyDescent="0.25">
      <c r="B50" s="1" t="s">
        <v>139</v>
      </c>
      <c r="C50" s="68" t="s">
        <v>140</v>
      </c>
      <c r="D50" s="49" t="s">
        <v>141</v>
      </c>
      <c r="E50" s="87">
        <f>E51+E52+E53</f>
        <v>7121916</v>
      </c>
      <c r="F50" s="87">
        <f>F51+F52+F53</f>
        <v>7137676</v>
      </c>
      <c r="G50" s="86">
        <f t="shared" si="2"/>
        <v>15760</v>
      </c>
      <c r="H50" s="88"/>
      <c r="I50" s="89">
        <f>I51+I52+I53</f>
        <v>4833477</v>
      </c>
      <c r="J50" s="90">
        <f t="shared" si="3"/>
        <v>0.67867649660568874</v>
      </c>
      <c r="K50" s="89"/>
    </row>
    <row r="51" spans="1:11" s="96" customFormat="1" x14ac:dyDescent="0.25">
      <c r="A51" s="1" t="s">
        <v>122</v>
      </c>
      <c r="B51" s="64" t="s">
        <v>142</v>
      </c>
      <c r="C51" s="68" t="s">
        <v>143</v>
      </c>
      <c r="D51" s="69" t="s">
        <v>144</v>
      </c>
      <c r="E51" s="92">
        <v>1065868</v>
      </c>
      <c r="F51" s="92">
        <f t="shared" ref="F51:F60" si="9">ROUND(E51,0)</f>
        <v>1065868</v>
      </c>
      <c r="G51" s="91">
        <f t="shared" si="2"/>
        <v>0</v>
      </c>
      <c r="H51" s="93"/>
      <c r="I51" s="94">
        <v>802639</v>
      </c>
      <c r="J51" s="95">
        <f t="shared" si="3"/>
        <v>0.75303789962734602</v>
      </c>
      <c r="K51" s="94"/>
    </row>
    <row r="52" spans="1:11" s="96" customFormat="1" x14ac:dyDescent="0.25">
      <c r="A52" s="1" t="s">
        <v>122</v>
      </c>
      <c r="B52" s="64" t="s">
        <v>145</v>
      </c>
      <c r="C52" s="68" t="s">
        <v>146</v>
      </c>
      <c r="D52" s="69" t="s">
        <v>147</v>
      </c>
      <c r="E52" s="92">
        <v>5542646</v>
      </c>
      <c r="F52" s="92">
        <f t="shared" si="9"/>
        <v>5542646</v>
      </c>
      <c r="G52" s="91">
        <f t="shared" si="2"/>
        <v>0</v>
      </c>
      <c r="H52" s="93"/>
      <c r="I52" s="277">
        <v>4030838</v>
      </c>
      <c r="J52" s="279">
        <f t="shared" si="3"/>
        <v>0.72724074386132542</v>
      </c>
      <c r="K52" s="94"/>
    </row>
    <row r="53" spans="1:11" s="96" customFormat="1" ht="18" customHeight="1" x14ac:dyDescent="0.25">
      <c r="A53" s="1" t="s">
        <v>122</v>
      </c>
      <c r="B53" s="1"/>
      <c r="C53" s="68" t="s">
        <v>148</v>
      </c>
      <c r="D53" s="69" t="s">
        <v>149</v>
      </c>
      <c r="E53" s="92">
        <v>513402</v>
      </c>
      <c r="F53" s="92">
        <f>ROUND(E53,0)+15760</f>
        <v>529162</v>
      </c>
      <c r="G53" s="91">
        <f t="shared" si="2"/>
        <v>15760</v>
      </c>
      <c r="H53" s="93" t="s">
        <v>150</v>
      </c>
      <c r="I53" s="278"/>
      <c r="J53" s="280">
        <f t="shared" si="3"/>
        <v>0</v>
      </c>
      <c r="K53" s="94"/>
    </row>
    <row r="54" spans="1:11" ht="31.5" customHeight="1" x14ac:dyDescent="0.25">
      <c r="A54" s="1" t="s">
        <v>122</v>
      </c>
      <c r="B54" s="1" t="s">
        <v>151</v>
      </c>
      <c r="C54" s="68" t="s">
        <v>152</v>
      </c>
      <c r="D54" s="49" t="s">
        <v>153</v>
      </c>
      <c r="E54" s="51">
        <v>26360</v>
      </c>
      <c r="F54" s="51">
        <f t="shared" si="9"/>
        <v>26360</v>
      </c>
      <c r="G54" s="50">
        <f t="shared" si="2"/>
        <v>0</v>
      </c>
      <c r="H54" s="62"/>
      <c r="I54" s="53">
        <v>12493</v>
      </c>
      <c r="J54" s="54">
        <f t="shared" si="3"/>
        <v>0.47393778452200302</v>
      </c>
      <c r="K54" s="53"/>
    </row>
    <row r="55" spans="1:11" ht="19.149999999999999" customHeight="1" x14ac:dyDescent="0.25">
      <c r="A55" s="1" t="s">
        <v>122</v>
      </c>
      <c r="B55" s="64" t="s">
        <v>154</v>
      </c>
      <c r="C55" s="68" t="s">
        <v>155</v>
      </c>
      <c r="D55" s="49" t="s">
        <v>156</v>
      </c>
      <c r="E55" s="51">
        <v>37535</v>
      </c>
      <c r="F55" s="51">
        <f t="shared" si="9"/>
        <v>37535</v>
      </c>
      <c r="G55" s="50">
        <f t="shared" si="2"/>
        <v>0</v>
      </c>
      <c r="H55" s="52"/>
      <c r="I55" s="281">
        <v>47414.18</v>
      </c>
      <c r="J55" s="283">
        <f t="shared" si="3"/>
        <v>1.2631991474623685</v>
      </c>
      <c r="K55" s="97"/>
    </row>
    <row r="56" spans="1:11" ht="19.149999999999999" customHeight="1" x14ac:dyDescent="0.25">
      <c r="B56" s="64" t="s">
        <v>154</v>
      </c>
      <c r="C56" s="68" t="s">
        <v>157</v>
      </c>
      <c r="D56" s="49" t="s">
        <v>158</v>
      </c>
      <c r="E56" s="51">
        <v>11142</v>
      </c>
      <c r="F56" s="51">
        <f t="shared" si="9"/>
        <v>11142</v>
      </c>
      <c r="G56" s="50">
        <f t="shared" si="2"/>
        <v>0</v>
      </c>
      <c r="H56" s="52"/>
      <c r="I56" s="282"/>
      <c r="J56" s="284">
        <f t="shared" si="3"/>
        <v>0</v>
      </c>
      <c r="K56" s="97"/>
    </row>
    <row r="57" spans="1:11" ht="30.6" customHeight="1" x14ac:dyDescent="0.25">
      <c r="B57" s="1" t="s">
        <v>159</v>
      </c>
      <c r="C57" s="68" t="s">
        <v>160</v>
      </c>
      <c r="D57" s="49" t="s">
        <v>161</v>
      </c>
      <c r="E57" s="51">
        <v>580000</v>
      </c>
      <c r="F57" s="51">
        <f t="shared" si="9"/>
        <v>580000</v>
      </c>
      <c r="G57" s="50">
        <f t="shared" si="2"/>
        <v>0</v>
      </c>
      <c r="H57" s="73"/>
      <c r="I57" s="53">
        <v>432213.58</v>
      </c>
      <c r="J57" s="54">
        <f t="shared" si="3"/>
        <v>0.74519582758620695</v>
      </c>
      <c r="K57" s="53"/>
    </row>
    <row r="58" spans="1:11" ht="15" customHeight="1" x14ac:dyDescent="0.25">
      <c r="B58" s="98" t="s">
        <v>163</v>
      </c>
      <c r="C58" s="68" t="s">
        <v>162</v>
      </c>
      <c r="D58" s="49" t="s">
        <v>165</v>
      </c>
      <c r="E58" s="51">
        <v>406576</v>
      </c>
      <c r="F58" s="51">
        <f t="shared" si="9"/>
        <v>406576</v>
      </c>
      <c r="G58" s="50">
        <f t="shared" si="2"/>
        <v>0</v>
      </c>
      <c r="H58" s="73"/>
      <c r="I58" s="53">
        <v>306379</v>
      </c>
      <c r="J58" s="54">
        <f t="shared" si="3"/>
        <v>0.75355899020109396</v>
      </c>
      <c r="K58" s="53" t="s">
        <v>166</v>
      </c>
    </row>
    <row r="59" spans="1:11" ht="33.75" customHeight="1" x14ac:dyDescent="0.25">
      <c r="B59" s="1" t="s">
        <v>167</v>
      </c>
      <c r="C59" s="68" t="s">
        <v>164</v>
      </c>
      <c r="D59" s="49" t="s">
        <v>169</v>
      </c>
      <c r="E59" s="51">
        <v>70000</v>
      </c>
      <c r="F59" s="51">
        <f t="shared" si="9"/>
        <v>70000</v>
      </c>
      <c r="G59" s="50">
        <f t="shared" si="2"/>
        <v>0</v>
      </c>
      <c r="H59" s="73"/>
      <c r="I59" s="53">
        <v>57529.05</v>
      </c>
      <c r="J59" s="100">
        <f t="shared" si="3"/>
        <v>0.82184357142857145</v>
      </c>
      <c r="K59" s="97" t="s">
        <v>170</v>
      </c>
    </row>
    <row r="60" spans="1:11" x14ac:dyDescent="0.25">
      <c r="A60" s="1" t="s">
        <v>122</v>
      </c>
      <c r="B60" s="64" t="s">
        <v>173</v>
      </c>
      <c r="C60" s="68" t="s">
        <v>168</v>
      </c>
      <c r="D60" s="101" t="s">
        <v>174</v>
      </c>
      <c r="E60" s="51">
        <v>12607</v>
      </c>
      <c r="F60" s="51">
        <f t="shared" si="9"/>
        <v>12607</v>
      </c>
      <c r="G60" s="50">
        <f t="shared" si="2"/>
        <v>0</v>
      </c>
      <c r="H60" s="102"/>
      <c r="I60" s="53"/>
      <c r="J60" s="54">
        <f t="shared" si="3"/>
        <v>0</v>
      </c>
      <c r="K60" s="53"/>
    </row>
    <row r="61" spans="1:11" ht="33" customHeight="1" x14ac:dyDescent="0.25">
      <c r="A61" s="98" t="s">
        <v>175</v>
      </c>
      <c r="B61" s="1" t="s">
        <v>176</v>
      </c>
      <c r="C61" s="68" t="s">
        <v>171</v>
      </c>
      <c r="D61" s="49" t="s">
        <v>177</v>
      </c>
      <c r="E61" s="51">
        <v>118632</v>
      </c>
      <c r="F61" s="51">
        <f>ROUND(E61,0)+7500</f>
        <v>126132</v>
      </c>
      <c r="G61" s="50">
        <f t="shared" si="2"/>
        <v>7500</v>
      </c>
      <c r="H61" s="102" t="s">
        <v>629</v>
      </c>
      <c r="I61" s="53">
        <f>129435.22+17448+18000</f>
        <v>164883.22</v>
      </c>
      <c r="J61" s="54">
        <f t="shared" si="3"/>
        <v>1.3898713669161777</v>
      </c>
      <c r="K61" s="74" t="s">
        <v>178</v>
      </c>
    </row>
    <row r="62" spans="1:11" ht="25.9" customHeight="1" x14ac:dyDescent="0.25">
      <c r="C62" s="78" t="s">
        <v>179</v>
      </c>
      <c r="D62" s="79" t="s">
        <v>180</v>
      </c>
      <c r="E62" s="81">
        <f>SUM(E63:E72)</f>
        <v>7860297</v>
      </c>
      <c r="F62" s="81">
        <f>SUM(F63:F72)</f>
        <v>7890725</v>
      </c>
      <c r="G62" s="80">
        <f t="shared" si="2"/>
        <v>30428</v>
      </c>
      <c r="H62" s="103"/>
      <c r="I62" s="104">
        <f>SUM(I63:I72)</f>
        <v>542926.25</v>
      </c>
      <c r="J62" s="105">
        <f t="shared" si="3"/>
        <v>6.9071976542362204E-2</v>
      </c>
      <c r="K62" s="104" t="s">
        <v>181</v>
      </c>
    </row>
    <row r="63" spans="1:11" ht="30" customHeight="1" x14ac:dyDescent="0.25">
      <c r="B63" s="1" t="s">
        <v>187</v>
      </c>
      <c r="C63" s="68" t="s">
        <v>183</v>
      </c>
      <c r="D63" s="101" t="s">
        <v>189</v>
      </c>
      <c r="E63" s="51">
        <v>638646</v>
      </c>
      <c r="F63" s="51">
        <f t="shared" ref="F63:F72" si="10">ROUND(E63,0)</f>
        <v>638646</v>
      </c>
      <c r="G63" s="50">
        <f t="shared" si="2"/>
        <v>0</v>
      </c>
      <c r="H63" s="63"/>
      <c r="I63" s="53">
        <v>2532.0300000000002</v>
      </c>
      <c r="J63" s="54">
        <f t="shared" si="3"/>
        <v>3.9646846609858984E-3</v>
      </c>
      <c r="K63" s="53"/>
    </row>
    <row r="64" spans="1:11" ht="30" x14ac:dyDescent="0.25">
      <c r="B64" s="1" t="s">
        <v>190</v>
      </c>
      <c r="C64" s="68" t="s">
        <v>185</v>
      </c>
      <c r="D64" s="101" t="s">
        <v>192</v>
      </c>
      <c r="E64" s="51">
        <v>103070</v>
      </c>
      <c r="F64" s="51">
        <f t="shared" si="10"/>
        <v>103070</v>
      </c>
      <c r="G64" s="50">
        <f t="shared" si="2"/>
        <v>0</v>
      </c>
      <c r="H64" s="63"/>
      <c r="I64" s="53"/>
      <c r="J64" s="54">
        <f t="shared" si="3"/>
        <v>0</v>
      </c>
      <c r="K64" s="53"/>
    </row>
    <row r="65" spans="1:11" x14ac:dyDescent="0.25">
      <c r="A65" s="98" t="s">
        <v>197</v>
      </c>
      <c r="B65" s="107"/>
      <c r="C65" s="68" t="s">
        <v>188</v>
      </c>
      <c r="D65" s="101" t="s">
        <v>199</v>
      </c>
      <c r="E65" s="51">
        <v>267455</v>
      </c>
      <c r="F65" s="51">
        <f t="shared" si="10"/>
        <v>267455</v>
      </c>
      <c r="G65" s="50">
        <f t="shared" ref="G65:G106" si="11">F65-E65</f>
        <v>0</v>
      </c>
      <c r="H65" s="63"/>
      <c r="I65" s="53"/>
      <c r="J65" s="54">
        <f t="shared" ref="J65:J106" si="12">I65/E65</f>
        <v>0</v>
      </c>
      <c r="K65" s="53"/>
    </row>
    <row r="66" spans="1:11" ht="45" x14ac:dyDescent="0.25">
      <c r="B66" s="64" t="s">
        <v>202</v>
      </c>
      <c r="C66" s="68" t="s">
        <v>191</v>
      </c>
      <c r="D66" s="101" t="s">
        <v>203</v>
      </c>
      <c r="E66" s="51">
        <v>217332</v>
      </c>
      <c r="F66" s="51">
        <f t="shared" si="10"/>
        <v>217332</v>
      </c>
      <c r="G66" s="50">
        <f t="shared" si="11"/>
        <v>0</v>
      </c>
      <c r="H66" s="108"/>
      <c r="I66" s="53">
        <v>0</v>
      </c>
      <c r="J66" s="54">
        <f t="shared" si="12"/>
        <v>0</v>
      </c>
      <c r="K66" s="74"/>
    </row>
    <row r="67" spans="1:11" x14ac:dyDescent="0.25">
      <c r="B67" s="64" t="s">
        <v>204</v>
      </c>
      <c r="C67" s="68" t="s">
        <v>193</v>
      </c>
      <c r="D67" s="101" t="s">
        <v>205</v>
      </c>
      <c r="E67" s="51">
        <v>308659</v>
      </c>
      <c r="F67" s="51">
        <f t="shared" si="10"/>
        <v>308659</v>
      </c>
      <c r="G67" s="50">
        <f t="shared" si="11"/>
        <v>0</v>
      </c>
      <c r="H67" s="108"/>
      <c r="I67" s="53">
        <v>62014.01</v>
      </c>
      <c r="J67" s="54">
        <f t="shared" si="12"/>
        <v>0.20091430996666224</v>
      </c>
      <c r="K67" s="106" t="s">
        <v>206</v>
      </c>
    </row>
    <row r="68" spans="1:11" ht="30" x14ac:dyDescent="0.25">
      <c r="B68" s="64" t="s">
        <v>207</v>
      </c>
      <c r="C68" s="68" t="s">
        <v>194</v>
      </c>
      <c r="D68" s="101" t="s">
        <v>208</v>
      </c>
      <c r="E68" s="51">
        <v>2500000</v>
      </c>
      <c r="F68" s="51">
        <f t="shared" si="10"/>
        <v>2500000</v>
      </c>
      <c r="G68" s="50">
        <f t="shared" si="11"/>
        <v>0</v>
      </c>
      <c r="H68" s="108"/>
      <c r="I68" s="53"/>
      <c r="J68" s="54"/>
      <c r="K68" s="53"/>
    </row>
    <row r="69" spans="1:11" ht="30" x14ac:dyDescent="0.25">
      <c r="B69" s="64"/>
      <c r="C69" s="68" t="s">
        <v>196</v>
      </c>
      <c r="D69" s="101" t="s">
        <v>622</v>
      </c>
      <c r="E69" s="51">
        <v>0</v>
      </c>
      <c r="F69" s="51">
        <f>ROUND(E69,0)+30428</f>
        <v>30428</v>
      </c>
      <c r="G69" s="50">
        <f t="shared" si="11"/>
        <v>30428</v>
      </c>
      <c r="H69" s="268" t="s">
        <v>623</v>
      </c>
      <c r="I69" s="53"/>
      <c r="J69" s="54"/>
      <c r="K69" s="53"/>
    </row>
    <row r="70" spans="1:11" ht="48.6" customHeight="1" x14ac:dyDescent="0.25">
      <c r="B70" s="64" t="s">
        <v>210</v>
      </c>
      <c r="C70" s="68" t="s">
        <v>198</v>
      </c>
      <c r="D70" s="101" t="s">
        <v>211</v>
      </c>
      <c r="E70" s="51">
        <v>830550</v>
      </c>
      <c r="F70" s="51">
        <f t="shared" si="10"/>
        <v>830550</v>
      </c>
      <c r="G70" s="50">
        <f t="shared" si="11"/>
        <v>0</v>
      </c>
      <c r="H70" s="108"/>
      <c r="I70" s="53">
        <v>19384.2</v>
      </c>
      <c r="J70" s="54">
        <f t="shared" si="12"/>
        <v>2.3338992234061766E-2</v>
      </c>
      <c r="K70" s="74"/>
    </row>
    <row r="71" spans="1:11" x14ac:dyDescent="0.25">
      <c r="B71" s="109" t="s">
        <v>212</v>
      </c>
      <c r="C71" s="68" t="s">
        <v>200</v>
      </c>
      <c r="D71" s="101" t="s">
        <v>213</v>
      </c>
      <c r="E71" s="51">
        <v>2661252</v>
      </c>
      <c r="F71" s="51">
        <f t="shared" si="10"/>
        <v>2661252</v>
      </c>
      <c r="G71" s="50">
        <f t="shared" si="11"/>
        <v>0</v>
      </c>
      <c r="H71" s="108"/>
      <c r="I71" s="53">
        <v>344174.01</v>
      </c>
      <c r="J71" s="54">
        <f t="shared" si="12"/>
        <v>0.12932785395746063</v>
      </c>
      <c r="K71" s="74"/>
    </row>
    <row r="72" spans="1:11" ht="30" x14ac:dyDescent="0.25">
      <c r="B72" s="98" t="s">
        <v>175</v>
      </c>
      <c r="C72" s="68" t="s">
        <v>621</v>
      </c>
      <c r="D72" s="101" t="s">
        <v>214</v>
      </c>
      <c r="E72" s="51">
        <v>333333</v>
      </c>
      <c r="F72" s="51">
        <f t="shared" si="10"/>
        <v>333333</v>
      </c>
      <c r="G72" s="50">
        <f t="shared" si="11"/>
        <v>0</v>
      </c>
      <c r="H72" s="108"/>
      <c r="I72" s="53">
        <v>114822</v>
      </c>
      <c r="J72" s="54">
        <f t="shared" si="12"/>
        <v>0.34446634446634444</v>
      </c>
      <c r="K72" s="74"/>
    </row>
    <row r="73" spans="1:11" x14ac:dyDescent="0.25">
      <c r="C73" s="75" t="s">
        <v>215</v>
      </c>
      <c r="D73" s="56" t="s">
        <v>216</v>
      </c>
      <c r="E73" s="58">
        <f>E74+E75</f>
        <v>350000</v>
      </c>
      <c r="F73" s="58">
        <f>F74+F75</f>
        <v>350000</v>
      </c>
      <c r="G73" s="57">
        <f t="shared" si="11"/>
        <v>0</v>
      </c>
      <c r="H73" s="59"/>
      <c r="I73" s="60">
        <f>I74+I75</f>
        <v>245196.76</v>
      </c>
      <c r="J73" s="61">
        <f t="shared" si="12"/>
        <v>0.70056217142857147</v>
      </c>
      <c r="K73" s="60"/>
    </row>
    <row r="74" spans="1:11" ht="32.25" customHeight="1" x14ac:dyDescent="0.25">
      <c r="B74" s="1" t="s">
        <v>217</v>
      </c>
      <c r="C74" s="48" t="s">
        <v>218</v>
      </c>
      <c r="D74" s="49" t="s">
        <v>219</v>
      </c>
      <c r="E74" s="51">
        <v>350000</v>
      </c>
      <c r="F74" s="51">
        <f>ROUND(E74,0)</f>
        <v>350000</v>
      </c>
      <c r="G74" s="50">
        <f t="shared" si="11"/>
        <v>0</v>
      </c>
      <c r="H74" s="73"/>
      <c r="I74" s="53">
        <v>245196.76</v>
      </c>
      <c r="J74" s="54">
        <f t="shared" si="12"/>
        <v>0.70056217142857147</v>
      </c>
      <c r="K74" s="53" t="s">
        <v>220</v>
      </c>
    </row>
    <row r="75" spans="1:11" ht="16.149999999999999" customHeight="1" x14ac:dyDescent="0.25">
      <c r="B75" s="1" t="s">
        <v>221</v>
      </c>
      <c r="C75" s="48" t="s">
        <v>222</v>
      </c>
      <c r="D75" s="49" t="s">
        <v>223</v>
      </c>
      <c r="E75" s="51">
        <v>0</v>
      </c>
      <c r="F75" s="51">
        <f>ROUND(E75,0)</f>
        <v>0</v>
      </c>
      <c r="G75" s="50">
        <f t="shared" si="11"/>
        <v>0</v>
      </c>
      <c r="H75" s="52"/>
      <c r="I75" s="53">
        <v>0</v>
      </c>
      <c r="J75" s="54" t="e">
        <f t="shared" si="12"/>
        <v>#DIV/0!</v>
      </c>
      <c r="K75" s="53"/>
    </row>
    <row r="76" spans="1:11" ht="35.450000000000003" customHeight="1" x14ac:dyDescent="0.25">
      <c r="C76" s="75" t="s">
        <v>224</v>
      </c>
      <c r="D76" s="56" t="s">
        <v>225</v>
      </c>
      <c r="E76" s="58">
        <f>E77+E80+E83+E87+E90</f>
        <v>800455</v>
      </c>
      <c r="F76" s="58">
        <f t="shared" ref="F76" si="13">F77+F80+F83+F87+F90</f>
        <v>801955</v>
      </c>
      <c r="G76" s="57">
        <f t="shared" si="11"/>
        <v>1500</v>
      </c>
      <c r="H76" s="59"/>
      <c r="I76" s="60">
        <f>I77+I80+I83+I87+I90</f>
        <v>549362.52</v>
      </c>
      <c r="J76" s="61">
        <f t="shared" si="12"/>
        <v>0.68631280958954599</v>
      </c>
      <c r="K76" s="110"/>
    </row>
    <row r="77" spans="1:11" x14ac:dyDescent="0.25">
      <c r="A77" s="1" t="s">
        <v>18</v>
      </c>
      <c r="B77" s="1" t="s">
        <v>226</v>
      </c>
      <c r="C77" s="48" t="s">
        <v>227</v>
      </c>
      <c r="D77" s="49" t="s">
        <v>228</v>
      </c>
      <c r="E77" s="51">
        <f>SUM(E78:E79)</f>
        <v>219800</v>
      </c>
      <c r="F77" s="51">
        <f>SUM(F78:F79)</f>
        <v>219800</v>
      </c>
      <c r="G77" s="50">
        <f t="shared" si="11"/>
        <v>0</v>
      </c>
      <c r="H77" s="52"/>
      <c r="I77" s="53">
        <f>SUM(I78:I79)</f>
        <v>156873.29999999999</v>
      </c>
      <c r="J77" s="54">
        <f t="shared" si="12"/>
        <v>0.71370928116469512</v>
      </c>
      <c r="K77" s="53"/>
    </row>
    <row r="78" spans="1:11" ht="14.25" customHeight="1" x14ac:dyDescent="0.25">
      <c r="B78" s="1" t="s">
        <v>229</v>
      </c>
      <c r="C78" s="111" t="s">
        <v>230</v>
      </c>
      <c r="D78" s="112" t="s">
        <v>231</v>
      </c>
      <c r="E78" s="51">
        <v>61000</v>
      </c>
      <c r="F78" s="51">
        <f>ROUND(E78,0)</f>
        <v>61000</v>
      </c>
      <c r="G78" s="50">
        <f t="shared" si="11"/>
        <v>0</v>
      </c>
      <c r="H78" s="62"/>
      <c r="I78" s="53">
        <v>44743.39</v>
      </c>
      <c r="J78" s="54">
        <f t="shared" si="12"/>
        <v>0.73349819672131145</v>
      </c>
      <c r="K78" s="53"/>
    </row>
    <row r="79" spans="1:11" ht="30" customHeight="1" x14ac:dyDescent="0.25">
      <c r="B79" s="1" t="s">
        <v>232</v>
      </c>
      <c r="C79" s="111" t="s">
        <v>233</v>
      </c>
      <c r="D79" s="112" t="s">
        <v>234</v>
      </c>
      <c r="E79" s="51">
        <v>158800</v>
      </c>
      <c r="F79" s="51">
        <f>ROUND(E79,0)</f>
        <v>158800</v>
      </c>
      <c r="G79" s="50">
        <f t="shared" si="11"/>
        <v>0</v>
      </c>
      <c r="H79" s="62"/>
      <c r="I79" s="53">
        <v>112129.91</v>
      </c>
      <c r="J79" s="54">
        <f t="shared" si="12"/>
        <v>0.70610774559193956</v>
      </c>
      <c r="K79" s="53"/>
    </row>
    <row r="80" spans="1:11" ht="13.9" customHeight="1" x14ac:dyDescent="0.25">
      <c r="C80" s="48" t="s">
        <v>235</v>
      </c>
      <c r="D80" s="49" t="s">
        <v>236</v>
      </c>
      <c r="E80" s="51">
        <f>E81+E82</f>
        <v>59312</v>
      </c>
      <c r="F80" s="51">
        <f>F81+F82</f>
        <v>60812</v>
      </c>
      <c r="G80" s="50">
        <f t="shared" si="11"/>
        <v>1500</v>
      </c>
      <c r="H80" s="113"/>
      <c r="I80" s="53"/>
      <c r="J80" s="54">
        <f t="shared" si="12"/>
        <v>0</v>
      </c>
      <c r="K80" s="53"/>
    </row>
    <row r="81" spans="1:11" ht="30" x14ac:dyDescent="0.25">
      <c r="B81" s="1" t="s">
        <v>237</v>
      </c>
      <c r="C81" s="111" t="s">
        <v>238</v>
      </c>
      <c r="D81" s="112" t="s">
        <v>209</v>
      </c>
      <c r="E81" s="51">
        <v>59312</v>
      </c>
      <c r="F81" s="51">
        <f>ROUND(E81,0)+1500</f>
        <v>60812</v>
      </c>
      <c r="G81" s="50">
        <f t="shared" si="11"/>
        <v>1500</v>
      </c>
      <c r="H81" s="102" t="s">
        <v>239</v>
      </c>
      <c r="I81" s="53"/>
      <c r="J81" s="54">
        <f t="shared" si="12"/>
        <v>0</v>
      </c>
      <c r="K81" s="53"/>
    </row>
    <row r="82" spans="1:11" ht="15.75" customHeight="1" x14ac:dyDescent="0.25">
      <c r="B82" s="114" t="s">
        <v>240</v>
      </c>
      <c r="C82" s="111" t="s">
        <v>241</v>
      </c>
      <c r="D82" s="101" t="s">
        <v>242</v>
      </c>
      <c r="E82" s="51">
        <v>0</v>
      </c>
      <c r="F82" s="51">
        <f>ROUND(E82,0)</f>
        <v>0</v>
      </c>
      <c r="G82" s="50">
        <f t="shared" si="11"/>
        <v>0</v>
      </c>
      <c r="H82" s="62"/>
      <c r="I82" s="53"/>
      <c r="J82" s="54" t="e">
        <f t="shared" si="12"/>
        <v>#DIV/0!</v>
      </c>
      <c r="K82" s="53"/>
    </row>
    <row r="83" spans="1:11" x14ac:dyDescent="0.25">
      <c r="A83" s="1" t="s">
        <v>18</v>
      </c>
      <c r="B83" s="1" t="s">
        <v>243</v>
      </c>
      <c r="C83" s="48" t="s">
        <v>244</v>
      </c>
      <c r="D83" s="49" t="s">
        <v>245</v>
      </c>
      <c r="E83" s="51">
        <f>SUM(E84:E86)</f>
        <v>322370</v>
      </c>
      <c r="F83" s="51">
        <f>SUM(F84:F86)</f>
        <v>322370</v>
      </c>
      <c r="G83" s="50">
        <f t="shared" si="11"/>
        <v>0</v>
      </c>
      <c r="H83" s="52"/>
      <c r="I83" s="53">
        <f>SUM(I84:I86)</f>
        <v>219865.81000000003</v>
      </c>
      <c r="J83" s="54">
        <f t="shared" si="12"/>
        <v>0.68202937618264736</v>
      </c>
      <c r="K83" s="53"/>
    </row>
    <row r="84" spans="1:11" ht="16.5" customHeight="1" x14ac:dyDescent="0.25">
      <c r="B84" s="1" t="s">
        <v>246</v>
      </c>
      <c r="C84" s="111" t="s">
        <v>247</v>
      </c>
      <c r="D84" s="112" t="s">
        <v>248</v>
      </c>
      <c r="E84" s="51">
        <v>236370</v>
      </c>
      <c r="F84" s="51">
        <f>ROUND(E84,0)</f>
        <v>236370</v>
      </c>
      <c r="G84" s="50">
        <f t="shared" si="11"/>
        <v>0</v>
      </c>
      <c r="H84" s="73"/>
      <c r="I84" s="53">
        <f>161275.23+207</f>
        <v>161482.23000000001</v>
      </c>
      <c r="J84" s="54">
        <f t="shared" si="12"/>
        <v>0.68317565680923975</v>
      </c>
      <c r="K84" s="53"/>
    </row>
    <row r="85" spans="1:11" x14ac:dyDescent="0.25">
      <c r="B85" s="1" t="s">
        <v>249</v>
      </c>
      <c r="C85" s="111" t="s">
        <v>250</v>
      </c>
      <c r="D85" s="112" t="s">
        <v>251</v>
      </c>
      <c r="E85" s="51">
        <v>86000</v>
      </c>
      <c r="F85" s="51">
        <f>ROUND(E85,0)</f>
        <v>86000</v>
      </c>
      <c r="G85" s="50">
        <f t="shared" si="11"/>
        <v>0</v>
      </c>
      <c r="H85" s="52"/>
      <c r="I85" s="53">
        <v>58220.23</v>
      </c>
      <c r="J85" s="54">
        <f t="shared" si="12"/>
        <v>0.67697941860465116</v>
      </c>
      <c r="K85" s="53"/>
    </row>
    <row r="86" spans="1:11" x14ac:dyDescent="0.25">
      <c r="B86" s="1" t="s">
        <v>252</v>
      </c>
      <c r="C86" s="111" t="s">
        <v>253</v>
      </c>
      <c r="D86" s="101" t="s">
        <v>254</v>
      </c>
      <c r="E86" s="51">
        <v>0</v>
      </c>
      <c r="F86" s="51">
        <f>ROUND(E86,0)</f>
        <v>0</v>
      </c>
      <c r="G86" s="50">
        <f t="shared" si="11"/>
        <v>0</v>
      </c>
      <c r="H86" s="52"/>
      <c r="I86" s="53">
        <v>163.35</v>
      </c>
      <c r="J86" s="54" t="e">
        <f t="shared" si="12"/>
        <v>#DIV/0!</v>
      </c>
      <c r="K86" s="53"/>
    </row>
    <row r="87" spans="1:11" ht="25.15" customHeight="1" x14ac:dyDescent="0.25">
      <c r="A87" s="1" t="s">
        <v>18</v>
      </c>
      <c r="B87" s="1" t="s">
        <v>255</v>
      </c>
      <c r="C87" s="48" t="s">
        <v>256</v>
      </c>
      <c r="D87" s="49" t="s">
        <v>257</v>
      </c>
      <c r="E87" s="51">
        <f>SUM(E88:E89)</f>
        <v>98350</v>
      </c>
      <c r="F87" s="51">
        <f t="shared" ref="F87" si="14">SUM(F88:F89)</f>
        <v>98350</v>
      </c>
      <c r="G87" s="50">
        <f t="shared" si="11"/>
        <v>0</v>
      </c>
      <c r="H87" s="73"/>
      <c r="I87" s="53">
        <f>SUM(I88:I89)</f>
        <v>36297.279999999999</v>
      </c>
      <c r="J87" s="54">
        <f t="shared" si="12"/>
        <v>0.36906232841891201</v>
      </c>
      <c r="K87" s="53"/>
    </row>
    <row r="88" spans="1:11" ht="28.15" customHeight="1" x14ac:dyDescent="0.25">
      <c r="A88" s="98" t="s">
        <v>258</v>
      </c>
      <c r="C88" s="111" t="s">
        <v>259</v>
      </c>
      <c r="D88" s="112" t="s">
        <v>257</v>
      </c>
      <c r="E88" s="51">
        <v>98350</v>
      </c>
      <c r="F88" s="51">
        <f>ROUND(E88,0)</f>
        <v>98350</v>
      </c>
      <c r="G88" s="50">
        <f t="shared" si="11"/>
        <v>0</v>
      </c>
      <c r="H88" s="52"/>
      <c r="I88" s="53">
        <f>33411.28+2886</f>
        <v>36297.279999999999</v>
      </c>
      <c r="J88" s="54">
        <f t="shared" si="12"/>
        <v>0.36906232841891201</v>
      </c>
      <c r="K88" s="53"/>
    </row>
    <row r="89" spans="1:11" ht="16.5" customHeight="1" x14ac:dyDescent="0.25">
      <c r="B89" s="1" t="s">
        <v>260</v>
      </c>
      <c r="C89" s="111" t="s">
        <v>261</v>
      </c>
      <c r="D89" s="112" t="s">
        <v>262</v>
      </c>
      <c r="E89" s="51">
        <v>0</v>
      </c>
      <c r="F89" s="51">
        <f>ROUND(E89,0)</f>
        <v>0</v>
      </c>
      <c r="G89" s="50">
        <f t="shared" si="11"/>
        <v>0</v>
      </c>
      <c r="H89" s="52"/>
      <c r="I89" s="53">
        <v>0</v>
      </c>
      <c r="J89" s="54" t="e">
        <f t="shared" si="12"/>
        <v>#DIV/0!</v>
      </c>
      <c r="K89" s="53"/>
    </row>
    <row r="90" spans="1:11" ht="15" customHeight="1" thickBot="1" x14ac:dyDescent="0.3">
      <c r="A90" s="1" t="s">
        <v>18</v>
      </c>
      <c r="B90" s="64" t="s">
        <v>263</v>
      </c>
      <c r="C90" s="48" t="s">
        <v>264</v>
      </c>
      <c r="D90" s="49" t="s">
        <v>265</v>
      </c>
      <c r="E90" s="51">
        <v>100623</v>
      </c>
      <c r="F90" s="51">
        <f>ROUND(E90,0)</f>
        <v>100623</v>
      </c>
      <c r="G90" s="50">
        <f t="shared" si="11"/>
        <v>0</v>
      </c>
      <c r="H90" s="73"/>
      <c r="I90" s="53">
        <f>37471.13+151+144+26+770+576+95948+1240</f>
        <v>136326.13</v>
      </c>
      <c r="J90" s="54">
        <f t="shared" si="12"/>
        <v>1.3548207666239329</v>
      </c>
      <c r="K90" s="53"/>
    </row>
    <row r="91" spans="1:11" ht="15" customHeight="1" thickBot="1" x14ac:dyDescent="0.3">
      <c r="C91" s="115"/>
      <c r="D91" s="116" t="s">
        <v>266</v>
      </c>
      <c r="E91" s="118">
        <f>E7+E10+E13+E16+E19+E22+E34+E37+E41+E42+E73+E76</f>
        <v>61794402</v>
      </c>
      <c r="F91" s="118">
        <f>F7+F10+F13+F16+F19+F22+F34+F37+F41+F42+F73+F76</f>
        <v>61849590</v>
      </c>
      <c r="G91" s="117">
        <f t="shared" si="11"/>
        <v>55188</v>
      </c>
      <c r="H91" s="119"/>
      <c r="I91" s="120" t="e">
        <f>I7+I10+I13+I16+I19+I22+I34+I37+I41+I42+I73+I76</f>
        <v>#REF!</v>
      </c>
      <c r="J91" s="121" t="e">
        <f t="shared" si="12"/>
        <v>#REF!</v>
      </c>
      <c r="K91" s="122"/>
    </row>
    <row r="92" spans="1:11" ht="15.75" thickBot="1" x14ac:dyDescent="0.3">
      <c r="C92" s="123" t="s">
        <v>267</v>
      </c>
      <c r="D92" s="124" t="s">
        <v>268</v>
      </c>
      <c r="E92" s="126">
        <f>SUM(E93:E94)+0.2</f>
        <v>6694243.2000000002</v>
      </c>
      <c r="F92" s="126">
        <f>SUM(F93:F94)</f>
        <v>6694243</v>
      </c>
      <c r="G92" s="125">
        <f t="shared" si="11"/>
        <v>-0.20000000018626451</v>
      </c>
      <c r="H92" s="127"/>
      <c r="I92" s="128">
        <f>SUM(I93:I94)</f>
        <v>9755067</v>
      </c>
      <c r="J92" s="129">
        <f t="shared" si="12"/>
        <v>1.45723223799219</v>
      </c>
      <c r="K92" s="128"/>
    </row>
    <row r="93" spans="1:11" ht="14.45" customHeight="1" x14ac:dyDescent="0.25">
      <c r="C93" s="48" t="s">
        <v>269</v>
      </c>
      <c r="D93" s="49" t="s">
        <v>270</v>
      </c>
      <c r="E93" s="51">
        <v>1040957</v>
      </c>
      <c r="F93" s="51">
        <f>ROUND(E93,0)</f>
        <v>1040957</v>
      </c>
      <c r="G93" s="50">
        <f t="shared" si="11"/>
        <v>0</v>
      </c>
      <c r="H93" s="73"/>
      <c r="I93" s="53">
        <v>3195223</v>
      </c>
      <c r="J93" s="54">
        <f t="shared" si="12"/>
        <v>3.0695052725520844</v>
      </c>
      <c r="K93" s="53"/>
    </row>
    <row r="94" spans="1:11" x14ac:dyDescent="0.25">
      <c r="C94" s="48" t="s">
        <v>271</v>
      </c>
      <c r="D94" s="49" t="s">
        <v>272</v>
      </c>
      <c r="E94" s="51">
        <v>5653286</v>
      </c>
      <c r="F94" s="51">
        <f>ROUND(E94,0)</f>
        <v>5653286</v>
      </c>
      <c r="G94" s="50">
        <f t="shared" si="11"/>
        <v>0</v>
      </c>
      <c r="H94" s="52"/>
      <c r="I94" s="53">
        <v>6559844</v>
      </c>
      <c r="J94" s="54">
        <f t="shared" si="12"/>
        <v>1.1603594794248866</v>
      </c>
      <c r="K94" s="53"/>
    </row>
    <row r="95" spans="1:11" x14ac:dyDescent="0.25">
      <c r="C95" s="75" t="s">
        <v>273</v>
      </c>
      <c r="D95" s="130" t="s">
        <v>274</v>
      </c>
      <c r="E95" s="131">
        <f>SUM(E96:E105)</f>
        <v>6608118</v>
      </c>
      <c r="F95" s="131">
        <f t="shared" ref="F95" si="15">SUM(F96:F105)</f>
        <v>6608118</v>
      </c>
      <c r="G95" s="57">
        <f t="shared" si="11"/>
        <v>0</v>
      </c>
      <c r="H95" s="59"/>
      <c r="I95" s="132">
        <f>SUM(I96:I105)</f>
        <v>0</v>
      </c>
      <c r="J95" s="133">
        <f t="shared" si="12"/>
        <v>0</v>
      </c>
      <c r="K95" s="132" t="s">
        <v>275</v>
      </c>
    </row>
    <row r="96" spans="1:11" outlineLevel="1" x14ac:dyDescent="0.25">
      <c r="A96" s="98"/>
      <c r="B96" s="98"/>
      <c r="C96" s="111" t="s">
        <v>276</v>
      </c>
      <c r="D96" s="134" t="s">
        <v>277</v>
      </c>
      <c r="E96" s="135">
        <v>85000</v>
      </c>
      <c r="F96" s="51">
        <f t="shared" ref="F96:F105" si="16">ROUND(E96,0)</f>
        <v>85000</v>
      </c>
      <c r="G96" s="136">
        <f t="shared" si="11"/>
        <v>0</v>
      </c>
      <c r="H96" s="65"/>
      <c r="I96" s="53">
        <f>ROUND(H96,0)</f>
        <v>0</v>
      </c>
      <c r="J96" s="137">
        <f t="shared" si="12"/>
        <v>0</v>
      </c>
      <c r="K96" s="138"/>
    </row>
    <row r="97" spans="1:11" ht="30" customHeight="1" x14ac:dyDescent="0.25">
      <c r="A97" s="98" t="s">
        <v>207</v>
      </c>
      <c r="B97" s="98"/>
      <c r="C97" s="111" t="s">
        <v>278</v>
      </c>
      <c r="D97" s="134" t="s">
        <v>208</v>
      </c>
      <c r="E97" s="135">
        <v>3100179</v>
      </c>
      <c r="F97" s="51">
        <f t="shared" si="16"/>
        <v>3100179</v>
      </c>
      <c r="G97" s="136">
        <f t="shared" si="11"/>
        <v>0</v>
      </c>
      <c r="H97" s="65"/>
      <c r="I97" s="53">
        <v>0</v>
      </c>
      <c r="J97" s="137">
        <f t="shared" si="12"/>
        <v>0</v>
      </c>
      <c r="K97" s="138"/>
    </row>
    <row r="98" spans="1:11" x14ac:dyDescent="0.25">
      <c r="A98" s="98" t="s">
        <v>182</v>
      </c>
      <c r="B98" s="98" t="s">
        <v>279</v>
      </c>
      <c r="C98" s="111" t="s">
        <v>280</v>
      </c>
      <c r="D98" s="134" t="s">
        <v>281</v>
      </c>
      <c r="E98" s="135">
        <v>85000</v>
      </c>
      <c r="F98" s="51">
        <f t="shared" si="16"/>
        <v>85000</v>
      </c>
      <c r="G98" s="136">
        <f t="shared" si="11"/>
        <v>0</v>
      </c>
      <c r="H98" s="65"/>
      <c r="I98" s="53">
        <v>0</v>
      </c>
      <c r="J98" s="137">
        <f t="shared" si="12"/>
        <v>0</v>
      </c>
      <c r="K98" s="141"/>
    </row>
    <row r="99" spans="1:11" ht="32.450000000000003" customHeight="1" x14ac:dyDescent="0.25">
      <c r="A99" s="98"/>
      <c r="B99" s="98"/>
      <c r="C99" s="111" t="s">
        <v>282</v>
      </c>
      <c r="D99" s="134" t="s">
        <v>283</v>
      </c>
      <c r="E99" s="135">
        <v>255000</v>
      </c>
      <c r="F99" s="51">
        <f t="shared" si="16"/>
        <v>255000</v>
      </c>
      <c r="G99" s="136">
        <f t="shared" si="11"/>
        <v>0</v>
      </c>
      <c r="H99" s="63"/>
      <c r="I99" s="53"/>
      <c r="J99" s="137">
        <f t="shared" si="12"/>
        <v>0</v>
      </c>
      <c r="K99" s="141"/>
    </row>
    <row r="100" spans="1:11" ht="67.900000000000006" customHeight="1" x14ac:dyDescent="0.25">
      <c r="A100" s="98"/>
      <c r="B100" s="98"/>
      <c r="C100" s="111" t="s">
        <v>284</v>
      </c>
      <c r="D100" s="142" t="s">
        <v>285</v>
      </c>
      <c r="E100" s="143">
        <v>474147</v>
      </c>
      <c r="F100" s="140">
        <f t="shared" si="16"/>
        <v>474147</v>
      </c>
      <c r="G100" s="144">
        <f t="shared" si="11"/>
        <v>0</v>
      </c>
      <c r="H100" s="63"/>
      <c r="I100" s="53">
        <v>0</v>
      </c>
      <c r="J100" s="137">
        <f t="shared" si="12"/>
        <v>0</v>
      </c>
      <c r="K100" s="141" t="s">
        <v>286</v>
      </c>
    </row>
    <row r="101" spans="1:11" ht="16.899999999999999" customHeight="1" x14ac:dyDescent="0.25">
      <c r="B101" s="98"/>
      <c r="C101" s="111" t="s">
        <v>280</v>
      </c>
      <c r="D101" s="134" t="s">
        <v>287</v>
      </c>
      <c r="E101" s="135">
        <v>510000</v>
      </c>
      <c r="F101" s="135">
        <f t="shared" si="16"/>
        <v>510000</v>
      </c>
      <c r="G101" s="144">
        <f t="shared" si="11"/>
        <v>0</v>
      </c>
      <c r="H101" s="145"/>
      <c r="I101" s="53"/>
      <c r="J101" s="137">
        <f t="shared" si="12"/>
        <v>0</v>
      </c>
      <c r="K101" s="141"/>
    </row>
    <row r="102" spans="1:11" ht="29.25" customHeight="1" x14ac:dyDescent="0.25">
      <c r="B102" s="98" t="s">
        <v>187</v>
      </c>
      <c r="C102" s="111" t="s">
        <v>288</v>
      </c>
      <c r="D102" s="142" t="s">
        <v>189</v>
      </c>
      <c r="E102" s="143">
        <v>295238</v>
      </c>
      <c r="F102" s="140">
        <f t="shared" si="16"/>
        <v>295238</v>
      </c>
      <c r="G102" s="50">
        <f t="shared" si="11"/>
        <v>0</v>
      </c>
      <c r="H102" s="146"/>
      <c r="I102" s="53">
        <v>0</v>
      </c>
      <c r="J102" s="137">
        <f t="shared" si="12"/>
        <v>0</v>
      </c>
      <c r="K102" s="141" t="s">
        <v>289</v>
      </c>
    </row>
    <row r="103" spans="1:11" ht="18.600000000000001" customHeight="1" outlineLevel="1" x14ac:dyDescent="0.25">
      <c r="B103" s="98" t="s">
        <v>204</v>
      </c>
      <c r="C103" s="147" t="s">
        <v>290</v>
      </c>
      <c r="D103" s="142" t="s">
        <v>205</v>
      </c>
      <c r="E103" s="143">
        <v>70622</v>
      </c>
      <c r="F103" s="140">
        <f t="shared" si="16"/>
        <v>70622</v>
      </c>
      <c r="G103" s="148">
        <f t="shared" si="11"/>
        <v>0</v>
      </c>
      <c r="H103" s="145"/>
      <c r="I103" s="53">
        <f>ROUND(H103,0)</f>
        <v>0</v>
      </c>
      <c r="J103" s="137">
        <f t="shared" si="12"/>
        <v>0</v>
      </c>
      <c r="K103" s="141"/>
    </row>
    <row r="104" spans="1:11" ht="27.6" customHeight="1" outlineLevel="1" x14ac:dyDescent="0.25">
      <c r="B104" s="98" t="s">
        <v>210</v>
      </c>
      <c r="C104" s="111" t="s">
        <v>291</v>
      </c>
      <c r="D104" s="142" t="s">
        <v>211</v>
      </c>
      <c r="E104" s="143">
        <v>123536</v>
      </c>
      <c r="F104" s="140">
        <f t="shared" si="16"/>
        <v>123536</v>
      </c>
      <c r="G104" s="144">
        <f t="shared" si="11"/>
        <v>0</v>
      </c>
      <c r="H104" s="145"/>
      <c r="I104" s="53">
        <f>ROUND(H104,0)</f>
        <v>0</v>
      </c>
      <c r="J104" s="137">
        <f t="shared" si="12"/>
        <v>0</v>
      </c>
      <c r="K104" s="141"/>
    </row>
    <row r="105" spans="1:11" ht="26.45" customHeight="1" outlineLevel="1" x14ac:dyDescent="0.25">
      <c r="B105" s="98" t="s">
        <v>212</v>
      </c>
      <c r="C105" s="111" t="s">
        <v>292</v>
      </c>
      <c r="D105" s="149" t="s">
        <v>213</v>
      </c>
      <c r="E105" s="143">
        <v>1609396</v>
      </c>
      <c r="F105" s="140">
        <f t="shared" si="16"/>
        <v>1609396</v>
      </c>
      <c r="G105" s="139">
        <f t="shared" si="11"/>
        <v>0</v>
      </c>
      <c r="H105" s="145"/>
      <c r="I105" s="53">
        <f>ROUND(H105,0)</f>
        <v>0</v>
      </c>
      <c r="J105" s="137">
        <f t="shared" si="12"/>
        <v>0</v>
      </c>
      <c r="K105" s="141"/>
    </row>
    <row r="106" spans="1:11" ht="15.75" thickBot="1" x14ac:dyDescent="0.3">
      <c r="C106" s="150"/>
      <c r="D106" s="151" t="s">
        <v>293</v>
      </c>
      <c r="E106" s="126">
        <f>E91+E92+E95</f>
        <v>75096763.200000003</v>
      </c>
      <c r="F106" s="126">
        <f t="shared" ref="F106" si="17">F91+F92+F95</f>
        <v>75151951</v>
      </c>
      <c r="G106" s="125">
        <f t="shared" si="11"/>
        <v>55187.79999999702</v>
      </c>
      <c r="H106" s="152"/>
      <c r="I106" s="128" t="e">
        <f>I91+I92+I95</f>
        <v>#REF!</v>
      </c>
      <c r="J106" s="153" t="e">
        <f t="shared" si="12"/>
        <v>#REF!</v>
      </c>
      <c r="K106" s="128"/>
    </row>
    <row r="108" spans="1:11" x14ac:dyDescent="0.25">
      <c r="G108" s="5"/>
      <c r="I108" s="15"/>
      <c r="K108" s="15"/>
    </row>
    <row r="109" spans="1:11" ht="20.25" x14ac:dyDescent="0.3">
      <c r="C109" s="276" t="s">
        <v>294</v>
      </c>
      <c r="D109" s="276"/>
      <c r="G109" s="5"/>
      <c r="I109" s="15"/>
      <c r="K109" s="15"/>
    </row>
    <row r="110" spans="1:11" ht="15.75" thickBot="1" x14ac:dyDescent="0.3">
      <c r="C110" s="285"/>
      <c r="D110" s="285"/>
      <c r="G110" s="156"/>
      <c r="I110" s="157"/>
      <c r="K110" s="157"/>
    </row>
    <row r="111" spans="1:11" ht="57" customHeight="1" thickBot="1" x14ac:dyDescent="0.3">
      <c r="C111" s="24" t="s">
        <v>3</v>
      </c>
      <c r="D111" s="25" t="s">
        <v>4</v>
      </c>
      <c r="E111" s="27" t="s">
        <v>295</v>
      </c>
      <c r="F111" s="27" t="s">
        <v>296</v>
      </c>
      <c r="G111" s="26" t="s">
        <v>297</v>
      </c>
      <c r="H111" s="28" t="s">
        <v>298</v>
      </c>
      <c r="I111" s="29" t="str">
        <f>I5</f>
        <v>30.09.2024. fakts</v>
      </c>
      <c r="J111" s="30" t="str">
        <f>J5</f>
        <v>30.09.2024. fakts (%) pret 2024. plānu</v>
      </c>
      <c r="K111" s="31" t="s">
        <v>12</v>
      </c>
    </row>
    <row r="112" spans="1:11" x14ac:dyDescent="0.25">
      <c r="C112" s="158" t="s">
        <v>16</v>
      </c>
      <c r="D112" s="159" t="s">
        <v>299</v>
      </c>
      <c r="E112" s="161">
        <f>SUM(E113:E121)</f>
        <v>12264534</v>
      </c>
      <c r="F112" s="161">
        <f t="shared" ref="F112" si="18">SUM(F113:F121)</f>
        <v>12264534</v>
      </c>
      <c r="G112" s="160">
        <f t="shared" ref="G112:G168" si="19">F112-E112</f>
        <v>0</v>
      </c>
      <c r="H112" s="162"/>
      <c r="I112" s="163">
        <f>SUM(I113:I121)</f>
        <v>8350513.8899999997</v>
      </c>
      <c r="J112" s="164">
        <f t="shared" ref="J112:J168" si="20">I112/E112</f>
        <v>0.6808667895575975</v>
      </c>
      <c r="K112" s="163"/>
    </row>
    <row r="113" spans="2:11" ht="31.5" customHeight="1" x14ac:dyDescent="0.25">
      <c r="B113" s="98" t="s">
        <v>300</v>
      </c>
      <c r="C113" s="165" t="s">
        <v>20</v>
      </c>
      <c r="D113" s="166" t="s">
        <v>301</v>
      </c>
      <c r="E113" s="81">
        <v>2120144</v>
      </c>
      <c r="F113" s="81">
        <f t="shared" ref="F113:F122" si="21">ROUND(E113,0)</f>
        <v>2120144</v>
      </c>
      <c r="G113" s="80">
        <f t="shared" si="19"/>
        <v>0</v>
      </c>
      <c r="H113" s="103"/>
      <c r="I113" s="104">
        <f>7830051.8-I119-I120</f>
        <v>1268466.3299999991</v>
      </c>
      <c r="J113" s="105">
        <f t="shared" si="20"/>
        <v>0.5982925357900214</v>
      </c>
      <c r="K113" s="104"/>
    </row>
    <row r="114" spans="2:11" x14ac:dyDescent="0.25">
      <c r="B114" s="98" t="s">
        <v>302</v>
      </c>
      <c r="C114" s="165" t="s">
        <v>303</v>
      </c>
      <c r="D114" s="166" t="s">
        <v>304</v>
      </c>
      <c r="E114" s="81">
        <v>377185</v>
      </c>
      <c r="F114" s="81">
        <f t="shared" si="21"/>
        <v>377185</v>
      </c>
      <c r="G114" s="80">
        <f t="shared" si="19"/>
        <v>0</v>
      </c>
      <c r="H114" s="167"/>
      <c r="I114" s="104">
        <v>171776.38</v>
      </c>
      <c r="J114" s="105">
        <f t="shared" si="20"/>
        <v>0.45541678486684256</v>
      </c>
      <c r="K114" s="104"/>
    </row>
    <row r="115" spans="2:11" ht="13.15" customHeight="1" x14ac:dyDescent="0.25">
      <c r="B115" s="98" t="s">
        <v>305</v>
      </c>
      <c r="C115" s="165" t="s">
        <v>306</v>
      </c>
      <c r="D115" s="166" t="s">
        <v>307</v>
      </c>
      <c r="E115" s="81">
        <v>62822</v>
      </c>
      <c r="F115" s="81">
        <f t="shared" si="21"/>
        <v>62822</v>
      </c>
      <c r="G115" s="80">
        <f t="shared" si="19"/>
        <v>0</v>
      </c>
      <c r="H115" s="103"/>
      <c r="I115" s="104">
        <v>29390.6</v>
      </c>
      <c r="J115" s="105">
        <f t="shared" si="20"/>
        <v>0.46783929196778196</v>
      </c>
      <c r="K115" s="104"/>
    </row>
    <row r="116" spans="2:11" ht="14.45" customHeight="1" x14ac:dyDescent="0.25">
      <c r="B116" s="98" t="s">
        <v>308</v>
      </c>
      <c r="C116" s="165" t="s">
        <v>309</v>
      </c>
      <c r="D116" s="166" t="s">
        <v>310</v>
      </c>
      <c r="E116" s="81">
        <v>45177</v>
      </c>
      <c r="F116" s="81">
        <f t="shared" si="21"/>
        <v>45177</v>
      </c>
      <c r="G116" s="80">
        <f t="shared" si="19"/>
        <v>0</v>
      </c>
      <c r="H116" s="103"/>
      <c r="I116" s="104">
        <v>16646.25</v>
      </c>
      <c r="J116" s="105">
        <f t="shared" si="20"/>
        <v>0.36846736171060496</v>
      </c>
      <c r="K116" s="104"/>
    </row>
    <row r="117" spans="2:11" ht="15.6" customHeight="1" x14ac:dyDescent="0.25">
      <c r="B117" s="98" t="s">
        <v>311</v>
      </c>
      <c r="C117" s="165" t="s">
        <v>312</v>
      </c>
      <c r="D117" s="166" t="s">
        <v>313</v>
      </c>
      <c r="E117" s="81">
        <v>88097</v>
      </c>
      <c r="F117" s="81">
        <f t="shared" si="21"/>
        <v>88097</v>
      </c>
      <c r="G117" s="80">
        <f t="shared" si="19"/>
        <v>0</v>
      </c>
      <c r="H117" s="103"/>
      <c r="I117" s="104">
        <v>49673.32</v>
      </c>
      <c r="J117" s="105">
        <f t="shared" si="20"/>
        <v>0.56384803114748516</v>
      </c>
      <c r="K117" s="104"/>
    </row>
    <row r="118" spans="2:11" ht="14.45" customHeight="1" x14ac:dyDescent="0.25">
      <c r="B118" s="98" t="s">
        <v>314</v>
      </c>
      <c r="C118" s="165" t="s">
        <v>315</v>
      </c>
      <c r="D118" s="166" t="s">
        <v>316</v>
      </c>
      <c r="E118" s="81">
        <v>33489</v>
      </c>
      <c r="F118" s="81">
        <f t="shared" si="21"/>
        <v>33489</v>
      </c>
      <c r="G118" s="80">
        <f t="shared" si="19"/>
        <v>0</v>
      </c>
      <c r="H118" s="167"/>
      <c r="I118" s="104">
        <v>22423.21</v>
      </c>
      <c r="J118" s="105">
        <f t="shared" si="20"/>
        <v>0.66956941085132426</v>
      </c>
      <c r="K118" s="104"/>
    </row>
    <row r="119" spans="2:11" ht="30" customHeight="1" x14ac:dyDescent="0.25">
      <c r="B119" s="98" t="s">
        <v>300</v>
      </c>
      <c r="C119" s="165" t="s">
        <v>317</v>
      </c>
      <c r="D119" s="166" t="s">
        <v>318</v>
      </c>
      <c r="E119" s="81">
        <v>2102431</v>
      </c>
      <c r="F119" s="81">
        <f t="shared" si="21"/>
        <v>2102431</v>
      </c>
      <c r="G119" s="80">
        <f t="shared" si="19"/>
        <v>0</v>
      </c>
      <c r="H119" s="103"/>
      <c r="I119" s="104">
        <v>1609003.03</v>
      </c>
      <c r="J119" s="105">
        <f t="shared" si="20"/>
        <v>0.76530598626066682</v>
      </c>
      <c r="K119" s="104"/>
    </row>
    <row r="120" spans="2:11" ht="13.9" customHeight="1" x14ac:dyDescent="0.25">
      <c r="B120" s="98" t="s">
        <v>300</v>
      </c>
      <c r="C120" s="165" t="s">
        <v>319</v>
      </c>
      <c r="D120" s="166" t="s">
        <v>320</v>
      </c>
      <c r="E120" s="81">
        <v>6917724</v>
      </c>
      <c r="F120" s="81">
        <f t="shared" si="21"/>
        <v>6917724</v>
      </c>
      <c r="G120" s="80">
        <f t="shared" si="19"/>
        <v>0</v>
      </c>
      <c r="H120" s="167"/>
      <c r="I120" s="104">
        <v>4952582.4400000004</v>
      </c>
      <c r="J120" s="105">
        <f t="shared" si="20"/>
        <v>0.71592657353777056</v>
      </c>
      <c r="K120" s="104"/>
    </row>
    <row r="121" spans="2:11" ht="42" customHeight="1" x14ac:dyDescent="0.25">
      <c r="B121" s="98" t="s">
        <v>321</v>
      </c>
      <c r="C121" s="165" t="s">
        <v>322</v>
      </c>
      <c r="D121" s="166" t="s">
        <v>323</v>
      </c>
      <c r="E121" s="81">
        <v>517465</v>
      </c>
      <c r="F121" s="81">
        <f t="shared" si="21"/>
        <v>517465</v>
      </c>
      <c r="G121" s="80">
        <f t="shared" si="19"/>
        <v>0</v>
      </c>
      <c r="H121" s="103"/>
      <c r="I121" s="104">
        <v>230552.33</v>
      </c>
      <c r="J121" s="105">
        <f t="shared" si="20"/>
        <v>0.44554188205965617</v>
      </c>
      <c r="K121" s="104"/>
    </row>
    <row r="122" spans="2:11" ht="15" customHeight="1" collapsed="1" x14ac:dyDescent="0.25">
      <c r="B122" s="98" t="s">
        <v>324</v>
      </c>
      <c r="C122" s="168" t="s">
        <v>27</v>
      </c>
      <c r="D122" s="169" t="s">
        <v>325</v>
      </c>
      <c r="E122" s="58">
        <v>1114238</v>
      </c>
      <c r="F122" s="58">
        <f t="shared" si="21"/>
        <v>1114238</v>
      </c>
      <c r="G122" s="57">
        <f t="shared" si="19"/>
        <v>0</v>
      </c>
      <c r="H122" s="71"/>
      <c r="I122" s="60">
        <v>677864.22</v>
      </c>
      <c r="J122" s="61">
        <f t="shared" si="20"/>
        <v>0.60836573514814607</v>
      </c>
      <c r="K122" s="66"/>
    </row>
    <row r="123" spans="2:11" s="170" customFormat="1" ht="16.899999999999999" customHeight="1" x14ac:dyDescent="0.25">
      <c r="C123" s="168" t="s">
        <v>35</v>
      </c>
      <c r="D123" s="169" t="s">
        <v>326</v>
      </c>
      <c r="E123" s="58">
        <f>E124+E127</f>
        <v>646058</v>
      </c>
      <c r="F123" s="58">
        <f t="shared" ref="F123" si="22">F124+F127</f>
        <v>646058</v>
      </c>
      <c r="G123" s="57">
        <f t="shared" si="19"/>
        <v>0</v>
      </c>
      <c r="H123" s="71"/>
      <c r="I123" s="60">
        <f>I124+I127</f>
        <v>425380.7</v>
      </c>
      <c r="J123" s="61">
        <f t="shared" si="20"/>
        <v>0.6584249401756499</v>
      </c>
      <c r="K123" s="60"/>
    </row>
    <row r="124" spans="2:11" x14ac:dyDescent="0.25">
      <c r="B124" s="98" t="s">
        <v>327</v>
      </c>
      <c r="C124" s="165" t="s">
        <v>38</v>
      </c>
      <c r="D124" s="166" t="s">
        <v>328</v>
      </c>
      <c r="E124" s="81">
        <f>SUM(E125:E126)</f>
        <v>200531</v>
      </c>
      <c r="F124" s="81">
        <f>SUM(F125:F126)</f>
        <v>200531</v>
      </c>
      <c r="G124" s="80">
        <f t="shared" si="19"/>
        <v>0</v>
      </c>
      <c r="H124" s="80"/>
      <c r="I124" s="104">
        <f>SUM(I125:I126)</f>
        <v>117909.70000000001</v>
      </c>
      <c r="J124" s="105">
        <f t="shared" si="20"/>
        <v>0.58798739347033635</v>
      </c>
      <c r="K124" s="104"/>
    </row>
    <row r="125" spans="2:11" ht="15.75" customHeight="1" x14ac:dyDescent="0.25">
      <c r="B125" s="98" t="s">
        <v>327</v>
      </c>
      <c r="C125" s="171" t="s">
        <v>329</v>
      </c>
      <c r="D125" s="172" t="s">
        <v>330</v>
      </c>
      <c r="E125" s="51">
        <v>166223</v>
      </c>
      <c r="F125" s="51">
        <f>ROUND(E125,0)</f>
        <v>166223</v>
      </c>
      <c r="G125" s="50">
        <f t="shared" si="19"/>
        <v>0</v>
      </c>
      <c r="H125" s="52"/>
      <c r="I125" s="53">
        <v>92329.1</v>
      </c>
      <c r="J125" s="54">
        <f t="shared" si="20"/>
        <v>0.55545321646222245</v>
      </c>
      <c r="K125" s="53"/>
    </row>
    <row r="126" spans="2:11" ht="15.6" customHeight="1" x14ac:dyDescent="0.25">
      <c r="B126" s="98"/>
      <c r="C126" s="171" t="s">
        <v>331</v>
      </c>
      <c r="D126" s="172" t="s">
        <v>332</v>
      </c>
      <c r="E126" s="51">
        <v>34308</v>
      </c>
      <c r="F126" s="51">
        <f>ROUND(E126,0)</f>
        <v>34308</v>
      </c>
      <c r="G126" s="50">
        <f t="shared" si="19"/>
        <v>0</v>
      </c>
      <c r="H126" s="52"/>
      <c r="I126" s="53">
        <v>25580.6</v>
      </c>
      <c r="J126" s="54">
        <f t="shared" si="20"/>
        <v>0.74561618281450381</v>
      </c>
      <c r="K126" s="53"/>
    </row>
    <row r="127" spans="2:11" x14ac:dyDescent="0.25">
      <c r="B127" s="98" t="s">
        <v>333</v>
      </c>
      <c r="C127" s="165" t="s">
        <v>41</v>
      </c>
      <c r="D127" s="166" t="s">
        <v>334</v>
      </c>
      <c r="E127" s="81">
        <v>445527</v>
      </c>
      <c r="F127" s="81">
        <f>ROUND(E127,0)</f>
        <v>445527</v>
      </c>
      <c r="G127" s="80">
        <f t="shared" si="19"/>
        <v>0</v>
      </c>
      <c r="H127" s="103"/>
      <c r="I127" s="104">
        <v>307471</v>
      </c>
      <c r="J127" s="105">
        <f t="shared" si="20"/>
        <v>0.6901287688512705</v>
      </c>
      <c r="K127" s="104" t="s">
        <v>335</v>
      </c>
    </row>
    <row r="128" spans="2:11" x14ac:dyDescent="0.25">
      <c r="C128" s="168" t="s">
        <v>43</v>
      </c>
      <c r="D128" s="169" t="s">
        <v>336</v>
      </c>
      <c r="E128" s="58">
        <f t="shared" ref="E128:F128" si="23">E129</f>
        <v>225687</v>
      </c>
      <c r="F128" s="58">
        <f t="shared" si="23"/>
        <v>225687</v>
      </c>
      <c r="G128" s="57">
        <f t="shared" si="19"/>
        <v>0</v>
      </c>
      <c r="H128" s="59"/>
      <c r="I128" s="60">
        <f>I129</f>
        <v>5437.96</v>
      </c>
      <c r="J128" s="61">
        <f t="shared" si="20"/>
        <v>2.4095140615099674E-2</v>
      </c>
      <c r="K128" s="60"/>
    </row>
    <row r="129" spans="2:11" ht="16.149999999999999" customHeight="1" x14ac:dyDescent="0.25">
      <c r="B129" s="98" t="s">
        <v>337</v>
      </c>
      <c r="C129" s="165" t="s">
        <v>46</v>
      </c>
      <c r="D129" s="166" t="s">
        <v>338</v>
      </c>
      <c r="E129" s="81">
        <v>225687</v>
      </c>
      <c r="F129" s="81">
        <f>ROUND(E129,0)</f>
        <v>225687</v>
      </c>
      <c r="G129" s="80">
        <f t="shared" si="19"/>
        <v>0</v>
      </c>
      <c r="H129" s="103"/>
      <c r="I129" s="104">
        <v>5437.96</v>
      </c>
      <c r="J129" s="105">
        <f t="shared" si="20"/>
        <v>2.4095140615099674E-2</v>
      </c>
      <c r="K129" s="104" t="s">
        <v>339</v>
      </c>
    </row>
    <row r="130" spans="2:11" ht="29.25" x14ac:dyDescent="0.25">
      <c r="C130" s="168" t="s">
        <v>49</v>
      </c>
      <c r="D130" s="169" t="s">
        <v>340</v>
      </c>
      <c r="E130" s="58">
        <f>E131+E132+E133+E134+E135+E149</f>
        <v>18129422</v>
      </c>
      <c r="F130" s="58">
        <f>F131+F132+F133+F134+F135+F149</f>
        <v>18123822</v>
      </c>
      <c r="G130" s="57">
        <f t="shared" si="19"/>
        <v>-5600</v>
      </c>
      <c r="H130" s="57"/>
      <c r="I130" s="60" t="e">
        <f>I131+I133+I134+I135+I149</f>
        <v>#REF!</v>
      </c>
      <c r="J130" s="61" t="e">
        <f t="shared" si="20"/>
        <v>#REF!</v>
      </c>
      <c r="K130" s="60"/>
    </row>
    <row r="131" spans="2:11" ht="15.6" customHeight="1" x14ac:dyDescent="0.25">
      <c r="B131" s="98" t="s">
        <v>341</v>
      </c>
      <c r="C131" s="165" t="s">
        <v>52</v>
      </c>
      <c r="D131" s="173" t="s">
        <v>342</v>
      </c>
      <c r="E131" s="175">
        <v>70000</v>
      </c>
      <c r="F131" s="81">
        <f>ROUND(E131,0)</f>
        <v>70000</v>
      </c>
      <c r="G131" s="80">
        <f t="shared" si="19"/>
        <v>0</v>
      </c>
      <c r="H131" s="167"/>
      <c r="I131" s="104" t="e">
        <f>ROUND(#REF!,0)</f>
        <v>#REF!</v>
      </c>
      <c r="J131" s="105" t="e">
        <f t="shared" si="20"/>
        <v>#REF!</v>
      </c>
      <c r="K131" s="176"/>
    </row>
    <row r="132" spans="2:11" ht="15.6" customHeight="1" x14ac:dyDescent="0.25">
      <c r="B132" s="98" t="s">
        <v>343</v>
      </c>
      <c r="C132" s="165" t="s">
        <v>344</v>
      </c>
      <c r="D132" s="173" t="s">
        <v>345</v>
      </c>
      <c r="E132" s="175">
        <v>52568</v>
      </c>
      <c r="F132" s="81">
        <f>ROUND(E132,0)</f>
        <v>52568</v>
      </c>
      <c r="G132" s="80">
        <f t="shared" si="19"/>
        <v>0</v>
      </c>
      <c r="H132" s="167"/>
      <c r="I132" s="104"/>
      <c r="J132" s="105">
        <f t="shared" si="20"/>
        <v>0</v>
      </c>
      <c r="K132" s="176"/>
    </row>
    <row r="133" spans="2:11" ht="15" customHeight="1" x14ac:dyDescent="0.25">
      <c r="B133" s="98" t="s">
        <v>346</v>
      </c>
      <c r="C133" s="165" t="s">
        <v>347</v>
      </c>
      <c r="D133" s="173" t="s">
        <v>348</v>
      </c>
      <c r="E133" s="175">
        <v>333393</v>
      </c>
      <c r="F133" s="175">
        <f>ROUND(E133,0)</f>
        <v>333393</v>
      </c>
      <c r="G133" s="174">
        <f t="shared" si="19"/>
        <v>0</v>
      </c>
      <c r="H133" s="103"/>
      <c r="I133" s="177">
        <v>203794.38</v>
      </c>
      <c r="J133" s="178">
        <f t="shared" si="20"/>
        <v>0.61127372200376129</v>
      </c>
      <c r="K133" s="176"/>
    </row>
    <row r="134" spans="2:11" ht="15" customHeight="1" x14ac:dyDescent="0.25">
      <c r="B134" s="98" t="s">
        <v>349</v>
      </c>
      <c r="C134" s="165" t="s">
        <v>350</v>
      </c>
      <c r="D134" s="173" t="s">
        <v>351</v>
      </c>
      <c r="E134" s="175">
        <v>334779</v>
      </c>
      <c r="F134" s="175">
        <f>ROUND(E134,0)</f>
        <v>334779</v>
      </c>
      <c r="G134" s="174">
        <f t="shared" si="19"/>
        <v>0</v>
      </c>
      <c r="H134" s="103"/>
      <c r="I134" s="177">
        <v>217725.56</v>
      </c>
      <c r="J134" s="178">
        <f t="shared" si="20"/>
        <v>0.65035608565650771</v>
      </c>
      <c r="K134" s="176"/>
    </row>
    <row r="135" spans="2:11" x14ac:dyDescent="0.25">
      <c r="C135" s="165" t="s">
        <v>352</v>
      </c>
      <c r="D135" s="173" t="s">
        <v>353</v>
      </c>
      <c r="E135" s="175">
        <f>SUM(E136:E148)</f>
        <v>8401067</v>
      </c>
      <c r="F135" s="175">
        <f>SUM(F136:F148)</f>
        <v>8401067</v>
      </c>
      <c r="G135" s="174">
        <f t="shared" si="19"/>
        <v>0</v>
      </c>
      <c r="H135" s="174"/>
      <c r="I135" s="177" t="e">
        <f>SUM(I136:I148)</f>
        <v>#REF!</v>
      </c>
      <c r="J135" s="178" t="e">
        <f t="shared" si="20"/>
        <v>#REF!</v>
      </c>
      <c r="K135" s="177"/>
    </row>
    <row r="136" spans="2:11" ht="29.25" customHeight="1" x14ac:dyDescent="0.25">
      <c r="B136" s="98" t="s">
        <v>175</v>
      </c>
      <c r="C136" s="171" t="s">
        <v>354</v>
      </c>
      <c r="D136" s="142" t="s">
        <v>355</v>
      </c>
      <c r="E136" s="51">
        <v>524909</v>
      </c>
      <c r="F136" s="288">
        <f>ROUND(E136,0)-2000</f>
        <v>522909</v>
      </c>
      <c r="G136" s="50">
        <f t="shared" si="19"/>
        <v>-2000</v>
      </c>
      <c r="H136" s="289" t="s">
        <v>630</v>
      </c>
      <c r="I136" s="53" t="e">
        <f>276545.34-I144-#REF!-I145-#REF!</f>
        <v>#REF!</v>
      </c>
      <c r="J136" s="67" t="e">
        <f t="shared" si="20"/>
        <v>#REF!</v>
      </c>
      <c r="K136" s="74"/>
    </row>
    <row r="137" spans="2:11" ht="18.600000000000001" customHeight="1" x14ac:dyDescent="0.25">
      <c r="B137" s="98" t="s">
        <v>356</v>
      </c>
      <c r="C137" s="171" t="s">
        <v>357</v>
      </c>
      <c r="D137" s="142" t="s">
        <v>358</v>
      </c>
      <c r="E137" s="51">
        <v>40000</v>
      </c>
      <c r="F137" s="51">
        <f t="shared" ref="F137:F148" si="24">ROUND(E137,0)</f>
        <v>40000</v>
      </c>
      <c r="G137" s="50">
        <f t="shared" si="19"/>
        <v>0</v>
      </c>
      <c r="H137" s="179"/>
      <c r="I137" s="269">
        <v>50783</v>
      </c>
      <c r="J137" s="271">
        <f t="shared" si="20"/>
        <v>1.2695749999999999</v>
      </c>
      <c r="K137" s="53"/>
    </row>
    <row r="138" spans="2:11" ht="29.25" customHeight="1" x14ac:dyDescent="0.25">
      <c r="B138" s="98" t="s">
        <v>356</v>
      </c>
      <c r="C138" s="171" t="s">
        <v>359</v>
      </c>
      <c r="D138" s="142" t="s">
        <v>360</v>
      </c>
      <c r="E138" s="51">
        <v>11400</v>
      </c>
      <c r="F138" s="288">
        <f>ROUND(E138,0)+2000</f>
        <v>13400</v>
      </c>
      <c r="G138" s="50">
        <f t="shared" si="19"/>
        <v>2000</v>
      </c>
      <c r="H138" s="289" t="s">
        <v>630</v>
      </c>
      <c r="I138" s="270"/>
      <c r="J138" s="272">
        <f t="shared" si="20"/>
        <v>0</v>
      </c>
      <c r="K138" s="53"/>
    </row>
    <row r="139" spans="2:11" ht="28.15" customHeight="1" x14ac:dyDescent="0.25">
      <c r="B139" s="98" t="s">
        <v>184</v>
      </c>
      <c r="C139" s="180" t="s">
        <v>361</v>
      </c>
      <c r="D139" s="101" t="s">
        <v>186</v>
      </c>
      <c r="E139" s="51">
        <v>49346</v>
      </c>
      <c r="F139" s="51">
        <f t="shared" si="24"/>
        <v>49346</v>
      </c>
      <c r="G139" s="50">
        <f t="shared" si="19"/>
        <v>0</v>
      </c>
      <c r="H139" s="179"/>
      <c r="I139" s="53">
        <v>1112.1099999999999</v>
      </c>
      <c r="J139" s="54">
        <f t="shared" si="20"/>
        <v>2.2536983747416202E-2</v>
      </c>
      <c r="K139" s="53" t="s">
        <v>362</v>
      </c>
    </row>
    <row r="140" spans="2:11" ht="42.6" customHeight="1" x14ac:dyDescent="0.25">
      <c r="B140" s="98" t="s">
        <v>363</v>
      </c>
      <c r="C140" s="180" t="s">
        <v>364</v>
      </c>
      <c r="D140" s="181" t="s">
        <v>365</v>
      </c>
      <c r="E140" s="51">
        <v>985558</v>
      </c>
      <c r="F140" s="51">
        <f t="shared" si="24"/>
        <v>985558</v>
      </c>
      <c r="G140" s="50">
        <f t="shared" si="19"/>
        <v>0</v>
      </c>
      <c r="H140" s="179"/>
      <c r="I140" s="53">
        <v>19384.2</v>
      </c>
      <c r="J140" s="54">
        <f t="shared" si="20"/>
        <v>1.9668248849890112E-2</v>
      </c>
      <c r="K140" s="53" t="s">
        <v>362</v>
      </c>
    </row>
    <row r="141" spans="2:11" ht="28.9" customHeight="1" x14ac:dyDescent="0.25">
      <c r="B141" s="98" t="s">
        <v>212</v>
      </c>
      <c r="C141" s="180" t="s">
        <v>366</v>
      </c>
      <c r="D141" s="181" t="s">
        <v>213</v>
      </c>
      <c r="E141" s="51">
        <v>4425220</v>
      </c>
      <c r="F141" s="51">
        <f t="shared" si="24"/>
        <v>4425220</v>
      </c>
      <c r="G141" s="50">
        <f t="shared" si="19"/>
        <v>0</v>
      </c>
      <c r="H141" s="179"/>
      <c r="I141" s="53">
        <v>90266</v>
      </c>
      <c r="J141" s="54">
        <f t="shared" si="20"/>
        <v>2.0398081903272604E-2</v>
      </c>
      <c r="K141" s="53"/>
    </row>
    <row r="142" spans="2:11" ht="42.75" customHeight="1" x14ac:dyDescent="0.25">
      <c r="B142" s="98" t="s">
        <v>367</v>
      </c>
      <c r="C142" s="180" t="s">
        <v>368</v>
      </c>
      <c r="D142" s="181" t="s">
        <v>369</v>
      </c>
      <c r="E142" s="51">
        <v>34550</v>
      </c>
      <c r="F142" s="51">
        <f t="shared" si="24"/>
        <v>34550</v>
      </c>
      <c r="G142" s="50">
        <f t="shared" si="19"/>
        <v>0</v>
      </c>
      <c r="H142" s="73"/>
      <c r="I142" s="53">
        <v>154140.98000000001</v>
      </c>
      <c r="J142" s="54">
        <f t="shared" si="20"/>
        <v>4.4613887120115781</v>
      </c>
      <c r="K142" s="53" t="s">
        <v>362</v>
      </c>
    </row>
    <row r="143" spans="2:11" ht="33.75" customHeight="1" x14ac:dyDescent="0.25">
      <c r="B143" s="98" t="s">
        <v>187</v>
      </c>
      <c r="C143" s="180" t="s">
        <v>370</v>
      </c>
      <c r="D143" s="181" t="s">
        <v>189</v>
      </c>
      <c r="E143" s="51">
        <v>950824</v>
      </c>
      <c r="F143" s="51">
        <f>ROUND(E143,0)</f>
        <v>950824</v>
      </c>
      <c r="G143" s="50">
        <f t="shared" si="19"/>
        <v>0</v>
      </c>
      <c r="H143" s="73"/>
      <c r="I143" s="53">
        <v>19867.599999999999</v>
      </c>
      <c r="J143" s="54">
        <f t="shared" si="20"/>
        <v>2.0895139373848366E-2</v>
      </c>
      <c r="K143" s="53"/>
    </row>
    <row r="144" spans="2:11" ht="27.75" customHeight="1" x14ac:dyDescent="0.25">
      <c r="B144" s="98" t="s">
        <v>190</v>
      </c>
      <c r="C144" s="180" t="s">
        <v>371</v>
      </c>
      <c r="D144" s="181" t="s">
        <v>192</v>
      </c>
      <c r="E144" s="51">
        <v>138477</v>
      </c>
      <c r="F144" s="51">
        <f t="shared" si="24"/>
        <v>138477</v>
      </c>
      <c r="G144" s="50">
        <f t="shared" si="19"/>
        <v>0</v>
      </c>
      <c r="H144" s="73"/>
      <c r="I144" s="53">
        <v>0</v>
      </c>
      <c r="J144" s="54">
        <f t="shared" si="20"/>
        <v>0</v>
      </c>
      <c r="K144" s="53"/>
    </row>
    <row r="145" spans="2:11" ht="55.9" customHeight="1" x14ac:dyDescent="0.25">
      <c r="B145" s="98" t="s">
        <v>175</v>
      </c>
      <c r="C145" s="180" t="s">
        <v>372</v>
      </c>
      <c r="D145" s="181" t="s">
        <v>195</v>
      </c>
      <c r="E145" s="51">
        <v>3200</v>
      </c>
      <c r="F145" s="51">
        <f t="shared" si="24"/>
        <v>3200</v>
      </c>
      <c r="G145" s="50">
        <f t="shared" si="19"/>
        <v>0</v>
      </c>
      <c r="H145" s="73"/>
      <c r="I145" s="53"/>
      <c r="J145" s="54">
        <f t="shared" si="20"/>
        <v>0</v>
      </c>
      <c r="K145" s="53"/>
    </row>
    <row r="146" spans="2:11" ht="16.899999999999999" customHeight="1" x14ac:dyDescent="0.25">
      <c r="B146" s="98" t="s">
        <v>197</v>
      </c>
      <c r="C146" s="180" t="s">
        <v>373</v>
      </c>
      <c r="D146" s="181" t="s">
        <v>199</v>
      </c>
      <c r="E146" s="51">
        <v>434122</v>
      </c>
      <c r="F146" s="51">
        <f t="shared" si="24"/>
        <v>434122</v>
      </c>
      <c r="G146" s="50">
        <f t="shared" si="19"/>
        <v>0</v>
      </c>
      <c r="H146" s="73"/>
      <c r="I146" s="53">
        <v>9059.2999999999993</v>
      </c>
      <c r="J146" s="54">
        <f t="shared" si="20"/>
        <v>2.086809698656138E-2</v>
      </c>
      <c r="K146" s="53"/>
    </row>
    <row r="147" spans="2:11" ht="30" customHeight="1" x14ac:dyDescent="0.25">
      <c r="B147" s="98" t="s">
        <v>175</v>
      </c>
      <c r="C147" s="180" t="s">
        <v>374</v>
      </c>
      <c r="D147" s="181" t="s">
        <v>375</v>
      </c>
      <c r="E147" s="51">
        <v>416333</v>
      </c>
      <c r="F147" s="51">
        <f t="shared" si="24"/>
        <v>416333</v>
      </c>
      <c r="G147" s="50">
        <f t="shared" si="19"/>
        <v>0</v>
      </c>
      <c r="H147" s="73"/>
      <c r="I147" s="53"/>
      <c r="J147" s="54">
        <f t="shared" si="20"/>
        <v>0</v>
      </c>
      <c r="K147" s="53"/>
    </row>
    <row r="148" spans="2:11" ht="16.5" customHeight="1" x14ac:dyDescent="0.25">
      <c r="B148" s="98" t="s">
        <v>204</v>
      </c>
      <c r="C148" s="180" t="s">
        <v>376</v>
      </c>
      <c r="D148" s="101" t="s">
        <v>205</v>
      </c>
      <c r="E148" s="51">
        <v>387128</v>
      </c>
      <c r="F148" s="51">
        <f t="shared" si="24"/>
        <v>387128</v>
      </c>
      <c r="G148" s="50">
        <f t="shared" si="19"/>
        <v>0</v>
      </c>
      <c r="H148" s="179"/>
      <c r="I148" s="53">
        <v>653.1</v>
      </c>
      <c r="J148" s="54">
        <f t="shared" si="20"/>
        <v>1.6870389121944164E-3</v>
      </c>
      <c r="K148" s="53"/>
    </row>
    <row r="149" spans="2:11" ht="29.25" customHeight="1" x14ac:dyDescent="0.25">
      <c r="C149" s="165" t="s">
        <v>377</v>
      </c>
      <c r="D149" s="173" t="s">
        <v>378</v>
      </c>
      <c r="E149" s="175">
        <f>SUM(E150:E153,E157:E159)</f>
        <v>8937615</v>
      </c>
      <c r="F149" s="175">
        <f>SUM(F150:F153,F157:F159)</f>
        <v>8932015</v>
      </c>
      <c r="G149" s="174">
        <f t="shared" si="19"/>
        <v>-5600</v>
      </c>
      <c r="H149" s="182"/>
      <c r="I149" s="177" t="e">
        <f>SUM(I150:I153,I157:I159)</f>
        <v>#REF!</v>
      </c>
      <c r="J149" s="178" t="e">
        <f t="shared" si="20"/>
        <v>#REF!</v>
      </c>
      <c r="K149" s="177"/>
    </row>
    <row r="150" spans="2:11" ht="27.6" customHeight="1" x14ac:dyDescent="0.25">
      <c r="B150" s="98" t="s">
        <v>379</v>
      </c>
      <c r="C150" s="171" t="s">
        <v>380</v>
      </c>
      <c r="D150" s="181" t="s">
        <v>381</v>
      </c>
      <c r="E150" s="51">
        <v>242016</v>
      </c>
      <c r="F150" s="51">
        <f>ROUND(E150,0)</f>
        <v>242016</v>
      </c>
      <c r="G150" s="50">
        <f t="shared" si="19"/>
        <v>0</v>
      </c>
      <c r="H150" s="183"/>
      <c r="I150" s="53">
        <v>1150088.93</v>
      </c>
      <c r="J150" s="54">
        <f t="shared" si="20"/>
        <v>4.7521194053285729</v>
      </c>
      <c r="K150" s="74" t="s">
        <v>382</v>
      </c>
    </row>
    <row r="151" spans="2:11" ht="27" customHeight="1" x14ac:dyDescent="0.25">
      <c r="B151" s="98" t="s">
        <v>182</v>
      </c>
      <c r="C151" s="171" t="s">
        <v>383</v>
      </c>
      <c r="D151" s="181" t="s">
        <v>384</v>
      </c>
      <c r="E151" s="51">
        <v>191255</v>
      </c>
      <c r="F151" s="51">
        <f>ROUND(E151,0)</f>
        <v>191255</v>
      </c>
      <c r="G151" s="50">
        <f t="shared" si="19"/>
        <v>0</v>
      </c>
      <c r="H151" s="179"/>
      <c r="I151" s="53">
        <v>55245.07</v>
      </c>
      <c r="J151" s="54">
        <f t="shared" si="20"/>
        <v>0.2888555593317822</v>
      </c>
      <c r="K151" s="53" t="s">
        <v>362</v>
      </c>
    </row>
    <row r="152" spans="2:11" ht="27" customHeight="1" x14ac:dyDescent="0.25">
      <c r="B152" s="98" t="s">
        <v>202</v>
      </c>
      <c r="C152" s="171" t="s">
        <v>385</v>
      </c>
      <c r="D152" s="181" t="s">
        <v>203</v>
      </c>
      <c r="E152" s="51">
        <v>255685</v>
      </c>
      <c r="F152" s="51">
        <f>ROUND(E152,0)</f>
        <v>255685</v>
      </c>
      <c r="G152" s="50">
        <f t="shared" si="19"/>
        <v>0</v>
      </c>
      <c r="H152" s="179"/>
      <c r="I152" s="53">
        <v>34775.4</v>
      </c>
      <c r="J152" s="54">
        <f t="shared" si="20"/>
        <v>0.13600876077986584</v>
      </c>
      <c r="K152" s="53"/>
    </row>
    <row r="153" spans="2:11" ht="32.25" customHeight="1" x14ac:dyDescent="0.25">
      <c r="B153" s="98" t="s">
        <v>5</v>
      </c>
      <c r="C153" s="171" t="s">
        <v>386</v>
      </c>
      <c r="D153" s="181" t="s">
        <v>387</v>
      </c>
      <c r="E153" s="184">
        <f>SUM(E154:E156)</f>
        <v>5767122</v>
      </c>
      <c r="F153" s="184">
        <f>SUM(F154:F156)</f>
        <v>5761522</v>
      </c>
      <c r="G153" s="50">
        <f t="shared" si="19"/>
        <v>-5600</v>
      </c>
      <c r="H153" s="179"/>
      <c r="I153" s="185" t="e">
        <f>SUM(I154:I156)</f>
        <v>#REF!</v>
      </c>
      <c r="J153" s="186" t="e">
        <f t="shared" si="20"/>
        <v>#REF!</v>
      </c>
      <c r="K153" s="185"/>
    </row>
    <row r="154" spans="2:11" s="195" customFormat="1" ht="84.6" customHeight="1" x14ac:dyDescent="0.25">
      <c r="B154" s="187"/>
      <c r="C154" s="188" t="s">
        <v>388</v>
      </c>
      <c r="D154" s="189" t="s">
        <v>389</v>
      </c>
      <c r="E154" s="190">
        <v>5037221</v>
      </c>
      <c r="F154" s="190">
        <f>ROUND(E154,0)-4000-1600</f>
        <v>5031621</v>
      </c>
      <c r="G154" s="191">
        <f t="shared" si="19"/>
        <v>-5600</v>
      </c>
      <c r="H154" s="192" t="s">
        <v>624</v>
      </c>
      <c r="I154" s="193">
        <f>2685548+1398+14835+13492+5805+23347+2845+5699+3921+16338+87830+106371+47801+11150+5445</f>
        <v>3031825</v>
      </c>
      <c r="J154" s="194">
        <f t="shared" si="20"/>
        <v>0.60188445176417715</v>
      </c>
      <c r="K154" s="193"/>
    </row>
    <row r="155" spans="2:11" s="195" customFormat="1" ht="18" customHeight="1" x14ac:dyDescent="0.25">
      <c r="B155" s="187"/>
      <c r="C155" s="188" t="s">
        <v>390</v>
      </c>
      <c r="D155" s="189" t="s">
        <v>391</v>
      </c>
      <c r="E155" s="190">
        <v>413000</v>
      </c>
      <c r="F155" s="190">
        <f t="shared" ref="F155:F157" si="25">ROUND(E155,0)</f>
        <v>413000</v>
      </c>
      <c r="G155" s="191">
        <f t="shared" si="19"/>
        <v>0</v>
      </c>
      <c r="H155" s="192"/>
      <c r="I155" s="193">
        <v>239198</v>
      </c>
      <c r="J155" s="194">
        <f t="shared" si="20"/>
        <v>0.57917191283292979</v>
      </c>
      <c r="K155" s="193"/>
    </row>
    <row r="156" spans="2:11" s="195" customFormat="1" ht="20.25" customHeight="1" x14ac:dyDescent="0.25">
      <c r="B156" s="187"/>
      <c r="C156" s="188" t="s">
        <v>392</v>
      </c>
      <c r="D156" s="189" t="s">
        <v>393</v>
      </c>
      <c r="E156" s="190">
        <v>316901</v>
      </c>
      <c r="F156" s="190">
        <f t="shared" si="25"/>
        <v>316901</v>
      </c>
      <c r="G156" s="191">
        <f t="shared" si="19"/>
        <v>0</v>
      </c>
      <c r="H156" s="192"/>
      <c r="I156" s="193" t="e">
        <f>1758133+13279+30841-#REF!</f>
        <v>#REF!</v>
      </c>
      <c r="J156" s="194" t="e">
        <f t="shared" si="20"/>
        <v>#REF!</v>
      </c>
      <c r="K156" s="193"/>
    </row>
    <row r="157" spans="2:11" ht="27.6" customHeight="1" x14ac:dyDescent="0.25">
      <c r="B157" s="98" t="s">
        <v>5</v>
      </c>
      <c r="C157" s="180" t="s">
        <v>394</v>
      </c>
      <c r="D157" s="181" t="s">
        <v>395</v>
      </c>
      <c r="E157" s="51">
        <v>237443</v>
      </c>
      <c r="F157" s="51">
        <f t="shared" si="25"/>
        <v>237443</v>
      </c>
      <c r="G157" s="50">
        <f t="shared" si="19"/>
        <v>0</v>
      </c>
      <c r="H157" s="179"/>
      <c r="I157" s="53"/>
      <c r="J157" s="54">
        <f t="shared" si="20"/>
        <v>0</v>
      </c>
      <c r="K157" s="53" t="s">
        <v>396</v>
      </c>
    </row>
    <row r="158" spans="2:11" ht="24.6" customHeight="1" x14ac:dyDescent="0.25">
      <c r="B158" s="98" t="s">
        <v>5</v>
      </c>
      <c r="C158" s="180" t="s">
        <v>397</v>
      </c>
      <c r="D158" s="181" t="s">
        <v>398</v>
      </c>
      <c r="E158" s="51">
        <v>418784</v>
      </c>
      <c r="F158" s="51">
        <f>ROUND(E158,0)-78842</f>
        <v>339942</v>
      </c>
      <c r="G158" s="50">
        <f t="shared" si="19"/>
        <v>-78842</v>
      </c>
      <c r="H158" s="286" t="s">
        <v>628</v>
      </c>
      <c r="I158" s="197">
        <v>285671</v>
      </c>
      <c r="J158" s="54">
        <f t="shared" si="20"/>
        <v>0.68214401696339877</v>
      </c>
      <c r="K158" s="53" t="s">
        <v>396</v>
      </c>
    </row>
    <row r="159" spans="2:11" ht="28.15" customHeight="1" x14ac:dyDescent="0.25">
      <c r="B159" s="98" t="s">
        <v>5</v>
      </c>
      <c r="C159" s="180" t="s">
        <v>399</v>
      </c>
      <c r="D159" s="181" t="s">
        <v>400</v>
      </c>
      <c r="E159" s="51">
        <v>1825310</v>
      </c>
      <c r="F159" s="51">
        <f>ROUND(E159,0)+78842</f>
        <v>1904152</v>
      </c>
      <c r="G159" s="50">
        <f t="shared" si="19"/>
        <v>78842</v>
      </c>
      <c r="H159" s="287"/>
      <c r="I159" s="197">
        <v>263703</v>
      </c>
      <c r="J159" s="54">
        <f t="shared" si="20"/>
        <v>0.14447025436775124</v>
      </c>
      <c r="K159" s="53" t="s">
        <v>396</v>
      </c>
    </row>
    <row r="160" spans="2:11" x14ac:dyDescent="0.25">
      <c r="C160" s="168" t="s">
        <v>57</v>
      </c>
      <c r="D160" s="169" t="s">
        <v>401</v>
      </c>
      <c r="E160" s="57">
        <f>SUM(E161,E166:E170)+E173+E174</f>
        <v>2552007</v>
      </c>
      <c r="F160" s="58">
        <f>SUM(F161,F166:F170)+F173+F174</f>
        <v>2552007</v>
      </c>
      <c r="G160" s="57">
        <f t="shared" si="19"/>
        <v>0</v>
      </c>
      <c r="H160" s="57"/>
      <c r="I160" s="60">
        <f>SUM(I161,I166:I170)+I173+I174</f>
        <v>1760517.38</v>
      </c>
      <c r="J160" s="61">
        <f t="shared" si="20"/>
        <v>0.68985601528522444</v>
      </c>
      <c r="K160" s="60"/>
    </row>
    <row r="161" spans="2:11" ht="23.25" customHeight="1" x14ac:dyDescent="0.25">
      <c r="C161" s="165" t="s">
        <v>60</v>
      </c>
      <c r="D161" s="166" t="s">
        <v>402</v>
      </c>
      <c r="E161" s="81">
        <f>SUM(E162:E165)</f>
        <v>1535520</v>
      </c>
      <c r="F161" s="81">
        <f>SUM(F162:F165)</f>
        <v>1535520</v>
      </c>
      <c r="G161" s="81">
        <f t="shared" si="19"/>
        <v>0</v>
      </c>
      <c r="H161" s="81">
        <f>SUM(H162:H165)</f>
        <v>0</v>
      </c>
      <c r="I161" s="104">
        <f>SUM(I162:I165)</f>
        <v>951375.30999999994</v>
      </c>
      <c r="J161" s="198">
        <f t="shared" si="20"/>
        <v>0.61957858575596536</v>
      </c>
      <c r="K161" s="176"/>
    </row>
    <row r="162" spans="2:11" ht="15.75" customHeight="1" x14ac:dyDescent="0.25">
      <c r="B162" s="98" t="s">
        <v>403</v>
      </c>
      <c r="C162" s="171" t="s">
        <v>63</v>
      </c>
      <c r="D162" s="172" t="s">
        <v>404</v>
      </c>
      <c r="E162" s="51">
        <v>793277</v>
      </c>
      <c r="F162" s="51">
        <f t="shared" ref="F162:F169" si="26">ROUND(E162,0)</f>
        <v>793277</v>
      </c>
      <c r="G162" s="50">
        <f t="shared" si="19"/>
        <v>0</v>
      </c>
      <c r="H162" s="179"/>
      <c r="I162" s="53">
        <v>469486.39</v>
      </c>
      <c r="J162" s="54">
        <f t="shared" si="20"/>
        <v>0.59183159224331472</v>
      </c>
      <c r="K162" s="53" t="s">
        <v>405</v>
      </c>
    </row>
    <row r="163" spans="2:11" ht="14.25" customHeight="1" x14ac:dyDescent="0.25">
      <c r="B163" s="98" t="s">
        <v>406</v>
      </c>
      <c r="C163" s="171" t="s">
        <v>66</v>
      </c>
      <c r="D163" s="172" t="s">
        <v>407</v>
      </c>
      <c r="E163" s="51">
        <v>526028</v>
      </c>
      <c r="F163" s="51">
        <f t="shared" si="26"/>
        <v>526028</v>
      </c>
      <c r="G163" s="50">
        <f t="shared" si="19"/>
        <v>0</v>
      </c>
      <c r="H163" s="179"/>
      <c r="I163" s="53">
        <v>367197.61</v>
      </c>
      <c r="J163" s="54">
        <f t="shared" si="20"/>
        <v>0.69805715665325796</v>
      </c>
      <c r="K163" s="53" t="s">
        <v>408</v>
      </c>
    </row>
    <row r="164" spans="2:11" ht="24.6" customHeight="1" x14ac:dyDescent="0.25">
      <c r="B164" s="98" t="s">
        <v>409</v>
      </c>
      <c r="C164" s="171" t="s">
        <v>69</v>
      </c>
      <c r="D164" s="172" t="s">
        <v>410</v>
      </c>
      <c r="E164" s="51">
        <v>185916</v>
      </c>
      <c r="F164" s="51">
        <f t="shared" si="26"/>
        <v>185916</v>
      </c>
      <c r="G164" s="50">
        <f t="shared" si="19"/>
        <v>0</v>
      </c>
      <c r="H164" s="73"/>
      <c r="I164" s="53">
        <v>106560.74</v>
      </c>
      <c r="J164" s="54">
        <f t="shared" si="20"/>
        <v>0.57316605348652083</v>
      </c>
      <c r="K164" s="53"/>
    </row>
    <row r="165" spans="2:11" ht="23.25" customHeight="1" x14ac:dyDescent="0.25">
      <c r="B165" s="98" t="s">
        <v>411</v>
      </c>
      <c r="C165" s="171" t="s">
        <v>412</v>
      </c>
      <c r="D165" s="172" t="s">
        <v>413</v>
      </c>
      <c r="E165" s="99">
        <v>30299</v>
      </c>
      <c r="F165" s="99">
        <f t="shared" si="26"/>
        <v>30299</v>
      </c>
      <c r="G165" s="50">
        <f t="shared" si="19"/>
        <v>0</v>
      </c>
      <c r="H165" s="199"/>
      <c r="I165" s="53">
        <v>8130.57</v>
      </c>
      <c r="J165" s="53">
        <f t="shared" si="20"/>
        <v>0.26834449981847586</v>
      </c>
      <c r="K165" s="53"/>
    </row>
    <row r="166" spans="2:11" ht="29.45" hidden="1" customHeight="1" outlineLevel="1" x14ac:dyDescent="0.25">
      <c r="B166" s="98" t="s">
        <v>414</v>
      </c>
      <c r="C166" s="200" t="s">
        <v>72</v>
      </c>
      <c r="D166" s="201" t="s">
        <v>415</v>
      </c>
      <c r="E166" s="81"/>
      <c r="F166" s="81">
        <f t="shared" si="26"/>
        <v>0</v>
      </c>
      <c r="G166" s="80">
        <f t="shared" si="19"/>
        <v>0</v>
      </c>
      <c r="H166" s="202" t="s">
        <v>416</v>
      </c>
      <c r="I166" s="104">
        <v>195754.44</v>
      </c>
      <c r="J166" s="105" t="e">
        <f t="shared" si="20"/>
        <v>#DIV/0!</v>
      </c>
      <c r="K166" s="104" t="s">
        <v>362</v>
      </c>
    </row>
    <row r="167" spans="2:11" ht="27" hidden="1" customHeight="1" outlineLevel="1" x14ac:dyDescent="0.25">
      <c r="B167" s="98" t="s">
        <v>417</v>
      </c>
      <c r="C167" s="200" t="s">
        <v>418</v>
      </c>
      <c r="D167" s="201" t="s">
        <v>419</v>
      </c>
      <c r="E167" s="81"/>
      <c r="F167" s="81">
        <f t="shared" si="26"/>
        <v>0</v>
      </c>
      <c r="G167" s="80">
        <f t="shared" si="19"/>
        <v>0</v>
      </c>
      <c r="H167" s="103"/>
      <c r="I167" s="104">
        <v>0</v>
      </c>
      <c r="J167" s="105" t="e">
        <f t="shared" si="20"/>
        <v>#DIV/0!</v>
      </c>
      <c r="K167" s="104"/>
    </row>
    <row r="168" spans="2:11" ht="15" customHeight="1" collapsed="1" x14ac:dyDescent="0.25">
      <c r="B168" s="98" t="s">
        <v>420</v>
      </c>
      <c r="C168" s="165" t="s">
        <v>421</v>
      </c>
      <c r="D168" s="166" t="s">
        <v>422</v>
      </c>
      <c r="E168" s="81">
        <v>158076</v>
      </c>
      <c r="F168" s="81">
        <f t="shared" si="26"/>
        <v>158076</v>
      </c>
      <c r="G168" s="80">
        <f t="shared" si="19"/>
        <v>0</v>
      </c>
      <c r="H168" s="203"/>
      <c r="I168" s="104">
        <v>95874</v>
      </c>
      <c r="J168" s="105">
        <f t="shared" si="20"/>
        <v>0.60650573142032949</v>
      </c>
      <c r="K168" s="104"/>
    </row>
    <row r="169" spans="2:11" ht="15.6" customHeight="1" x14ac:dyDescent="0.25">
      <c r="B169" s="98" t="s">
        <v>423</v>
      </c>
      <c r="C169" s="165" t="s">
        <v>424</v>
      </c>
      <c r="D169" s="166" t="s">
        <v>425</v>
      </c>
      <c r="E169" s="81">
        <v>73071</v>
      </c>
      <c r="F169" s="81">
        <f t="shared" si="26"/>
        <v>73071</v>
      </c>
      <c r="G169" s="80">
        <f t="shared" ref="G169:G232" si="27">F169-E169</f>
        <v>0</v>
      </c>
      <c r="H169" s="203"/>
      <c r="I169" s="104">
        <v>41539.5</v>
      </c>
      <c r="J169" s="105">
        <f t="shared" ref="J169:J232" si="28">I169/E169</f>
        <v>0.56848134006651063</v>
      </c>
      <c r="K169" s="104"/>
    </row>
    <row r="170" spans="2:11" ht="15" customHeight="1" x14ac:dyDescent="0.25">
      <c r="B170" s="98" t="s">
        <v>258</v>
      </c>
      <c r="C170" s="165" t="s">
        <v>426</v>
      </c>
      <c r="D170" s="166" t="s">
        <v>427</v>
      </c>
      <c r="E170" s="81">
        <f>E171+E172</f>
        <v>762112</v>
      </c>
      <c r="F170" s="81">
        <f t="shared" ref="F170" si="29">F171+F172</f>
        <v>762112</v>
      </c>
      <c r="G170" s="80">
        <f t="shared" si="27"/>
        <v>0</v>
      </c>
      <c r="H170" s="103"/>
      <c r="I170" s="104">
        <f>I171+I172</f>
        <v>471974.13</v>
      </c>
      <c r="J170" s="105">
        <f t="shared" si="28"/>
        <v>0.61929759667870343</v>
      </c>
      <c r="K170" s="104"/>
    </row>
    <row r="171" spans="2:11" ht="15" customHeight="1" x14ac:dyDescent="0.25">
      <c r="B171" s="98"/>
      <c r="C171" s="204" t="s">
        <v>428</v>
      </c>
      <c r="D171" s="172" t="s">
        <v>429</v>
      </c>
      <c r="E171" s="99">
        <v>454642</v>
      </c>
      <c r="F171" s="99">
        <f>ROUND(E171,0)+10459</f>
        <v>465101</v>
      </c>
      <c r="G171" s="196">
        <f t="shared" si="27"/>
        <v>10459</v>
      </c>
      <c r="H171" s="273" t="s">
        <v>430</v>
      </c>
      <c r="I171" s="53">
        <f>458571.13-95230</f>
        <v>363341.13</v>
      </c>
      <c r="J171" s="54">
        <f t="shared" si="28"/>
        <v>0.79918074001082173</v>
      </c>
      <c r="K171" s="53" t="s">
        <v>431</v>
      </c>
    </row>
    <row r="172" spans="2:11" ht="15" customHeight="1" x14ac:dyDescent="0.25">
      <c r="B172" s="98"/>
      <c r="C172" s="204" t="s">
        <v>432</v>
      </c>
      <c r="D172" s="172" t="s">
        <v>433</v>
      </c>
      <c r="E172" s="99">
        <v>307470</v>
      </c>
      <c r="F172" s="99">
        <f>ROUND(E172,0)-10459</f>
        <v>297011</v>
      </c>
      <c r="G172" s="196">
        <f t="shared" si="27"/>
        <v>-10459</v>
      </c>
      <c r="H172" s="274"/>
      <c r="I172" s="197">
        <v>108633</v>
      </c>
      <c r="J172" s="54">
        <f t="shared" si="28"/>
        <v>0.35331251829446775</v>
      </c>
      <c r="K172" s="53"/>
    </row>
    <row r="173" spans="2:11" ht="15.6" customHeight="1" x14ac:dyDescent="0.25">
      <c r="B173" s="98" t="s">
        <v>434</v>
      </c>
      <c r="C173" s="165" t="s">
        <v>435</v>
      </c>
      <c r="D173" s="166" t="s">
        <v>436</v>
      </c>
      <c r="E173" s="81">
        <v>4000</v>
      </c>
      <c r="F173" s="81">
        <f>ROUND(E173,0)</f>
        <v>4000</v>
      </c>
      <c r="G173" s="80">
        <f t="shared" si="27"/>
        <v>0</v>
      </c>
      <c r="H173" s="167"/>
      <c r="I173" s="104">
        <v>4000</v>
      </c>
      <c r="J173" s="105">
        <f t="shared" si="28"/>
        <v>1</v>
      </c>
      <c r="K173" s="104"/>
    </row>
    <row r="174" spans="2:11" ht="15.6" customHeight="1" x14ac:dyDescent="0.25">
      <c r="B174" s="98" t="s">
        <v>437</v>
      </c>
      <c r="C174" s="165" t="s">
        <v>438</v>
      </c>
      <c r="D174" s="166" t="s">
        <v>439</v>
      </c>
      <c r="E174" s="81">
        <v>19228</v>
      </c>
      <c r="F174" s="81">
        <f>ROUND(E174,0)</f>
        <v>19228</v>
      </c>
      <c r="G174" s="80">
        <f t="shared" si="27"/>
        <v>0</v>
      </c>
      <c r="H174" s="167"/>
      <c r="I174" s="104">
        <v>0</v>
      </c>
      <c r="J174" s="105">
        <f t="shared" si="28"/>
        <v>0</v>
      </c>
      <c r="K174" s="104"/>
    </row>
    <row r="175" spans="2:11" s="154" customFormat="1" ht="15.6" customHeight="1" x14ac:dyDescent="0.2">
      <c r="C175" s="168" t="s">
        <v>93</v>
      </c>
      <c r="D175" s="169" t="s">
        <v>440</v>
      </c>
      <c r="E175" s="57">
        <f>E176+E182+E185+E190+E191+E192+E193+E194</f>
        <v>3538928</v>
      </c>
      <c r="F175" s="57">
        <f>F176+F182+F185+F190+F191+F192+F193+F194</f>
        <v>3546428</v>
      </c>
      <c r="G175" s="57">
        <f t="shared" si="27"/>
        <v>7500</v>
      </c>
      <c r="H175" s="57"/>
      <c r="I175" s="60" t="e">
        <f>I176+I182+I185+I190+I191+I192+I194+#REF!+I193</f>
        <v>#REF!</v>
      </c>
      <c r="J175" s="61" t="e">
        <f t="shared" si="28"/>
        <v>#REF!</v>
      </c>
      <c r="K175" s="60"/>
    </row>
    <row r="176" spans="2:11" s="154" customFormat="1" ht="15" customHeight="1" x14ac:dyDescent="0.25">
      <c r="C176" s="165" t="s">
        <v>96</v>
      </c>
      <c r="D176" s="166" t="s">
        <v>441</v>
      </c>
      <c r="E176" s="80">
        <f>SUM(E177:E181)</f>
        <v>2760943</v>
      </c>
      <c r="F176" s="80">
        <f>SUM(F177:F181)</f>
        <v>2768443</v>
      </c>
      <c r="G176" s="80">
        <f t="shared" si="27"/>
        <v>7500</v>
      </c>
      <c r="H176" s="80"/>
      <c r="I176" s="104" t="e">
        <f>I177+I178+I179+I180+#REF!</f>
        <v>#REF!</v>
      </c>
      <c r="J176" s="105" t="e">
        <f t="shared" si="28"/>
        <v>#REF!</v>
      </c>
      <c r="K176" s="104"/>
    </row>
    <row r="177" spans="2:11" s="205" customFormat="1" ht="26.45" customHeight="1" outlineLevel="1" x14ac:dyDescent="0.25">
      <c r="B177" s="205">
        <v>1010</v>
      </c>
      <c r="C177" s="204" t="s">
        <v>442</v>
      </c>
      <c r="D177" s="206" t="s">
        <v>443</v>
      </c>
      <c r="E177" s="207">
        <v>638988</v>
      </c>
      <c r="F177" s="207">
        <f>ROUND(E177,0)+7500</f>
        <v>646488</v>
      </c>
      <c r="G177" s="196">
        <f t="shared" si="27"/>
        <v>7500</v>
      </c>
      <c r="H177" s="102" t="s">
        <v>629</v>
      </c>
      <c r="I177" s="209">
        <f>1335680.01-1186-I178</f>
        <v>433054.12</v>
      </c>
      <c r="J177" s="210">
        <f t="shared" si="28"/>
        <v>0.67771870520260158</v>
      </c>
      <c r="K177" s="209" t="s">
        <v>444</v>
      </c>
    </row>
    <row r="178" spans="2:11" s="205" customFormat="1" ht="18.75" customHeight="1" outlineLevel="1" x14ac:dyDescent="0.25">
      <c r="B178" s="211" t="s">
        <v>445</v>
      </c>
      <c r="C178" s="204" t="s">
        <v>446</v>
      </c>
      <c r="D178" s="206" t="s">
        <v>447</v>
      </c>
      <c r="E178" s="207">
        <v>1540233</v>
      </c>
      <c r="F178" s="207">
        <f t="shared" ref="F178:F216" si="30">ROUND(E178,0)</f>
        <v>1540233</v>
      </c>
      <c r="G178" s="196">
        <f t="shared" si="27"/>
        <v>0</v>
      </c>
      <c r="H178" s="73"/>
      <c r="I178" s="209">
        <v>901439.89</v>
      </c>
      <c r="J178" s="210">
        <f t="shared" si="28"/>
        <v>0.58526202853724085</v>
      </c>
      <c r="K178" s="209"/>
    </row>
    <row r="179" spans="2:11" s="205" customFormat="1" ht="17.45" customHeight="1" outlineLevel="1" x14ac:dyDescent="0.25">
      <c r="B179" s="205">
        <v>1010</v>
      </c>
      <c r="C179" s="204" t="s">
        <v>448</v>
      </c>
      <c r="D179" s="206" t="s">
        <v>449</v>
      </c>
      <c r="E179" s="207">
        <v>0</v>
      </c>
      <c r="F179" s="207">
        <f t="shared" si="30"/>
        <v>0</v>
      </c>
      <c r="G179" s="196">
        <f t="shared" si="27"/>
        <v>0</v>
      </c>
      <c r="H179" s="102"/>
      <c r="I179" s="53">
        <v>0</v>
      </c>
      <c r="J179" s="210" t="e">
        <f t="shared" si="28"/>
        <v>#DIV/0!</v>
      </c>
      <c r="K179" s="209"/>
    </row>
    <row r="180" spans="2:11" s="205" customFormat="1" outlineLevel="1" x14ac:dyDescent="0.25">
      <c r="B180" s="205">
        <v>1012</v>
      </c>
      <c r="C180" s="204" t="s">
        <v>450</v>
      </c>
      <c r="D180" s="206" t="s">
        <v>451</v>
      </c>
      <c r="E180" s="207">
        <v>580000</v>
      </c>
      <c r="F180" s="207">
        <f t="shared" si="30"/>
        <v>580000</v>
      </c>
      <c r="G180" s="196">
        <f t="shared" si="27"/>
        <v>0</v>
      </c>
      <c r="H180" s="208"/>
      <c r="I180" s="209">
        <v>382421.3</v>
      </c>
      <c r="J180" s="210">
        <f t="shared" si="28"/>
        <v>0.6593470689655172</v>
      </c>
      <c r="K180" s="209"/>
    </row>
    <row r="181" spans="2:11" s="205" customFormat="1" outlineLevel="1" x14ac:dyDescent="0.25">
      <c r="C181" s="204" t="s">
        <v>452</v>
      </c>
      <c r="D181" s="206" t="s">
        <v>453</v>
      </c>
      <c r="E181" s="207">
        <v>1722</v>
      </c>
      <c r="F181" s="207">
        <f t="shared" si="30"/>
        <v>1722</v>
      </c>
      <c r="G181" s="196">
        <f t="shared" si="27"/>
        <v>0</v>
      </c>
      <c r="H181" s="208"/>
      <c r="I181" s="197">
        <v>305</v>
      </c>
      <c r="J181" s="210">
        <f t="shared" si="28"/>
        <v>0.17711962833914052</v>
      </c>
      <c r="K181" s="209"/>
    </row>
    <row r="182" spans="2:11" s="154" customFormat="1" ht="19.5" customHeight="1" x14ac:dyDescent="0.25">
      <c r="C182" s="165" t="s">
        <v>98</v>
      </c>
      <c r="D182" s="166" t="s">
        <v>454</v>
      </c>
      <c r="E182" s="81">
        <f>E183+E184</f>
        <v>14883</v>
      </c>
      <c r="F182" s="81">
        <f>F183+F184</f>
        <v>14883</v>
      </c>
      <c r="G182" s="80">
        <f t="shared" si="27"/>
        <v>0</v>
      </c>
      <c r="H182" s="103"/>
      <c r="I182" s="104">
        <f>I183+I184</f>
        <v>390</v>
      </c>
      <c r="J182" s="105">
        <f t="shared" si="28"/>
        <v>2.6204394275347712E-2</v>
      </c>
      <c r="K182" s="104"/>
    </row>
    <row r="183" spans="2:11" s="205" customFormat="1" outlineLevel="1" x14ac:dyDescent="0.25">
      <c r="B183" s="205">
        <v>1011</v>
      </c>
      <c r="C183" s="212" t="s">
        <v>455</v>
      </c>
      <c r="D183" s="206" t="s">
        <v>456</v>
      </c>
      <c r="E183" s="207">
        <v>1407</v>
      </c>
      <c r="F183" s="207">
        <f t="shared" si="30"/>
        <v>1407</v>
      </c>
      <c r="G183" s="196">
        <f t="shared" si="27"/>
        <v>0</v>
      </c>
      <c r="H183" s="208"/>
      <c r="I183" s="209">
        <f>390-I184</f>
        <v>140</v>
      </c>
      <c r="J183" s="210">
        <f t="shared" si="28"/>
        <v>9.950248756218906E-2</v>
      </c>
      <c r="K183" s="209"/>
    </row>
    <row r="184" spans="2:11" s="205" customFormat="1" outlineLevel="1" x14ac:dyDescent="0.25">
      <c r="B184" s="205">
        <v>1011</v>
      </c>
      <c r="C184" s="212" t="s">
        <v>457</v>
      </c>
      <c r="D184" s="206" t="s">
        <v>458</v>
      </c>
      <c r="E184" s="207">
        <v>13476</v>
      </c>
      <c r="F184" s="207">
        <f t="shared" si="30"/>
        <v>13476</v>
      </c>
      <c r="G184" s="196">
        <f t="shared" si="27"/>
        <v>0</v>
      </c>
      <c r="H184" s="208"/>
      <c r="I184" s="209">
        <v>250</v>
      </c>
      <c r="J184" s="210">
        <f t="shared" si="28"/>
        <v>1.8551498961116058E-2</v>
      </c>
      <c r="K184" s="209"/>
    </row>
    <row r="185" spans="2:11" s="154" customFormat="1" ht="26.25" customHeight="1" x14ac:dyDescent="0.25">
      <c r="C185" s="165" t="s">
        <v>459</v>
      </c>
      <c r="D185" s="166" t="s">
        <v>460</v>
      </c>
      <c r="E185" s="82">
        <f>SUM(E186:E189)</f>
        <v>444938</v>
      </c>
      <c r="F185" s="82">
        <f t="shared" ref="F185" si="31">SUM(F186:F189)</f>
        <v>444938</v>
      </c>
      <c r="G185" s="83">
        <f t="shared" si="27"/>
        <v>0</v>
      </c>
      <c r="H185" s="167"/>
      <c r="I185" s="84">
        <f>SUM(I186:I189)</f>
        <v>181706.011</v>
      </c>
      <c r="J185" s="85">
        <f t="shared" si="28"/>
        <v>0.40838501319284931</v>
      </c>
      <c r="K185" s="84"/>
    </row>
    <row r="186" spans="2:11" s="154" customFormat="1" ht="15" customHeight="1" x14ac:dyDescent="0.25">
      <c r="B186" s="1" t="s">
        <v>461</v>
      </c>
      <c r="C186" s="213" t="s">
        <v>462</v>
      </c>
      <c r="D186" s="214" t="s">
        <v>463</v>
      </c>
      <c r="E186" s="51">
        <v>432274</v>
      </c>
      <c r="F186" s="51">
        <f t="shared" si="30"/>
        <v>432274</v>
      </c>
      <c r="G186" s="50">
        <f t="shared" si="27"/>
        <v>0</v>
      </c>
      <c r="H186" s="52"/>
      <c r="I186" s="53">
        <f>184046.011-3745-I188</f>
        <v>174836.66099999999</v>
      </c>
      <c r="J186" s="54">
        <f t="shared" si="28"/>
        <v>0.40445796184827215</v>
      </c>
      <c r="K186" s="53"/>
    </row>
    <row r="187" spans="2:11" s="154" customFormat="1" ht="15" customHeight="1" x14ac:dyDescent="0.25">
      <c r="B187" s="1" t="s">
        <v>461</v>
      </c>
      <c r="C187" s="213" t="s">
        <v>464</v>
      </c>
      <c r="D187" s="214" t="s">
        <v>465</v>
      </c>
      <c r="E187" s="51">
        <v>12664</v>
      </c>
      <c r="F187" s="51">
        <f t="shared" si="30"/>
        <v>12664</v>
      </c>
      <c r="G187" s="50">
        <f t="shared" si="27"/>
        <v>0</v>
      </c>
      <c r="H187" s="52"/>
      <c r="I187" s="197">
        <v>1405</v>
      </c>
      <c r="J187" s="54">
        <f t="shared" si="28"/>
        <v>0.11094440934933671</v>
      </c>
      <c r="K187" s="53"/>
    </row>
    <row r="188" spans="2:11" s="154" customFormat="1" ht="15.75" customHeight="1" x14ac:dyDescent="0.25">
      <c r="B188" s="1" t="s">
        <v>461</v>
      </c>
      <c r="C188" s="215" t="s">
        <v>466</v>
      </c>
      <c r="D188" s="214" t="s">
        <v>467</v>
      </c>
      <c r="E188" s="51">
        <v>0</v>
      </c>
      <c r="F188" s="51">
        <f t="shared" si="30"/>
        <v>0</v>
      </c>
      <c r="G188" s="50">
        <f t="shared" si="27"/>
        <v>0</v>
      </c>
      <c r="H188" s="52"/>
      <c r="I188" s="106">
        <v>5464.35</v>
      </c>
      <c r="J188" s="54" t="e">
        <f t="shared" si="28"/>
        <v>#DIV/0!</v>
      </c>
      <c r="K188" s="53" t="s">
        <v>468</v>
      </c>
    </row>
    <row r="189" spans="2:11" s="154" customFormat="1" ht="15.6" customHeight="1" x14ac:dyDescent="0.25">
      <c r="B189" s="1" t="s">
        <v>469</v>
      </c>
      <c r="C189" s="213" t="s">
        <v>470</v>
      </c>
      <c r="D189" s="214" t="s">
        <v>471</v>
      </c>
      <c r="E189" s="51">
        <v>0</v>
      </c>
      <c r="F189" s="51">
        <f t="shared" si="30"/>
        <v>0</v>
      </c>
      <c r="G189" s="50">
        <f t="shared" si="27"/>
        <v>0</v>
      </c>
      <c r="H189" s="52"/>
      <c r="I189" s="53">
        <v>0</v>
      </c>
      <c r="J189" s="54" t="e">
        <f t="shared" si="28"/>
        <v>#DIV/0!</v>
      </c>
      <c r="K189" s="53"/>
    </row>
    <row r="190" spans="2:11" s="154" customFormat="1" ht="16.149999999999999" customHeight="1" x14ac:dyDescent="0.25">
      <c r="C190" s="165" t="s">
        <v>472</v>
      </c>
      <c r="D190" s="166" t="s">
        <v>473</v>
      </c>
      <c r="E190" s="81">
        <v>158418</v>
      </c>
      <c r="F190" s="81">
        <f t="shared" si="30"/>
        <v>158418</v>
      </c>
      <c r="G190" s="80">
        <f t="shared" si="27"/>
        <v>0</v>
      </c>
      <c r="H190" s="167"/>
      <c r="I190" s="104">
        <v>91756.31</v>
      </c>
      <c r="J190" s="105">
        <f t="shared" si="28"/>
        <v>0.57920381522301756</v>
      </c>
      <c r="K190" s="104"/>
    </row>
    <row r="191" spans="2:11" s="154" customFormat="1" ht="33.75" customHeight="1" x14ac:dyDescent="0.25">
      <c r="B191" s="1">
        <v>1016</v>
      </c>
      <c r="C191" s="165" t="s">
        <v>474</v>
      </c>
      <c r="D191" s="166" t="s">
        <v>169</v>
      </c>
      <c r="E191" s="81">
        <v>70604</v>
      </c>
      <c r="F191" s="81">
        <f t="shared" si="30"/>
        <v>70604</v>
      </c>
      <c r="G191" s="80">
        <f t="shared" si="27"/>
        <v>0</v>
      </c>
      <c r="H191" s="167"/>
      <c r="I191" s="104">
        <v>42125.5</v>
      </c>
      <c r="J191" s="105">
        <f t="shared" si="28"/>
        <v>0.59664466602458788</v>
      </c>
      <c r="K191" s="104"/>
    </row>
    <row r="192" spans="2:11" s="154" customFormat="1" ht="18.75" hidden="1" customHeight="1" outlineLevel="1" x14ac:dyDescent="0.25">
      <c r="B192" s="1">
        <v>1017</v>
      </c>
      <c r="C192" s="165" t="s">
        <v>475</v>
      </c>
      <c r="D192" s="201" t="s">
        <v>172</v>
      </c>
      <c r="E192" s="81">
        <v>0</v>
      </c>
      <c r="F192" s="81">
        <f t="shared" si="30"/>
        <v>0</v>
      </c>
      <c r="G192" s="80">
        <f t="shared" si="27"/>
        <v>0</v>
      </c>
      <c r="H192" s="167"/>
      <c r="I192" s="104">
        <v>0</v>
      </c>
      <c r="J192" s="105" t="e">
        <f t="shared" si="28"/>
        <v>#DIV/0!</v>
      </c>
      <c r="K192" s="104"/>
    </row>
    <row r="193" spans="2:11" s="154" customFormat="1" ht="45" customHeight="1" collapsed="1" x14ac:dyDescent="0.25">
      <c r="B193" s="1">
        <v>1018</v>
      </c>
      <c r="C193" s="165" t="s">
        <v>475</v>
      </c>
      <c r="D193" s="166" t="s">
        <v>476</v>
      </c>
      <c r="E193" s="81">
        <v>44312</v>
      </c>
      <c r="F193" s="81">
        <f t="shared" si="30"/>
        <v>44312</v>
      </c>
      <c r="G193" s="80">
        <f t="shared" si="27"/>
        <v>0</v>
      </c>
      <c r="H193" s="167"/>
      <c r="I193" s="104">
        <v>250</v>
      </c>
      <c r="J193" s="105">
        <f t="shared" si="28"/>
        <v>5.6418126015526267E-3</v>
      </c>
      <c r="K193" s="104" t="s">
        <v>362</v>
      </c>
    </row>
    <row r="194" spans="2:11" ht="43.5" customHeight="1" x14ac:dyDescent="0.25">
      <c r="B194" s="1" t="s">
        <v>477</v>
      </c>
      <c r="C194" s="165" t="s">
        <v>478</v>
      </c>
      <c r="D194" s="166" t="s">
        <v>201</v>
      </c>
      <c r="E194" s="81">
        <v>44830</v>
      </c>
      <c r="F194" s="81">
        <f t="shared" si="30"/>
        <v>44830</v>
      </c>
      <c r="G194" s="80">
        <f t="shared" si="27"/>
        <v>0</v>
      </c>
      <c r="H194" s="167"/>
      <c r="I194" s="53">
        <v>0</v>
      </c>
      <c r="J194" s="54">
        <f t="shared" si="28"/>
        <v>0</v>
      </c>
      <c r="K194" s="74"/>
    </row>
    <row r="195" spans="2:11" x14ac:dyDescent="0.25">
      <c r="C195" s="168" t="s">
        <v>101</v>
      </c>
      <c r="D195" s="169" t="s">
        <v>479</v>
      </c>
      <c r="E195" s="57">
        <f>E196+E197+E201+E205+E209+E213+E217+E228+E246+E249+E252+E253+E254+E255+E256</f>
        <v>33093948</v>
      </c>
      <c r="F195" s="57">
        <f>F196+F197+F201+F205+F209+F213+F217+F228+F246+F249+F252+F253+F254+F255+F256</f>
        <v>33147236</v>
      </c>
      <c r="G195" s="57">
        <f t="shared" si="27"/>
        <v>53288</v>
      </c>
      <c r="H195" s="57"/>
      <c r="I195" s="60" t="e">
        <f>I196+I197+I201+I205+I209+I213+I217+#REF!+I228+I246+I249+I252+I253+#REF!+#REF!+#REF!+I254+#REF!</f>
        <v>#REF!</v>
      </c>
      <c r="J195" s="61" t="e">
        <f t="shared" si="28"/>
        <v>#REF!</v>
      </c>
      <c r="K195" s="60"/>
    </row>
    <row r="196" spans="2:11" ht="27.6" customHeight="1" x14ac:dyDescent="0.25">
      <c r="B196" s="216" t="s">
        <v>480</v>
      </c>
      <c r="C196" s="165" t="s">
        <v>104</v>
      </c>
      <c r="D196" s="173" t="s">
        <v>481</v>
      </c>
      <c r="E196" s="81">
        <v>851975</v>
      </c>
      <c r="F196" s="81">
        <f t="shared" si="30"/>
        <v>851975</v>
      </c>
      <c r="G196" s="80">
        <f t="shared" si="27"/>
        <v>0</v>
      </c>
      <c r="H196" s="103"/>
      <c r="I196" s="104">
        <v>606161.18999999994</v>
      </c>
      <c r="J196" s="105">
        <f t="shared" si="28"/>
        <v>0.71147767246691507</v>
      </c>
      <c r="K196" s="104" t="s">
        <v>482</v>
      </c>
    </row>
    <row r="197" spans="2:11" ht="17.45" customHeight="1" x14ac:dyDescent="0.25">
      <c r="C197" s="165" t="s">
        <v>108</v>
      </c>
      <c r="D197" s="173" t="s">
        <v>483</v>
      </c>
      <c r="E197" s="81">
        <f>SUM(E198:E200)</f>
        <v>2529158</v>
      </c>
      <c r="F197" s="81">
        <f t="shared" ref="F197" si="32">SUM(F198:F200)</f>
        <v>2529158</v>
      </c>
      <c r="G197" s="80">
        <f t="shared" si="27"/>
        <v>0</v>
      </c>
      <c r="H197" s="167"/>
      <c r="I197" s="104">
        <f>SUM(I198:I200)</f>
        <v>1402289.08</v>
      </c>
      <c r="J197" s="105">
        <f t="shared" si="28"/>
        <v>0.5544489826258383</v>
      </c>
      <c r="K197" s="104"/>
    </row>
    <row r="198" spans="2:11" ht="25.15" customHeight="1" x14ac:dyDescent="0.25">
      <c r="B198" s="98" t="s">
        <v>484</v>
      </c>
      <c r="C198" s="171" t="s">
        <v>485</v>
      </c>
      <c r="D198" s="142" t="s">
        <v>486</v>
      </c>
      <c r="E198" s="218">
        <v>361243</v>
      </c>
      <c r="F198" s="218">
        <f t="shared" si="30"/>
        <v>361243</v>
      </c>
      <c r="G198" s="217">
        <f t="shared" si="27"/>
        <v>0</v>
      </c>
      <c r="H198" s="73"/>
      <c r="I198" s="219">
        <v>280419.77</v>
      </c>
      <c r="J198" s="220">
        <f t="shared" si="28"/>
        <v>0.7762635400547554</v>
      </c>
      <c r="K198" s="219"/>
    </row>
    <row r="199" spans="2:11" ht="16.5" customHeight="1" x14ac:dyDescent="0.25">
      <c r="B199" s="98" t="s">
        <v>487</v>
      </c>
      <c r="C199" s="171" t="s">
        <v>488</v>
      </c>
      <c r="D199" s="142" t="s">
        <v>489</v>
      </c>
      <c r="E199" s="218">
        <v>1638439</v>
      </c>
      <c r="F199" s="218">
        <f>ROUND(E199,0)+32443</f>
        <v>1670882</v>
      </c>
      <c r="G199" s="217">
        <f t="shared" si="27"/>
        <v>32443</v>
      </c>
      <c r="H199" s="273" t="s">
        <v>490</v>
      </c>
      <c r="I199" s="219">
        <f>1082828.71-164691.4</f>
        <v>918137.30999999994</v>
      </c>
      <c r="J199" s="220">
        <f t="shared" si="28"/>
        <v>0.56037320278631064</v>
      </c>
      <c r="K199" s="219" t="s">
        <v>491</v>
      </c>
    </row>
    <row r="200" spans="2:11" ht="17.25" customHeight="1" x14ac:dyDescent="0.25">
      <c r="B200" s="98"/>
      <c r="C200" s="171" t="s">
        <v>492</v>
      </c>
      <c r="D200" s="142" t="s">
        <v>493</v>
      </c>
      <c r="E200" s="218">
        <v>529476</v>
      </c>
      <c r="F200" s="218">
        <f>ROUND(E200,0)-32443</f>
        <v>497033</v>
      </c>
      <c r="G200" s="217">
        <f t="shared" si="27"/>
        <v>-32443</v>
      </c>
      <c r="H200" s="274"/>
      <c r="I200" s="197">
        <f>164723+10000+17009+12000</f>
        <v>203732</v>
      </c>
      <c r="J200" s="220">
        <f t="shared" si="28"/>
        <v>0.38478042441961485</v>
      </c>
      <c r="K200" s="219"/>
    </row>
    <row r="201" spans="2:11" ht="18" customHeight="1" x14ac:dyDescent="0.25">
      <c r="C201" s="165" t="s">
        <v>112</v>
      </c>
      <c r="D201" s="173" t="s">
        <v>494</v>
      </c>
      <c r="E201" s="81">
        <f>E202+E203+E204</f>
        <v>1499060</v>
      </c>
      <c r="F201" s="81">
        <f t="shared" ref="F201" si="33">F202+F203+F204</f>
        <v>1499060</v>
      </c>
      <c r="G201" s="80">
        <f t="shared" si="27"/>
        <v>0</v>
      </c>
      <c r="H201" s="167"/>
      <c r="I201" s="104">
        <f>I202+I203+I204</f>
        <v>820179.25</v>
      </c>
      <c r="J201" s="105">
        <f t="shared" si="28"/>
        <v>0.547129034194762</v>
      </c>
      <c r="K201" s="104"/>
    </row>
    <row r="202" spans="2:11" ht="25.9" customHeight="1" x14ac:dyDescent="0.25">
      <c r="B202" s="98" t="s">
        <v>495</v>
      </c>
      <c r="C202" s="171" t="s">
        <v>496</v>
      </c>
      <c r="D202" s="142" t="s">
        <v>486</v>
      </c>
      <c r="E202" s="51">
        <v>144697</v>
      </c>
      <c r="F202" s="51">
        <f t="shared" si="30"/>
        <v>144697</v>
      </c>
      <c r="G202" s="50">
        <f t="shared" si="27"/>
        <v>0</v>
      </c>
      <c r="H202" s="73"/>
      <c r="I202" s="53">
        <v>112127.71</v>
      </c>
      <c r="J202" s="54">
        <f t="shared" si="28"/>
        <v>0.77491385446830274</v>
      </c>
      <c r="K202" s="53"/>
    </row>
    <row r="203" spans="2:11" ht="13.5" customHeight="1" x14ac:dyDescent="0.25">
      <c r="B203" s="98" t="s">
        <v>497</v>
      </c>
      <c r="C203" s="171" t="s">
        <v>498</v>
      </c>
      <c r="D203" s="142" t="s">
        <v>489</v>
      </c>
      <c r="E203" s="51">
        <v>1108510</v>
      </c>
      <c r="F203" s="51">
        <f t="shared" si="30"/>
        <v>1108510</v>
      </c>
      <c r="G203" s="50">
        <f t="shared" si="27"/>
        <v>0</v>
      </c>
      <c r="H203" s="73"/>
      <c r="I203" s="53">
        <f>680606.54-89829</f>
        <v>590777.54</v>
      </c>
      <c r="J203" s="54">
        <f t="shared" si="28"/>
        <v>0.53294741590062344</v>
      </c>
      <c r="K203" s="53" t="s">
        <v>491</v>
      </c>
    </row>
    <row r="204" spans="2:11" ht="16.899999999999999" customHeight="1" x14ac:dyDescent="0.25">
      <c r="B204" s="98"/>
      <c r="C204" s="171" t="s">
        <v>499</v>
      </c>
      <c r="D204" s="142" t="s">
        <v>493</v>
      </c>
      <c r="E204" s="51">
        <v>245853</v>
      </c>
      <c r="F204" s="51">
        <f t="shared" si="30"/>
        <v>245853</v>
      </c>
      <c r="G204" s="50">
        <f t="shared" si="27"/>
        <v>0</v>
      </c>
      <c r="H204" s="73"/>
      <c r="I204" s="197">
        <v>117274</v>
      </c>
      <c r="J204" s="54">
        <f t="shared" si="28"/>
        <v>0.47700861897149921</v>
      </c>
      <c r="K204" s="53"/>
    </row>
    <row r="205" spans="2:11" ht="27.6" customHeight="1" x14ac:dyDescent="0.25">
      <c r="C205" s="165" t="s">
        <v>500</v>
      </c>
      <c r="D205" s="173" t="s">
        <v>501</v>
      </c>
      <c r="E205" s="81">
        <f>E206+E207+E208</f>
        <v>1850322</v>
      </c>
      <c r="F205" s="81">
        <f>F206+F207+F208</f>
        <v>1850322</v>
      </c>
      <c r="G205" s="80">
        <f t="shared" si="27"/>
        <v>0</v>
      </c>
      <c r="H205" s="167"/>
      <c r="I205" s="104">
        <f>I206+I207+I208</f>
        <v>1015486.66</v>
      </c>
      <c r="J205" s="105">
        <f t="shared" si="28"/>
        <v>0.54881618442627822</v>
      </c>
      <c r="K205" s="104"/>
    </row>
    <row r="206" spans="2:11" ht="13.5" customHeight="1" x14ac:dyDescent="0.25">
      <c r="B206" s="1" t="s">
        <v>502</v>
      </c>
      <c r="C206" s="171" t="s">
        <v>503</v>
      </c>
      <c r="D206" s="142" t="s">
        <v>486</v>
      </c>
      <c r="E206" s="51">
        <v>200053</v>
      </c>
      <c r="F206" s="51">
        <f t="shared" si="30"/>
        <v>200053</v>
      </c>
      <c r="G206" s="50">
        <f t="shared" si="27"/>
        <v>0</v>
      </c>
      <c r="H206" s="73"/>
      <c r="I206" s="53">
        <v>165706.29</v>
      </c>
      <c r="J206" s="54">
        <f t="shared" si="28"/>
        <v>0.82831194733395652</v>
      </c>
      <c r="K206" s="53"/>
    </row>
    <row r="207" spans="2:11" ht="15.6" customHeight="1" x14ac:dyDescent="0.25">
      <c r="B207" s="1" t="s">
        <v>504</v>
      </c>
      <c r="C207" s="171" t="s">
        <v>505</v>
      </c>
      <c r="D207" s="142" t="s">
        <v>489</v>
      </c>
      <c r="E207" s="51">
        <v>1406595</v>
      </c>
      <c r="F207" s="51">
        <f t="shared" si="30"/>
        <v>1406595</v>
      </c>
      <c r="G207" s="50">
        <f t="shared" si="27"/>
        <v>0</v>
      </c>
      <c r="H207" s="221"/>
      <c r="I207" s="53">
        <f>858707.37-115786</f>
        <v>742921.37</v>
      </c>
      <c r="J207" s="54">
        <f t="shared" si="28"/>
        <v>0.52817006316672532</v>
      </c>
      <c r="K207" s="53"/>
    </row>
    <row r="208" spans="2:11" ht="17.45" customHeight="1" x14ac:dyDescent="0.25">
      <c r="C208" s="171" t="s">
        <v>506</v>
      </c>
      <c r="D208" s="142" t="s">
        <v>493</v>
      </c>
      <c r="E208" s="51">
        <v>243674</v>
      </c>
      <c r="F208" s="51">
        <f t="shared" si="30"/>
        <v>243674</v>
      </c>
      <c r="G208" s="50">
        <f t="shared" si="27"/>
        <v>0</v>
      </c>
      <c r="H208" s="222"/>
      <c r="I208" s="197">
        <f>96103+5778+4978</f>
        <v>106859</v>
      </c>
      <c r="J208" s="54">
        <f t="shared" si="28"/>
        <v>0.43853262966094042</v>
      </c>
      <c r="K208" s="53"/>
    </row>
    <row r="209" spans="2:11" x14ac:dyDescent="0.25">
      <c r="B209" s="1" t="s">
        <v>507</v>
      </c>
      <c r="C209" s="165" t="s">
        <v>508</v>
      </c>
      <c r="D209" s="173" t="s">
        <v>509</v>
      </c>
      <c r="E209" s="81">
        <f>SUM(E210:E212)</f>
        <v>1570891</v>
      </c>
      <c r="F209" s="81">
        <f t="shared" ref="F209" si="34">SUM(F210:F212)</f>
        <v>1570891</v>
      </c>
      <c r="G209" s="80">
        <f t="shared" si="27"/>
        <v>0</v>
      </c>
      <c r="H209" s="167"/>
      <c r="I209" s="104">
        <f>SUM(I210:I212)</f>
        <v>910714.79999999993</v>
      </c>
      <c r="J209" s="105">
        <f t="shared" si="28"/>
        <v>0.5797441070067878</v>
      </c>
      <c r="K209" s="104"/>
    </row>
    <row r="210" spans="2:11" s="224" customFormat="1" ht="26.45" customHeight="1" x14ac:dyDescent="0.25">
      <c r="B210" s="223" t="s">
        <v>510</v>
      </c>
      <c r="C210" s="171" t="s">
        <v>511</v>
      </c>
      <c r="D210" s="142" t="s">
        <v>486</v>
      </c>
      <c r="E210" s="51">
        <v>263376</v>
      </c>
      <c r="F210" s="51">
        <f t="shared" si="30"/>
        <v>263376</v>
      </c>
      <c r="G210" s="217">
        <f t="shared" si="27"/>
        <v>0</v>
      </c>
      <c r="H210" s="73"/>
      <c r="I210" s="53">
        <v>103482.23</v>
      </c>
      <c r="J210" s="54">
        <f t="shared" si="28"/>
        <v>0.39290683281696126</v>
      </c>
      <c r="K210" s="53"/>
    </row>
    <row r="211" spans="2:11" s="224" customFormat="1" ht="15.6" customHeight="1" x14ac:dyDescent="0.25">
      <c r="C211" s="171" t="s">
        <v>512</v>
      </c>
      <c r="D211" s="142" t="s">
        <v>489</v>
      </c>
      <c r="E211" s="51">
        <v>1141525</v>
      </c>
      <c r="F211" s="51">
        <f t="shared" si="30"/>
        <v>1141525</v>
      </c>
      <c r="G211" s="217">
        <f t="shared" si="27"/>
        <v>0</v>
      </c>
      <c r="H211" s="73"/>
      <c r="I211" s="53">
        <f>812298.57-88308</f>
        <v>723990.57</v>
      </c>
      <c r="J211" s="54">
        <f t="shared" si="28"/>
        <v>0.6342310242876853</v>
      </c>
      <c r="K211" s="53"/>
    </row>
    <row r="212" spans="2:11" s="224" customFormat="1" ht="13.9" customHeight="1" x14ac:dyDescent="0.25">
      <c r="C212" s="171" t="s">
        <v>513</v>
      </c>
      <c r="D212" s="142" t="s">
        <v>493</v>
      </c>
      <c r="E212" s="51">
        <v>165990</v>
      </c>
      <c r="F212" s="51">
        <f t="shared" si="30"/>
        <v>165990</v>
      </c>
      <c r="G212" s="217">
        <f t="shared" si="27"/>
        <v>0</v>
      </c>
      <c r="H212" s="73"/>
      <c r="I212" s="197">
        <v>83242</v>
      </c>
      <c r="J212" s="54">
        <f t="shared" si="28"/>
        <v>0.50148804144827996</v>
      </c>
      <c r="K212" s="53"/>
    </row>
    <row r="213" spans="2:11" x14ac:dyDescent="0.25">
      <c r="C213" s="165" t="s">
        <v>514</v>
      </c>
      <c r="D213" s="173" t="s">
        <v>515</v>
      </c>
      <c r="E213" s="81">
        <f>E214+E215+E216</f>
        <v>3805461</v>
      </c>
      <c r="F213" s="81">
        <f>F214+F215+F216</f>
        <v>3797888</v>
      </c>
      <c r="G213" s="80">
        <f t="shared" si="27"/>
        <v>-7573</v>
      </c>
      <c r="H213" s="167"/>
      <c r="I213" s="104">
        <f>I214+I215+I216</f>
        <v>2231554.2699999996</v>
      </c>
      <c r="J213" s="105">
        <f t="shared" si="28"/>
        <v>0.58640839309613202</v>
      </c>
      <c r="K213" s="104"/>
    </row>
    <row r="214" spans="2:11" s="224" customFormat="1" ht="31.9" customHeight="1" x14ac:dyDescent="0.25">
      <c r="B214" s="223" t="s">
        <v>516</v>
      </c>
      <c r="C214" s="225" t="s">
        <v>517</v>
      </c>
      <c r="D214" s="226" t="s">
        <v>518</v>
      </c>
      <c r="E214" s="51">
        <v>705444</v>
      </c>
      <c r="F214" s="51">
        <f>ROUND(E214,0)-7573</f>
        <v>697871</v>
      </c>
      <c r="G214" s="217">
        <f t="shared" si="27"/>
        <v>-7573</v>
      </c>
      <c r="H214" s="73" t="s">
        <v>150</v>
      </c>
      <c r="I214" s="53">
        <v>443713.11</v>
      </c>
      <c r="J214" s="54">
        <f t="shared" si="28"/>
        <v>0.62898417167060738</v>
      </c>
      <c r="K214" s="53"/>
    </row>
    <row r="215" spans="2:11" s="224" customFormat="1" ht="16.149999999999999" customHeight="1" x14ac:dyDescent="0.25">
      <c r="B215" s="223" t="s">
        <v>519</v>
      </c>
      <c r="C215" s="225" t="s">
        <v>520</v>
      </c>
      <c r="D215" s="226" t="s">
        <v>521</v>
      </c>
      <c r="E215" s="51">
        <v>2846110</v>
      </c>
      <c r="F215" s="51">
        <f t="shared" si="30"/>
        <v>2846110</v>
      </c>
      <c r="G215" s="217">
        <f t="shared" si="27"/>
        <v>0</v>
      </c>
      <c r="H215" s="52"/>
      <c r="I215" s="53">
        <v>1641440.88</v>
      </c>
      <c r="J215" s="54">
        <f t="shared" si="28"/>
        <v>0.57673135613170257</v>
      </c>
      <c r="K215" s="53"/>
    </row>
    <row r="216" spans="2:11" ht="14.45" customHeight="1" x14ac:dyDescent="0.25">
      <c r="B216" s="98" t="s">
        <v>522</v>
      </c>
      <c r="C216" s="171" t="s">
        <v>523</v>
      </c>
      <c r="D216" s="142" t="s">
        <v>524</v>
      </c>
      <c r="E216" s="51">
        <v>253907</v>
      </c>
      <c r="F216" s="51">
        <f t="shared" si="30"/>
        <v>253907</v>
      </c>
      <c r="G216" s="217">
        <f t="shared" si="27"/>
        <v>0</v>
      </c>
      <c r="H216" s="52"/>
      <c r="I216" s="53">
        <v>146400.28</v>
      </c>
      <c r="J216" s="227">
        <f t="shared" si="28"/>
        <v>0.57659016884134739</v>
      </c>
      <c r="K216" s="53"/>
    </row>
    <row r="217" spans="2:11" s="154" customFormat="1" ht="15.75" customHeight="1" x14ac:dyDescent="0.25">
      <c r="C217" s="165" t="s">
        <v>525</v>
      </c>
      <c r="D217" s="173" t="s">
        <v>526</v>
      </c>
      <c r="E217" s="175">
        <f>E218+E222+E223+E224+E225+E226+E227</f>
        <v>2754926</v>
      </c>
      <c r="F217" s="175">
        <f>F218+F222+F223+F224+F225+F226+F227</f>
        <v>2709458</v>
      </c>
      <c r="G217" s="174">
        <f t="shared" si="27"/>
        <v>-45468</v>
      </c>
      <c r="H217" s="182"/>
      <c r="I217" s="177">
        <f>I218+I222+I223+I224+I225+I226+I227</f>
        <v>1535138.2600000002</v>
      </c>
      <c r="J217" s="178">
        <f t="shared" si="28"/>
        <v>0.55723393659212639</v>
      </c>
      <c r="K217" s="177"/>
    </row>
    <row r="218" spans="2:11" s="47" customFormat="1" ht="24.6" customHeight="1" x14ac:dyDescent="0.25">
      <c r="B218" s="70" t="s">
        <v>527</v>
      </c>
      <c r="C218" s="171" t="s">
        <v>528</v>
      </c>
      <c r="D218" s="142" t="s">
        <v>486</v>
      </c>
      <c r="E218" s="51">
        <f>E219+E220+E221</f>
        <v>1540363</v>
      </c>
      <c r="F218" s="51">
        <f>F219+F220+F221</f>
        <v>1494895</v>
      </c>
      <c r="G218" s="50">
        <f t="shared" si="27"/>
        <v>-45468</v>
      </c>
      <c r="H218" s="73"/>
      <c r="I218" s="53">
        <f>I219+I220+I221</f>
        <v>832198.83000000007</v>
      </c>
      <c r="J218" s="54">
        <f t="shared" si="28"/>
        <v>0.54026150329500255</v>
      </c>
      <c r="K218" s="53"/>
    </row>
    <row r="219" spans="2:11" s="231" customFormat="1" ht="33.75" customHeight="1" x14ac:dyDescent="0.25">
      <c r="B219" s="228"/>
      <c r="C219" s="188" t="s">
        <v>529</v>
      </c>
      <c r="D219" s="189" t="s">
        <v>530</v>
      </c>
      <c r="E219" s="229">
        <v>1364718</v>
      </c>
      <c r="F219" s="229">
        <f>ROUND(E219,0)+1113</f>
        <v>1365831</v>
      </c>
      <c r="G219" s="191">
        <f t="shared" si="27"/>
        <v>1113</v>
      </c>
      <c r="H219" s="199" t="s">
        <v>531</v>
      </c>
      <c r="I219" s="230">
        <f>787017.87-I221-I222</f>
        <v>742144.61</v>
      </c>
      <c r="J219" s="54">
        <f t="shared" si="28"/>
        <v>0.54380803213557671</v>
      </c>
      <c r="K219" s="230"/>
    </row>
    <row r="220" spans="2:11" s="231" customFormat="1" ht="29.45" customHeight="1" x14ac:dyDescent="0.25">
      <c r="B220" s="228"/>
      <c r="C220" s="188" t="s">
        <v>532</v>
      </c>
      <c r="D220" s="189" t="s">
        <v>533</v>
      </c>
      <c r="E220" s="229">
        <v>175645</v>
      </c>
      <c r="F220" s="229">
        <f>ROUND(E220,0)-46581</f>
        <v>129064</v>
      </c>
      <c r="G220" s="191">
        <f t="shared" si="27"/>
        <v>-46581</v>
      </c>
      <c r="H220" s="199" t="s">
        <v>150</v>
      </c>
      <c r="I220" s="230">
        <v>82120.19</v>
      </c>
      <c r="J220" s="54">
        <f t="shared" si="28"/>
        <v>0.46753502803951152</v>
      </c>
      <c r="K220" s="230"/>
    </row>
    <row r="221" spans="2:11" s="231" customFormat="1" ht="17.25" customHeight="1" x14ac:dyDescent="0.25">
      <c r="B221" s="228"/>
      <c r="C221" s="188" t="s">
        <v>534</v>
      </c>
      <c r="D221" s="189" t="s">
        <v>535</v>
      </c>
      <c r="E221" s="229">
        <v>0</v>
      </c>
      <c r="F221" s="229">
        <f t="shared" ref="F221:F227" si="35">ROUND(E221,0)</f>
        <v>0</v>
      </c>
      <c r="G221" s="191">
        <f t="shared" si="27"/>
        <v>0</v>
      </c>
      <c r="H221" s="199"/>
      <c r="I221" s="230">
        <f>1864.03+6070</f>
        <v>7934.03</v>
      </c>
      <c r="J221" s="232" t="e">
        <f t="shared" si="28"/>
        <v>#DIV/0!</v>
      </c>
      <c r="K221" s="230"/>
    </row>
    <row r="222" spans="2:11" s="47" customFormat="1" x14ac:dyDescent="0.25">
      <c r="B222" s="47" t="s">
        <v>527</v>
      </c>
      <c r="C222" s="171" t="s">
        <v>536</v>
      </c>
      <c r="D222" s="142" t="s">
        <v>537</v>
      </c>
      <c r="E222" s="99">
        <v>94076</v>
      </c>
      <c r="F222" s="99">
        <f t="shared" si="35"/>
        <v>94076</v>
      </c>
      <c r="G222" s="50">
        <f t="shared" si="27"/>
        <v>0</v>
      </c>
      <c r="H222" s="73"/>
      <c r="I222" s="53">
        <v>36939.230000000003</v>
      </c>
      <c r="J222" s="54">
        <f t="shared" si="28"/>
        <v>0.39265306773247166</v>
      </c>
      <c r="K222" s="53"/>
    </row>
    <row r="223" spans="2:11" s="47" customFormat="1" ht="15.75" customHeight="1" x14ac:dyDescent="0.25">
      <c r="B223" s="70" t="s">
        <v>538</v>
      </c>
      <c r="C223" s="171" t="s">
        <v>539</v>
      </c>
      <c r="D223" s="142" t="s">
        <v>489</v>
      </c>
      <c r="E223" s="51">
        <v>645648</v>
      </c>
      <c r="F223" s="51">
        <f>ROUND(E223,0)+44124</f>
        <v>689772</v>
      </c>
      <c r="G223" s="50">
        <f t="shared" si="27"/>
        <v>44124</v>
      </c>
      <c r="H223" s="273" t="s">
        <v>540</v>
      </c>
      <c r="I223" s="53">
        <f>630489.35-209673</f>
        <v>420816.35</v>
      </c>
      <c r="J223" s="54">
        <f t="shared" si="28"/>
        <v>0.65177364446261732</v>
      </c>
      <c r="K223" s="53"/>
    </row>
    <row r="224" spans="2:11" s="47" customFormat="1" ht="16.899999999999999" customHeight="1" x14ac:dyDescent="0.25">
      <c r="B224" s="70"/>
      <c r="C224" s="171" t="s">
        <v>541</v>
      </c>
      <c r="D224" s="142" t="s">
        <v>493</v>
      </c>
      <c r="E224" s="51">
        <v>386671</v>
      </c>
      <c r="F224" s="51">
        <f>ROUND(E224,0)-44124</f>
        <v>342547</v>
      </c>
      <c r="G224" s="50">
        <f t="shared" si="27"/>
        <v>-44124</v>
      </c>
      <c r="H224" s="274"/>
      <c r="I224" s="197">
        <v>194104</v>
      </c>
      <c r="J224" s="54">
        <f t="shared" si="28"/>
        <v>0.50198747772654273</v>
      </c>
      <c r="K224" s="53"/>
    </row>
    <row r="225" spans="2:13" s="47" customFormat="1" ht="16.899999999999999" customHeight="1" x14ac:dyDescent="0.25">
      <c r="B225" s="70" t="s">
        <v>542</v>
      </c>
      <c r="C225" s="171" t="s">
        <v>543</v>
      </c>
      <c r="D225" s="142" t="s">
        <v>544</v>
      </c>
      <c r="E225" s="51">
        <v>11200</v>
      </c>
      <c r="F225" s="51">
        <f t="shared" si="35"/>
        <v>11200</v>
      </c>
      <c r="G225" s="50">
        <f t="shared" si="27"/>
        <v>0</v>
      </c>
      <c r="H225" s="52"/>
      <c r="I225" s="53">
        <v>4337.32</v>
      </c>
      <c r="J225" s="54">
        <f t="shared" si="28"/>
        <v>0.38726071428571424</v>
      </c>
      <c r="K225" s="53"/>
    </row>
    <row r="226" spans="2:13" s="154" customFormat="1" ht="15.6" customHeight="1" x14ac:dyDescent="0.25">
      <c r="B226" s="98" t="s">
        <v>545</v>
      </c>
      <c r="C226" s="171" t="s">
        <v>546</v>
      </c>
      <c r="D226" s="142" t="s">
        <v>547</v>
      </c>
      <c r="E226" s="51">
        <v>76968</v>
      </c>
      <c r="F226" s="51">
        <f t="shared" si="35"/>
        <v>76968</v>
      </c>
      <c r="G226" s="50">
        <f t="shared" si="27"/>
        <v>0</v>
      </c>
      <c r="H226" s="52"/>
      <c r="I226" s="53">
        <f>14473.66+32268.87</f>
        <v>46742.53</v>
      </c>
      <c r="J226" s="54">
        <f t="shared" si="28"/>
        <v>0.60729822783494436</v>
      </c>
      <c r="K226" s="53"/>
    </row>
    <row r="227" spans="2:13" s="154" customFormat="1" ht="15" customHeight="1" x14ac:dyDescent="0.25">
      <c r="B227" s="98" t="s">
        <v>548</v>
      </c>
      <c r="C227" s="171" t="s">
        <v>549</v>
      </c>
      <c r="D227" s="142" t="s">
        <v>550</v>
      </c>
      <c r="E227" s="51">
        <v>0</v>
      </c>
      <c r="F227" s="51">
        <f t="shared" si="35"/>
        <v>0</v>
      </c>
      <c r="G227" s="50">
        <f t="shared" si="27"/>
        <v>0</v>
      </c>
      <c r="H227" s="52"/>
      <c r="I227" s="53"/>
      <c r="J227" s="54" t="e">
        <f t="shared" si="28"/>
        <v>#DIV/0!</v>
      </c>
      <c r="K227" s="53"/>
    </row>
    <row r="228" spans="2:13" s="47" customFormat="1" ht="15.75" customHeight="1" x14ac:dyDescent="0.25">
      <c r="B228" s="70"/>
      <c r="C228" s="165" t="s">
        <v>551</v>
      </c>
      <c r="D228" s="173" t="s">
        <v>552</v>
      </c>
      <c r="E228" s="174">
        <f>E229+E233+E234+E235+E236+E237+E238+E239+E240+E241+E242</f>
        <v>8902379</v>
      </c>
      <c r="F228" s="174">
        <f>F229+F233+F234+F235+F236+F237+F238+F239+F240+F241+F242</f>
        <v>8976780</v>
      </c>
      <c r="G228" s="175">
        <f t="shared" si="27"/>
        <v>74401</v>
      </c>
      <c r="H228" s="175"/>
      <c r="I228" s="177">
        <f>I229+I233+I234+I235+I236+I237+I238+I239+I240+I241+I242</f>
        <v>4972761.51</v>
      </c>
      <c r="J228" s="178">
        <f t="shared" si="28"/>
        <v>0.55858793587646627</v>
      </c>
      <c r="K228" s="177"/>
    </row>
    <row r="229" spans="2:13" s="47" customFormat="1" ht="27" customHeight="1" x14ac:dyDescent="0.25">
      <c r="B229" s="70" t="s">
        <v>553</v>
      </c>
      <c r="C229" s="171" t="s">
        <v>554</v>
      </c>
      <c r="D229" s="142" t="s">
        <v>486</v>
      </c>
      <c r="E229" s="51">
        <f>SUM(E230:E232)</f>
        <v>4520522</v>
      </c>
      <c r="F229" s="51">
        <f>SUM(F230:F232)</f>
        <v>4589323</v>
      </c>
      <c r="G229" s="50">
        <f t="shared" si="27"/>
        <v>68801</v>
      </c>
      <c r="H229" s="73"/>
      <c r="I229" s="53">
        <f>SUM(I230:I232)</f>
        <v>2833781.99</v>
      </c>
      <c r="J229" s="54">
        <f t="shared" si="28"/>
        <v>0.62687052291748613</v>
      </c>
      <c r="K229" s="53"/>
    </row>
    <row r="230" spans="2:13" s="231" customFormat="1" ht="30.75" customHeight="1" x14ac:dyDescent="0.25">
      <c r="B230" s="228"/>
      <c r="C230" s="188" t="s">
        <v>555</v>
      </c>
      <c r="D230" s="189" t="s">
        <v>530</v>
      </c>
      <c r="E230" s="229">
        <v>4199279</v>
      </c>
      <c r="F230" s="229">
        <f>ROUND(E230,0)-1113</f>
        <v>4198166</v>
      </c>
      <c r="G230" s="191">
        <f t="shared" si="27"/>
        <v>-1113</v>
      </c>
      <c r="H230" s="199" t="s">
        <v>556</v>
      </c>
      <c r="I230" s="230">
        <f>2763406.18-I232-I241</f>
        <v>2623492.1700000004</v>
      </c>
      <c r="J230" s="54">
        <f t="shared" si="28"/>
        <v>0.62474824130523365</v>
      </c>
      <c r="K230" s="230"/>
    </row>
    <row r="231" spans="2:13" s="231" customFormat="1" ht="32.450000000000003" customHeight="1" x14ac:dyDescent="0.25">
      <c r="B231" s="228"/>
      <c r="C231" s="188" t="s">
        <v>557</v>
      </c>
      <c r="D231" s="189" t="s">
        <v>533</v>
      </c>
      <c r="E231" s="229">
        <v>321243</v>
      </c>
      <c r="F231" s="229">
        <f>ROUND(E231,0)+59839+10075</f>
        <v>391157</v>
      </c>
      <c r="G231" s="191">
        <f t="shared" si="27"/>
        <v>69914</v>
      </c>
      <c r="H231" s="199" t="s">
        <v>150</v>
      </c>
      <c r="I231" s="230">
        <v>168946.36</v>
      </c>
      <c r="J231" s="54">
        <f t="shared" si="28"/>
        <v>0.52591452576398545</v>
      </c>
      <c r="K231" s="230"/>
    </row>
    <row r="232" spans="2:13" s="231" customFormat="1" ht="17.25" customHeight="1" x14ac:dyDescent="0.25">
      <c r="B232" s="228"/>
      <c r="C232" s="188" t="s">
        <v>558</v>
      </c>
      <c r="D232" s="189" t="s">
        <v>535</v>
      </c>
      <c r="E232" s="229">
        <v>0</v>
      </c>
      <c r="F232" s="229">
        <f t="shared" ref="F232:F241" si="36">ROUND(E232,0)</f>
        <v>0</v>
      </c>
      <c r="G232" s="191">
        <f t="shared" si="27"/>
        <v>0</v>
      </c>
      <c r="H232" s="199"/>
      <c r="I232" s="230">
        <v>41343.46</v>
      </c>
      <c r="J232" s="232" t="e">
        <f t="shared" si="28"/>
        <v>#DIV/0!</v>
      </c>
      <c r="K232" s="230"/>
    </row>
    <row r="233" spans="2:13" s="47" customFormat="1" ht="15" customHeight="1" x14ac:dyDescent="0.25">
      <c r="B233" s="70" t="s">
        <v>559</v>
      </c>
      <c r="C233" s="171" t="s">
        <v>560</v>
      </c>
      <c r="D233" s="142" t="s">
        <v>489</v>
      </c>
      <c r="E233" s="51">
        <v>861741</v>
      </c>
      <c r="F233" s="51">
        <f>ROUND(E233,0)+42399</f>
        <v>904140</v>
      </c>
      <c r="G233" s="50">
        <f t="shared" ref="G233:G263" si="37">F233-E233</f>
        <v>42399</v>
      </c>
      <c r="H233" s="273" t="s">
        <v>625</v>
      </c>
      <c r="I233" s="53">
        <f>1079482.88-303495.26-I237-I238</f>
        <v>697863.96999999986</v>
      </c>
      <c r="J233" s="54">
        <f t="shared" ref="J233:J263" si="38">I233/E233</f>
        <v>0.80983029703820508</v>
      </c>
      <c r="K233" s="53"/>
      <c r="M233" s="231"/>
    </row>
    <row r="234" spans="2:13" s="47" customFormat="1" ht="96" customHeight="1" x14ac:dyDescent="0.25">
      <c r="B234" s="70"/>
      <c r="C234" s="171" t="s">
        <v>561</v>
      </c>
      <c r="D234" s="142" t="s">
        <v>493</v>
      </c>
      <c r="E234" s="51">
        <v>813750</v>
      </c>
      <c r="F234" s="51">
        <f>ROUND(E234,0)-42399+4000+4000</f>
        <v>779351</v>
      </c>
      <c r="G234" s="50">
        <f t="shared" si="37"/>
        <v>-34399</v>
      </c>
      <c r="H234" s="274"/>
      <c r="I234" s="197">
        <f>309371+50109</f>
        <v>359480</v>
      </c>
      <c r="J234" s="54">
        <f t="shared" si="38"/>
        <v>0.44175729646697387</v>
      </c>
      <c r="K234" s="53"/>
      <c r="M234" s="231"/>
    </row>
    <row r="235" spans="2:13" s="47" customFormat="1" ht="15" customHeight="1" x14ac:dyDescent="0.25">
      <c r="B235" s="47" t="s">
        <v>562</v>
      </c>
      <c r="C235" s="171" t="s">
        <v>563</v>
      </c>
      <c r="D235" s="142" t="s">
        <v>564</v>
      </c>
      <c r="E235" s="51">
        <v>51949</v>
      </c>
      <c r="F235" s="51">
        <f t="shared" si="36"/>
        <v>51949</v>
      </c>
      <c r="G235" s="50">
        <f t="shared" si="37"/>
        <v>0</v>
      </c>
      <c r="H235" s="52"/>
      <c r="I235" s="53">
        <v>77833.850000000006</v>
      </c>
      <c r="J235" s="54">
        <f t="shared" si="38"/>
        <v>1.4982742689945909</v>
      </c>
      <c r="K235" s="53"/>
    </row>
    <row r="236" spans="2:13" s="47" customFormat="1" ht="16.149999999999999" customHeight="1" x14ac:dyDescent="0.25">
      <c r="B236" s="70" t="s">
        <v>565</v>
      </c>
      <c r="C236" s="171" t="s">
        <v>566</v>
      </c>
      <c r="D236" s="142" t="s">
        <v>544</v>
      </c>
      <c r="E236" s="51">
        <v>41000</v>
      </c>
      <c r="F236" s="51">
        <f t="shared" si="36"/>
        <v>41000</v>
      </c>
      <c r="G236" s="50">
        <f t="shared" si="37"/>
        <v>0</v>
      </c>
      <c r="H236" s="52"/>
      <c r="I236" s="53">
        <v>21511.39</v>
      </c>
      <c r="J236" s="54">
        <f t="shared" si="38"/>
        <v>0.52466804878048778</v>
      </c>
      <c r="K236" s="53"/>
    </row>
    <row r="237" spans="2:13" s="233" customFormat="1" ht="34.15" customHeight="1" x14ac:dyDescent="0.25">
      <c r="B237" s="70" t="s">
        <v>559</v>
      </c>
      <c r="C237" s="171" t="s">
        <v>567</v>
      </c>
      <c r="D237" s="142" t="s">
        <v>283</v>
      </c>
      <c r="E237" s="51">
        <v>300000</v>
      </c>
      <c r="F237" s="51">
        <f t="shared" si="36"/>
        <v>300000</v>
      </c>
      <c r="G237" s="50">
        <f t="shared" si="37"/>
        <v>0</v>
      </c>
      <c r="H237" s="73"/>
      <c r="I237" s="53">
        <v>78123.649999999994</v>
      </c>
      <c r="J237" s="54">
        <f t="shared" si="38"/>
        <v>0.26041216666666667</v>
      </c>
      <c r="K237" s="53" t="s">
        <v>568</v>
      </c>
    </row>
    <row r="238" spans="2:13" s="233" customFormat="1" ht="44.25" customHeight="1" x14ac:dyDescent="0.25">
      <c r="B238" s="70" t="s">
        <v>559</v>
      </c>
      <c r="C238" s="171" t="s">
        <v>569</v>
      </c>
      <c r="D238" s="142" t="s">
        <v>285</v>
      </c>
      <c r="E238" s="51">
        <v>542914</v>
      </c>
      <c r="F238" s="51">
        <f t="shared" si="36"/>
        <v>542914</v>
      </c>
      <c r="G238" s="50">
        <f t="shared" si="37"/>
        <v>0</v>
      </c>
      <c r="H238" s="73"/>
      <c r="I238" s="53">
        <v>0</v>
      </c>
      <c r="J238" s="54">
        <f t="shared" si="38"/>
        <v>0</v>
      </c>
      <c r="K238" s="53"/>
    </row>
    <row r="239" spans="2:13" s="233" customFormat="1" ht="18" customHeight="1" x14ac:dyDescent="0.25">
      <c r="B239" s="234" t="s">
        <v>570</v>
      </c>
      <c r="C239" s="171" t="s">
        <v>571</v>
      </c>
      <c r="D239" s="142" t="s">
        <v>572</v>
      </c>
      <c r="E239" s="51">
        <v>707203</v>
      </c>
      <c r="F239" s="51">
        <f>ROUND(E239,0)+20720</f>
        <v>727923</v>
      </c>
      <c r="G239" s="50">
        <f t="shared" si="37"/>
        <v>20720</v>
      </c>
      <c r="H239" s="273" t="s">
        <v>626</v>
      </c>
      <c r="I239" s="53">
        <f>472058.19-148410</f>
        <v>323648.19</v>
      </c>
      <c r="J239" s="54">
        <f t="shared" si="38"/>
        <v>0.45764538611968558</v>
      </c>
      <c r="K239" s="53"/>
    </row>
    <row r="240" spans="2:13" s="233" customFormat="1" ht="97.9" customHeight="1" x14ac:dyDescent="0.25">
      <c r="B240" s="234"/>
      <c r="C240" s="171" t="s">
        <v>573</v>
      </c>
      <c r="D240" s="142" t="s">
        <v>574</v>
      </c>
      <c r="E240" s="51">
        <v>451553</v>
      </c>
      <c r="F240" s="51">
        <f>ROUND(E240,0)-20720+1600-4000</f>
        <v>428433</v>
      </c>
      <c r="G240" s="50">
        <f t="shared" si="37"/>
        <v>-23120</v>
      </c>
      <c r="H240" s="274"/>
      <c r="I240" s="197">
        <v>203304</v>
      </c>
      <c r="J240" s="54">
        <f t="shared" si="38"/>
        <v>0.45023286303047483</v>
      </c>
      <c r="K240" s="53"/>
    </row>
    <row r="241" spans="2:11" s="233" customFormat="1" ht="15" customHeight="1" x14ac:dyDescent="0.25">
      <c r="B241" s="70" t="s">
        <v>553</v>
      </c>
      <c r="C241" s="171" t="s">
        <v>575</v>
      </c>
      <c r="D241" s="142" t="s">
        <v>576</v>
      </c>
      <c r="E241" s="51">
        <v>263797</v>
      </c>
      <c r="F241" s="51">
        <f t="shared" si="36"/>
        <v>263797</v>
      </c>
      <c r="G241" s="50">
        <f t="shared" si="37"/>
        <v>0</v>
      </c>
      <c r="H241" s="73"/>
      <c r="I241" s="53">
        <v>98570.55</v>
      </c>
      <c r="J241" s="54">
        <f t="shared" si="38"/>
        <v>0.37366061782355375</v>
      </c>
      <c r="K241" s="53"/>
    </row>
    <row r="242" spans="2:11" s="241" customFormat="1" ht="13.9" customHeight="1" x14ac:dyDescent="0.25">
      <c r="B242" s="234"/>
      <c r="C242" s="235" t="s">
        <v>577</v>
      </c>
      <c r="D242" s="236" t="s">
        <v>578</v>
      </c>
      <c r="E242" s="238">
        <f>E243+E244+E245</f>
        <v>347950</v>
      </c>
      <c r="F242" s="238">
        <f t="shared" ref="F242" si="39">F243+F244+F245</f>
        <v>347950</v>
      </c>
      <c r="G242" s="237">
        <f t="shared" si="37"/>
        <v>0</v>
      </c>
      <c r="H242" s="237"/>
      <c r="I242" s="239">
        <f>I243+I244+I245</f>
        <v>278643.92</v>
      </c>
      <c r="J242" s="240">
        <f t="shared" si="38"/>
        <v>0.80081597930737169</v>
      </c>
      <c r="K242" s="239"/>
    </row>
    <row r="243" spans="2:11" s="233" customFormat="1" ht="12" customHeight="1" x14ac:dyDescent="0.25">
      <c r="B243" s="98" t="s">
        <v>579</v>
      </c>
      <c r="C243" s="242" t="s">
        <v>580</v>
      </c>
      <c r="D243" s="142" t="s">
        <v>581</v>
      </c>
      <c r="E243" s="51">
        <v>100105</v>
      </c>
      <c r="F243" s="51">
        <f>ROUND(E243,0)</f>
        <v>100105</v>
      </c>
      <c r="G243" s="50">
        <f t="shared" si="37"/>
        <v>0</v>
      </c>
      <c r="H243" s="73"/>
      <c r="I243" s="53">
        <v>89319.77</v>
      </c>
      <c r="J243" s="54">
        <f t="shared" si="38"/>
        <v>0.89226082613256086</v>
      </c>
      <c r="K243" s="53"/>
    </row>
    <row r="244" spans="2:11" s="154" customFormat="1" ht="13.9" customHeight="1" x14ac:dyDescent="0.25">
      <c r="B244" s="234" t="s">
        <v>582</v>
      </c>
      <c r="C244" s="242" t="s">
        <v>583</v>
      </c>
      <c r="D244" s="142" t="s">
        <v>584</v>
      </c>
      <c r="E244" s="51">
        <v>232189</v>
      </c>
      <c r="F244" s="51">
        <f>ROUND(E244,0)</f>
        <v>232189</v>
      </c>
      <c r="G244" s="50">
        <f t="shared" si="37"/>
        <v>0</v>
      </c>
      <c r="H244" s="52"/>
      <c r="I244" s="53">
        <f>187608.15-10539</f>
        <v>177069.15</v>
      </c>
      <c r="J244" s="54">
        <f t="shared" si="38"/>
        <v>0.76260783241238816</v>
      </c>
      <c r="K244" s="53"/>
    </row>
    <row r="245" spans="2:11" s="154" customFormat="1" ht="13.9" customHeight="1" x14ac:dyDescent="0.25">
      <c r="B245" s="234"/>
      <c r="C245" s="242" t="s">
        <v>585</v>
      </c>
      <c r="D245" s="142" t="s">
        <v>433</v>
      </c>
      <c r="E245" s="51">
        <v>15656</v>
      </c>
      <c r="F245" s="51">
        <f>ROUND(E245,0)</f>
        <v>15656</v>
      </c>
      <c r="G245" s="50">
        <f t="shared" si="37"/>
        <v>0</v>
      </c>
      <c r="H245" s="52"/>
      <c r="I245" s="197">
        <v>12255</v>
      </c>
      <c r="J245" s="54">
        <f t="shared" si="38"/>
        <v>0.78276699029126218</v>
      </c>
      <c r="K245" s="53"/>
    </row>
    <row r="246" spans="2:11" ht="18" customHeight="1" x14ac:dyDescent="0.25">
      <c r="C246" s="243" t="s">
        <v>586</v>
      </c>
      <c r="D246" s="173" t="s">
        <v>587</v>
      </c>
      <c r="E246" s="175">
        <f>E247+E248</f>
        <v>1819829</v>
      </c>
      <c r="F246" s="175">
        <f t="shared" ref="F246" si="40">F247+F248</f>
        <v>1819829</v>
      </c>
      <c r="G246" s="174">
        <f t="shared" si="37"/>
        <v>0</v>
      </c>
      <c r="H246" s="174"/>
      <c r="I246" s="177">
        <f>I247+I248</f>
        <v>1206208.53</v>
      </c>
      <c r="J246" s="178">
        <f t="shared" si="38"/>
        <v>0.66281421496195525</v>
      </c>
      <c r="K246" s="177"/>
    </row>
    <row r="247" spans="2:11" ht="13.5" customHeight="1" x14ac:dyDescent="0.25">
      <c r="C247" s="171" t="s">
        <v>588</v>
      </c>
      <c r="D247" s="142" t="s">
        <v>589</v>
      </c>
      <c r="E247" s="51">
        <v>735359</v>
      </c>
      <c r="F247" s="51">
        <f>ROUND(E247,0)</f>
        <v>735359</v>
      </c>
      <c r="G247" s="50">
        <f t="shared" si="37"/>
        <v>0</v>
      </c>
      <c r="H247" s="73"/>
      <c r="I247" s="53">
        <v>517936.03</v>
      </c>
      <c r="J247" s="54">
        <f t="shared" si="38"/>
        <v>0.70433085064573908</v>
      </c>
      <c r="K247" s="53"/>
    </row>
    <row r="248" spans="2:11" ht="25.9" customHeight="1" x14ac:dyDescent="0.25">
      <c r="C248" s="171" t="s">
        <v>588</v>
      </c>
      <c r="D248" s="142" t="s">
        <v>489</v>
      </c>
      <c r="E248" s="51">
        <v>1084470</v>
      </c>
      <c r="F248" s="51">
        <f>ROUND(E248,0)</f>
        <v>1084470</v>
      </c>
      <c r="G248" s="50">
        <f t="shared" si="37"/>
        <v>0</v>
      </c>
      <c r="H248" s="244"/>
      <c r="I248" s="53">
        <v>688272.5</v>
      </c>
      <c r="J248" s="54">
        <f t="shared" si="38"/>
        <v>0.63466255405866456</v>
      </c>
      <c r="K248" s="74"/>
    </row>
    <row r="249" spans="2:11" ht="16.149999999999999" customHeight="1" x14ac:dyDescent="0.25">
      <c r="C249" s="245" t="s">
        <v>590</v>
      </c>
      <c r="D249" s="173" t="s">
        <v>591</v>
      </c>
      <c r="E249" s="175">
        <f>E250+E251</f>
        <v>845947</v>
      </c>
      <c r="F249" s="175">
        <f>F250+F251</f>
        <v>845947</v>
      </c>
      <c r="G249" s="174">
        <f t="shared" si="37"/>
        <v>0</v>
      </c>
      <c r="H249" s="182"/>
      <c r="I249" s="177">
        <f>I250+I251</f>
        <v>430576.26</v>
      </c>
      <c r="J249" s="178">
        <f t="shared" si="38"/>
        <v>0.50898727698070922</v>
      </c>
      <c r="K249" s="177"/>
    </row>
    <row r="250" spans="2:11" ht="16.5" customHeight="1" x14ac:dyDescent="0.25">
      <c r="B250" s="98" t="s">
        <v>592</v>
      </c>
      <c r="C250" s="171" t="s">
        <v>593</v>
      </c>
      <c r="D250" s="142" t="s">
        <v>589</v>
      </c>
      <c r="E250" s="51">
        <v>313283</v>
      </c>
      <c r="F250" s="51">
        <f t="shared" ref="F250:F256" si="41">ROUND(E250,0)</f>
        <v>313283</v>
      </c>
      <c r="G250" s="50">
        <f t="shared" si="37"/>
        <v>0</v>
      </c>
      <c r="H250" s="52"/>
      <c r="I250" s="53">
        <v>187539.27</v>
      </c>
      <c r="J250" s="54">
        <f t="shared" si="38"/>
        <v>0.59862574732749618</v>
      </c>
      <c r="K250" s="53"/>
    </row>
    <row r="251" spans="2:11" ht="16.5" customHeight="1" x14ac:dyDescent="0.25">
      <c r="B251" s="98" t="s">
        <v>594</v>
      </c>
      <c r="C251" s="171" t="s">
        <v>595</v>
      </c>
      <c r="D251" s="142" t="s">
        <v>596</v>
      </c>
      <c r="E251" s="51">
        <v>532664</v>
      </c>
      <c r="F251" s="51">
        <f t="shared" si="41"/>
        <v>532664</v>
      </c>
      <c r="G251" s="50">
        <f t="shared" si="37"/>
        <v>0</v>
      </c>
      <c r="H251" s="73"/>
      <c r="I251" s="53">
        <v>243036.99</v>
      </c>
      <c r="J251" s="54">
        <f t="shared" si="38"/>
        <v>0.4562669712989802</v>
      </c>
      <c r="K251" s="74"/>
    </row>
    <row r="252" spans="2:11" ht="70.900000000000006" customHeight="1" x14ac:dyDescent="0.25">
      <c r="B252" s="98" t="s">
        <v>597</v>
      </c>
      <c r="C252" s="245" t="s">
        <v>598</v>
      </c>
      <c r="D252" s="173" t="s">
        <v>599</v>
      </c>
      <c r="E252" s="81">
        <v>508477</v>
      </c>
      <c r="F252" s="81">
        <f>ROUND(E252,0)+1500+30428</f>
        <v>540405</v>
      </c>
      <c r="G252" s="80">
        <f t="shared" si="37"/>
        <v>31928</v>
      </c>
      <c r="H252" s="103" t="s">
        <v>627</v>
      </c>
      <c r="I252" s="104">
        <f>265682.29+61276.3</f>
        <v>326958.58999999997</v>
      </c>
      <c r="J252" s="105">
        <f t="shared" si="38"/>
        <v>0.64301549529280566</v>
      </c>
      <c r="K252" s="104" t="s">
        <v>600</v>
      </c>
    </row>
    <row r="253" spans="2:11" ht="25.9" customHeight="1" x14ac:dyDescent="0.25">
      <c r="B253" s="98"/>
      <c r="C253" s="245" t="s">
        <v>601</v>
      </c>
      <c r="D253" s="173" t="s">
        <v>602</v>
      </c>
      <c r="E253" s="81">
        <v>3000</v>
      </c>
      <c r="F253" s="81">
        <f t="shared" si="41"/>
        <v>3000</v>
      </c>
      <c r="G253" s="80">
        <f t="shared" si="37"/>
        <v>0</v>
      </c>
      <c r="H253" s="103"/>
      <c r="I253" s="104">
        <v>0</v>
      </c>
      <c r="J253" s="105">
        <f t="shared" si="38"/>
        <v>0</v>
      </c>
      <c r="K253" s="104"/>
    </row>
    <row r="254" spans="2:11" ht="30.6" customHeight="1" x14ac:dyDescent="0.25">
      <c r="B254" s="98" t="s">
        <v>207</v>
      </c>
      <c r="C254" s="243" t="s">
        <v>603</v>
      </c>
      <c r="D254" s="173" t="s">
        <v>208</v>
      </c>
      <c r="E254" s="81">
        <v>5600179</v>
      </c>
      <c r="F254" s="81">
        <f t="shared" si="41"/>
        <v>5600179</v>
      </c>
      <c r="G254" s="80">
        <f t="shared" si="37"/>
        <v>0</v>
      </c>
      <c r="H254" s="103"/>
      <c r="I254" s="104">
        <v>49368</v>
      </c>
      <c r="J254" s="105">
        <f t="shared" si="38"/>
        <v>8.8154325067109456E-3</v>
      </c>
      <c r="K254" s="104" t="s">
        <v>606</v>
      </c>
    </row>
    <row r="255" spans="2:11" ht="55.15" customHeight="1" x14ac:dyDescent="0.25">
      <c r="B255" s="98" t="s">
        <v>607</v>
      </c>
      <c r="C255" s="243" t="s">
        <v>604</v>
      </c>
      <c r="D255" s="173" t="s">
        <v>608</v>
      </c>
      <c r="E255" s="81">
        <v>267067</v>
      </c>
      <c r="F255" s="81">
        <f t="shared" si="41"/>
        <v>267067</v>
      </c>
      <c r="G255" s="80">
        <f t="shared" si="37"/>
        <v>0</v>
      </c>
      <c r="H255" s="103"/>
      <c r="I255" s="104"/>
      <c r="J255" s="105">
        <f t="shared" si="38"/>
        <v>0</v>
      </c>
      <c r="K255" s="104"/>
    </row>
    <row r="256" spans="2:11" ht="31.5" customHeight="1" thickBot="1" x14ac:dyDescent="0.3">
      <c r="B256" s="246" t="s">
        <v>609</v>
      </c>
      <c r="C256" s="243" t="s">
        <v>605</v>
      </c>
      <c r="D256" s="173" t="s">
        <v>610</v>
      </c>
      <c r="E256" s="81">
        <v>285277</v>
      </c>
      <c r="F256" s="81">
        <f t="shared" si="41"/>
        <v>285277</v>
      </c>
      <c r="G256" s="80">
        <f t="shared" si="37"/>
        <v>0</v>
      </c>
      <c r="H256" s="103"/>
      <c r="I256" s="104"/>
      <c r="J256" s="105">
        <f t="shared" si="38"/>
        <v>0</v>
      </c>
      <c r="K256" s="104"/>
    </row>
    <row r="257" spans="3:12" s="154" customFormat="1" ht="17.45" hidden="1" customHeight="1" outlineLevel="1" x14ac:dyDescent="0.2">
      <c r="C257" s="168" t="s">
        <v>115</v>
      </c>
      <c r="D257" s="169" t="s">
        <v>611</v>
      </c>
      <c r="E257" s="58">
        <f>SUM(E258:E259)</f>
        <v>0</v>
      </c>
      <c r="F257" s="58">
        <f>SUM(F258:F259)</f>
        <v>0</v>
      </c>
      <c r="G257" s="57">
        <f t="shared" si="37"/>
        <v>0</v>
      </c>
      <c r="H257" s="59"/>
      <c r="I257" s="60">
        <f>SUM(I258:I259)</f>
        <v>0</v>
      </c>
      <c r="J257" s="61" t="e">
        <f t="shared" si="38"/>
        <v>#DIV/0!</v>
      </c>
      <c r="K257" s="60"/>
    </row>
    <row r="258" spans="3:12" ht="17.25" hidden="1" customHeight="1" outlineLevel="1" x14ac:dyDescent="0.25">
      <c r="C258" s="165" t="s">
        <v>612</v>
      </c>
      <c r="D258" s="166" t="s">
        <v>613</v>
      </c>
      <c r="E258" s="81"/>
      <c r="F258" s="81"/>
      <c r="G258" s="80">
        <f t="shared" si="37"/>
        <v>0</v>
      </c>
      <c r="H258" s="103"/>
      <c r="I258" s="104"/>
      <c r="J258" s="105" t="e">
        <f t="shared" si="38"/>
        <v>#DIV/0!</v>
      </c>
      <c r="K258" s="104"/>
    </row>
    <row r="259" spans="3:12" ht="15.75" hidden="1" outlineLevel="1" thickBot="1" x14ac:dyDescent="0.3">
      <c r="C259" s="165" t="s">
        <v>614</v>
      </c>
      <c r="D259" s="166" t="s">
        <v>615</v>
      </c>
      <c r="E259" s="81"/>
      <c r="F259" s="81"/>
      <c r="G259" s="80">
        <f t="shared" si="37"/>
        <v>0</v>
      </c>
      <c r="H259" s="103"/>
      <c r="I259" s="104"/>
      <c r="J259" s="105" t="e">
        <f t="shared" si="38"/>
        <v>#DIV/0!</v>
      </c>
      <c r="K259" s="104"/>
    </row>
    <row r="260" spans="3:12" s="154" customFormat="1" ht="30" customHeight="1" collapsed="1" thickBot="1" x14ac:dyDescent="0.25">
      <c r="C260" s="247"/>
      <c r="D260" s="248" t="s">
        <v>616</v>
      </c>
      <c r="E260" s="249">
        <f>E112+E122+E123+E128+E130+E160+E175+E195+E257</f>
        <v>71564822</v>
      </c>
      <c r="F260" s="249">
        <f>F112+F122+F123+F128+F130+F160+F175+F195+F257</f>
        <v>71620010</v>
      </c>
      <c r="G260" s="250">
        <f t="shared" si="37"/>
        <v>55188</v>
      </c>
      <c r="H260" s="250"/>
      <c r="I260" s="251" t="e">
        <f>I112+#REF!+I122+I123+I128+I130+I160+I175+I195+I257+0.5</f>
        <v>#REF!</v>
      </c>
      <c r="J260" s="252" t="e">
        <f t="shared" si="38"/>
        <v>#REF!</v>
      </c>
      <c r="K260" s="251"/>
      <c r="L260" s="253"/>
    </row>
    <row r="261" spans="3:12" s="47" customFormat="1" ht="76.150000000000006" customHeight="1" thickBot="1" x14ac:dyDescent="0.3">
      <c r="C261" s="168" t="s">
        <v>215</v>
      </c>
      <c r="D261" s="169" t="s">
        <v>617</v>
      </c>
      <c r="E261" s="58">
        <v>3467034</v>
      </c>
      <c r="F261" s="58">
        <f>ROUND(E261,0)</f>
        <v>3467034</v>
      </c>
      <c r="G261" s="57">
        <f t="shared" si="37"/>
        <v>0</v>
      </c>
      <c r="H261" s="73"/>
      <c r="I261" s="60">
        <v>2792855.71</v>
      </c>
      <c r="J261" s="61">
        <f t="shared" si="38"/>
        <v>0.80554609790385667</v>
      </c>
      <c r="K261" s="60"/>
    </row>
    <row r="262" spans="3:12" ht="15.75" thickBot="1" x14ac:dyDescent="0.3">
      <c r="C262" s="247"/>
      <c r="D262" s="248" t="s">
        <v>618</v>
      </c>
      <c r="E262" s="255">
        <f>E260+E261</f>
        <v>75031856</v>
      </c>
      <c r="F262" s="255">
        <f>F260+F261</f>
        <v>75087044</v>
      </c>
      <c r="G262" s="254">
        <f t="shared" si="37"/>
        <v>55188</v>
      </c>
      <c r="H262" s="256"/>
      <c r="I262" s="257" t="e">
        <f>I260+I261</f>
        <v>#REF!</v>
      </c>
      <c r="J262" s="258" t="e">
        <f t="shared" si="38"/>
        <v>#REF!</v>
      </c>
      <c r="K262" s="257"/>
    </row>
    <row r="263" spans="3:12" ht="16.5" thickTop="1" thickBot="1" x14ac:dyDescent="0.3">
      <c r="C263" s="259" t="s">
        <v>619</v>
      </c>
      <c r="D263" s="260" t="s">
        <v>620</v>
      </c>
      <c r="E263" s="262">
        <f>E106-E262</f>
        <v>64907.20000000298</v>
      </c>
      <c r="F263" s="262">
        <f>F106-F262-0.2</f>
        <v>64906.8</v>
      </c>
      <c r="G263" s="261">
        <f t="shared" si="37"/>
        <v>-0.40000000297732186</v>
      </c>
      <c r="H263" s="263"/>
      <c r="I263" s="264" t="e">
        <f>I106-I262-0.2</f>
        <v>#REF!</v>
      </c>
      <c r="J263" s="265" t="e">
        <f t="shared" si="38"/>
        <v>#REF!</v>
      </c>
      <c r="K263" s="264"/>
    </row>
    <row r="264" spans="3:12" x14ac:dyDescent="0.25">
      <c r="I264" s="266"/>
    </row>
    <row r="265" spans="3:12" x14ac:dyDescent="0.25">
      <c r="I265" s="15" t="e">
        <f>I245+I240+I234+I224+I212+I208+I204+I200+I187+I181+I172+#REF!+I159+I158+I155+I154+#REF!+I127</f>
        <v>#REF!</v>
      </c>
    </row>
    <row r="266" spans="3:12" x14ac:dyDescent="0.25">
      <c r="I266" s="267" t="e">
        <f>#REF!-I265</f>
        <v>#REF!</v>
      </c>
    </row>
  </sheetData>
  <mergeCells count="16">
    <mergeCell ref="H223:H224"/>
    <mergeCell ref="H233:H234"/>
    <mergeCell ref="H239:H240"/>
    <mergeCell ref="C109:D109"/>
    <mergeCell ref="C110:D110"/>
    <mergeCell ref="H158:H159"/>
    <mergeCell ref="I137:I138"/>
    <mergeCell ref="J137:J138"/>
    <mergeCell ref="H171:H172"/>
    <mergeCell ref="H199:H200"/>
    <mergeCell ref="C2:D2"/>
    <mergeCell ref="C3:D3"/>
    <mergeCell ref="I52:I53"/>
    <mergeCell ref="J52:J53"/>
    <mergeCell ref="I55:I56"/>
    <mergeCell ref="J55:J56"/>
  </mergeCells>
  <conditionalFormatting sqref="E263:G263">
    <cfRule type="cellIs" dxfId="1" priority="2" operator="lessThan">
      <formula>0</formula>
    </cfRule>
  </conditionalFormatting>
  <conditionalFormatting sqref="I263:K263">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2025.gada budzeta plans_apvieno</vt:lpstr>
      <vt:lpstr>'2025.gada budzeta plans_apvieno'!Print_Area</vt:lpstr>
      <vt:lpstr>'2025.gada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2025-03-12T15:03:26Z</dcterms:created>
  <dcterms:modified xsi:type="dcterms:W3CDTF">2025-03-20T08:18:59Z</dcterms:modified>
</cp:coreProperties>
</file>