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Šī_darbgrāmata"/>
  <mc:AlternateContent xmlns:mc="http://schemas.openxmlformats.org/markup-compatibility/2006">
    <mc:Choice Requires="x15">
      <x15ac:absPath xmlns:x15ac="http://schemas.microsoft.com/office/spreadsheetml/2010/11/ac" url="https://andadminadazi-my.sharepoint.com/personal/jevgenija_adazi_lv/Documents/Desktop/e-parakstiem/e-noraksti/"/>
    </mc:Choice>
  </mc:AlternateContent>
  <xr:revisionPtr revIDLastSave="0" documentId="8_{40DBE75B-3565-4D46-B4FD-3F84D8F13CB1}" xr6:coauthVersionLast="47" xr6:coauthVersionMax="47" xr10:uidLastSave="{00000000-0000-0000-0000-000000000000}"/>
  <bookViews>
    <workbookView xWindow="-120" yWindow="-120" windowWidth="29040" windowHeight="15720" tabRatio="823" xr2:uid="{00000000-000D-0000-FFFF-FFFF00000000}"/>
  </bookViews>
  <sheets>
    <sheet name="2024.gada budzeta plans_apvieno" sheetId="70" r:id="rId1"/>
    <sheet name="Grafiki_budžeta_izpilde" sheetId="128" r:id="rId2"/>
  </sheets>
  <definedNames>
    <definedName name="_0812" localSheetId="1">#REF!</definedName>
    <definedName name="_0812">#REF!</definedName>
    <definedName name="_xlnm._FilterDatabase" localSheetId="0" hidden="1">'2024.gada budzeta plans_apvieno'!#REF!</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 localSheetId="1">#REF!</definedName>
    <definedName name="KolonnasNosaukums1">#REF!</definedName>
    <definedName name="Parvadataji" localSheetId="0">#REF!</definedName>
    <definedName name="Parvadataji">#REF!</definedName>
    <definedName name="_xlnm.Print_Area" localSheetId="0">'2024.gada budzeta plans_apvieno'!$A$1:$AI$302</definedName>
    <definedName name="_xlnm.Print_Titles" localSheetId="0">'2024.gada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67" i="70" l="1"/>
  <c r="AD236" i="70"/>
  <c r="AG120" i="70"/>
  <c r="AG119" i="70"/>
  <c r="AG115" i="70"/>
  <c r="AG155" i="70"/>
  <c r="AG219" i="70"/>
  <c r="AG209" i="70"/>
  <c r="AG269" i="70"/>
  <c r="AG257" i="70"/>
  <c r="AG274" i="70"/>
  <c r="AG234" i="70"/>
  <c r="AG233" i="70" l="1"/>
  <c r="AG242" i="70"/>
  <c r="AG241" i="70" s="1"/>
  <c r="AG279" i="70"/>
  <c r="AG237" i="70"/>
  <c r="AG245" i="70"/>
  <c r="AG203" i="70"/>
  <c r="AG179" i="70"/>
  <c r="AG180" i="70"/>
  <c r="AG106" i="70" l="1"/>
  <c r="AG99" i="70"/>
  <c r="AG35" i="70"/>
  <c r="AG273" i="70" l="1"/>
  <c r="AG268" i="70" s="1"/>
  <c r="AG255" i="70"/>
  <c r="AG253" i="70"/>
  <c r="AG267" i="70"/>
  <c r="AG260" i="70"/>
  <c r="AG287" i="70"/>
  <c r="AH176" i="70"/>
  <c r="AH96" i="70"/>
  <c r="AH59" i="70"/>
  <c r="AH49" i="70"/>
  <c r="AG181" i="70"/>
  <c r="AG131" i="70"/>
  <c r="AG103" i="70"/>
  <c r="AG101" i="70"/>
  <c r="AG265" i="70" l="1"/>
  <c r="AG46" i="70"/>
  <c r="AG65" i="70"/>
  <c r="AG54" i="70"/>
  <c r="AG41" i="70" l="1"/>
  <c r="AG38" i="70"/>
  <c r="AG26" i="70"/>
  <c r="AG39" i="70"/>
  <c r="AD220" i="70" l="1"/>
  <c r="AH220" i="70" s="1"/>
  <c r="AD213" i="70"/>
  <c r="AH213" i="70" s="1"/>
  <c r="AE176" i="70"/>
  <c r="AE129" i="70"/>
  <c r="AD129" i="70"/>
  <c r="AE96" i="70"/>
  <c r="AE59" i="70"/>
  <c r="AE49" i="70"/>
  <c r="AA220" i="70" l="1"/>
  <c r="AE220" i="70" s="1"/>
  <c r="AA213" i="70"/>
  <c r="AE213" i="70" s="1"/>
  <c r="AB176" i="70"/>
  <c r="AB129" i="70"/>
  <c r="AA129" i="70"/>
  <c r="AB96" i="70"/>
  <c r="AB59" i="70"/>
  <c r="AB49" i="70"/>
  <c r="X220" i="70" l="1"/>
  <c r="AB220" i="70" s="1"/>
  <c r="X213" i="70"/>
  <c r="AB213" i="70" s="1"/>
  <c r="Y176" i="70"/>
  <c r="Y129" i="70"/>
  <c r="X129" i="70"/>
  <c r="Y96" i="70"/>
  <c r="Y59" i="70"/>
  <c r="Y49" i="70"/>
  <c r="AG178" i="70" l="1"/>
  <c r="AG118" i="70" l="1"/>
  <c r="AG108" i="70"/>
  <c r="AG98" i="70"/>
  <c r="AG92" i="70"/>
  <c r="AG88" i="70"/>
  <c r="AG81" i="70"/>
  <c r="AG80" i="70"/>
  <c r="AG50" i="70"/>
  <c r="AG47" i="70"/>
  <c r="AG37" i="70"/>
  <c r="AG34" i="70"/>
  <c r="AG27" i="70"/>
  <c r="AG23" i="70"/>
  <c r="AG19" i="70"/>
  <c r="AG16" i="70"/>
  <c r="AG13" i="70"/>
  <c r="AG10" i="70"/>
  <c r="AG7" i="70"/>
  <c r="AG22" i="70" l="1"/>
  <c r="AG43" i="70"/>
  <c r="AG6" i="70"/>
  <c r="AG66" i="70"/>
  <c r="AG102" i="70"/>
  <c r="AG9" i="70"/>
  <c r="AG91" i="70" l="1"/>
  <c r="U220" i="70" l="1"/>
  <c r="U213" i="70"/>
  <c r="V176" i="70"/>
  <c r="V129" i="70"/>
  <c r="U129" i="70"/>
  <c r="V96" i="70"/>
  <c r="V59" i="70"/>
  <c r="V49" i="70"/>
  <c r="Y213" i="70" l="1"/>
  <c r="Y220" i="70"/>
  <c r="AG264" i="70"/>
  <c r="S129" i="70" l="1"/>
  <c r="R129" i="70"/>
  <c r="AG129" i="70" l="1"/>
  <c r="AH129" i="70"/>
  <c r="AG296" i="70"/>
  <c r="AG293" i="70"/>
  <c r="AG284" i="70"/>
  <c r="AG281" i="70"/>
  <c r="AG252" i="70"/>
  <c r="AG247" i="70"/>
  <c r="AG243" i="70"/>
  <c r="AG216" i="70"/>
  <c r="AG208" i="70"/>
  <c r="AG193" i="70"/>
  <c r="AG151" i="70"/>
  <c r="AG148" i="70"/>
  <c r="AG144" i="70"/>
  <c r="AG215" i="70" l="1"/>
  <c r="AG172" i="70"/>
  <c r="AG154" i="70"/>
  <c r="AG143" i="70"/>
  <c r="AG202" i="70"/>
  <c r="AG231" i="70"/>
  <c r="AG235" i="70"/>
  <c r="AG277" i="70"/>
  <c r="AG239" i="70"/>
  <c r="AG251" i="70"/>
  <c r="AG218" i="70"/>
  <c r="AG207" i="70" l="1"/>
  <c r="AG150" i="70"/>
  <c r="AG192" i="70"/>
  <c r="AG263" i="70"/>
  <c r="AG229" i="70" l="1"/>
  <c r="S176" i="70"/>
  <c r="R226" i="70" l="1"/>
  <c r="U226" i="70" s="1"/>
  <c r="X226" i="70" s="1"/>
  <c r="R220" i="70"/>
  <c r="R213" i="70"/>
  <c r="S96" i="70"/>
  <c r="S59" i="70"/>
  <c r="S49" i="70"/>
  <c r="Y226" i="70" l="1"/>
  <c r="AA226" i="70"/>
  <c r="V226" i="70"/>
  <c r="V213" i="70"/>
  <c r="V220" i="70"/>
  <c r="S226" i="70"/>
  <c r="O220" i="70"/>
  <c r="S220" i="70" s="1"/>
  <c r="O213" i="70"/>
  <c r="S213" i="70" s="1"/>
  <c r="AB226" i="70" l="1"/>
  <c r="AD226" i="70"/>
  <c r="AE226" i="70" l="1"/>
  <c r="AH226" i="70"/>
  <c r="P226" i="70" l="1"/>
  <c r="H207" i="70" l="1"/>
  <c r="K208" i="70" l="1"/>
  <c r="K207" i="70" s="1"/>
  <c r="P213" i="70"/>
  <c r="P220" i="70"/>
  <c r="O298" i="70" l="1"/>
  <c r="R298" i="70" s="1"/>
  <c r="U298" i="70" s="1"/>
  <c r="X298" i="70" s="1"/>
  <c r="O297" i="70"/>
  <c r="R297" i="70" s="1"/>
  <c r="O169" i="70"/>
  <c r="R169" i="70" s="1"/>
  <c r="U169" i="70" s="1"/>
  <c r="O170" i="70"/>
  <c r="R170" i="70" s="1"/>
  <c r="U170" i="70" s="1"/>
  <c r="X170" i="70" s="1"/>
  <c r="O171" i="70"/>
  <c r="R171" i="70" s="1"/>
  <c r="U171" i="70" s="1"/>
  <c r="X171" i="70" s="1"/>
  <c r="Y171" i="70" l="1"/>
  <c r="AA171" i="70"/>
  <c r="Y170" i="70"/>
  <c r="AA170" i="70"/>
  <c r="Y298" i="70"/>
  <c r="AA298" i="70"/>
  <c r="X169" i="70"/>
  <c r="V171" i="70"/>
  <c r="V298" i="70"/>
  <c r="V170" i="70"/>
  <c r="V169" i="70"/>
  <c r="U297" i="70"/>
  <c r="S171" i="70"/>
  <c r="S170" i="70"/>
  <c r="S298" i="70"/>
  <c r="S169" i="70"/>
  <c r="S297" i="70"/>
  <c r="R296" i="70"/>
  <c r="AB298" i="70" l="1"/>
  <c r="AD298" i="70"/>
  <c r="AB170" i="70"/>
  <c r="AD170" i="70"/>
  <c r="AB171" i="70"/>
  <c r="AD171" i="70"/>
  <c r="Y169" i="70"/>
  <c r="AA169" i="70"/>
  <c r="X297" i="70"/>
  <c r="AA297" i="70" s="1"/>
  <c r="AD297" i="70" s="1"/>
  <c r="AH297" i="70" s="1"/>
  <c r="U296" i="70"/>
  <c r="V297" i="70"/>
  <c r="AE170" i="70" l="1"/>
  <c r="AH170" i="70"/>
  <c r="AE171" i="70"/>
  <c r="AH171" i="70"/>
  <c r="AE298" i="70"/>
  <c r="AH298" i="70"/>
  <c r="AE297" i="70"/>
  <c r="AD296" i="70"/>
  <c r="AH296" i="70" s="1"/>
  <c r="AB169" i="70"/>
  <c r="AD169" i="70"/>
  <c r="AA296" i="70"/>
  <c r="AB297" i="70"/>
  <c r="X296" i="70"/>
  <c r="Y296" i="70" s="1"/>
  <c r="Y297" i="70"/>
  <c r="V296" i="70"/>
  <c r="AE169" i="70" l="1"/>
  <c r="AH169" i="70"/>
  <c r="AE296" i="70"/>
  <c r="AB296" i="70"/>
  <c r="L184" i="70" l="1"/>
  <c r="L49" i="70"/>
  <c r="M184" i="70" l="1"/>
  <c r="O184" i="70"/>
  <c r="P184" i="70" l="1"/>
  <c r="R184" i="70"/>
  <c r="U184" i="70" s="1"/>
  <c r="X184" i="70" s="1"/>
  <c r="Y184" i="70" l="1"/>
  <c r="AA184" i="70"/>
  <c r="V184" i="70"/>
  <c r="S184" i="70"/>
  <c r="AB184" i="70" l="1"/>
  <c r="AD184" i="70"/>
  <c r="AE184" i="70" l="1"/>
  <c r="AH184" i="70"/>
  <c r="J184" i="70" l="1"/>
  <c r="I238" i="70" l="1"/>
  <c r="I234" i="70"/>
  <c r="I204" i="70"/>
  <c r="I275" i="70"/>
  <c r="I280" i="70"/>
  <c r="I269" i="70"/>
  <c r="L275" i="70" l="1"/>
  <c r="L234" i="70"/>
  <c r="O234" i="70" s="1"/>
  <c r="R234" i="70" s="1"/>
  <c r="L269" i="70"/>
  <c r="O269" i="70" s="1"/>
  <c r="R269" i="70" s="1"/>
  <c r="L280" i="70"/>
  <c r="J204" i="70"/>
  <c r="L204" i="70"/>
  <c r="O204" i="70" s="1"/>
  <c r="L238" i="70"/>
  <c r="I255" i="70"/>
  <c r="L255" i="70" s="1"/>
  <c r="I48" i="70"/>
  <c r="U269" i="70" l="1"/>
  <c r="U234" i="70"/>
  <c r="X234" i="70" s="1"/>
  <c r="R204" i="70"/>
  <c r="U204" i="70" s="1"/>
  <c r="X204" i="70" s="1"/>
  <c r="AA204" i="70" s="1"/>
  <c r="S269" i="70"/>
  <c r="S234" i="70"/>
  <c r="O280" i="70"/>
  <c r="M280" i="70"/>
  <c r="P269" i="70"/>
  <c r="M269" i="70"/>
  <c r="M234" i="70"/>
  <c r="P204" i="70"/>
  <c r="M204" i="70"/>
  <c r="O255" i="70"/>
  <c r="M255" i="70"/>
  <c r="M275" i="70"/>
  <c r="O275" i="70"/>
  <c r="I47" i="70"/>
  <c r="L48" i="70"/>
  <c r="O48" i="70" s="1"/>
  <c r="R48" i="70" s="1"/>
  <c r="O238" i="70"/>
  <c r="R238" i="70" s="1"/>
  <c r="M238" i="70"/>
  <c r="AD204" i="70" l="1"/>
  <c r="AH204" i="70" s="1"/>
  <c r="AA234" i="70"/>
  <c r="Y204" i="70"/>
  <c r="AB204" i="70"/>
  <c r="V269" i="70"/>
  <c r="X269" i="70"/>
  <c r="V234" i="70"/>
  <c r="Y234" i="70"/>
  <c r="Y269" i="70"/>
  <c r="U238" i="70"/>
  <c r="V204" i="70"/>
  <c r="U48" i="70"/>
  <c r="S204" i="70"/>
  <c r="P255" i="70"/>
  <c r="R255" i="70"/>
  <c r="U255" i="70" s="1"/>
  <c r="X255" i="70" s="1"/>
  <c r="P275" i="70"/>
  <c r="R275" i="70"/>
  <c r="U275" i="70" s="1"/>
  <c r="P238" i="70"/>
  <c r="S238" i="70"/>
  <c r="R47" i="70"/>
  <c r="S48" i="70"/>
  <c r="P280" i="70"/>
  <c r="R280" i="70"/>
  <c r="U280" i="70" s="1"/>
  <c r="X280" i="70" s="1"/>
  <c r="P234" i="70"/>
  <c r="AD234" i="70" l="1"/>
  <c r="AH234" i="70" s="1"/>
  <c r="AE204" i="70"/>
  <c r="AA269" i="70"/>
  <c r="AB234" i="70"/>
  <c r="Y255" i="70"/>
  <c r="AA255" i="70"/>
  <c r="Y280" i="70"/>
  <c r="AA280" i="70"/>
  <c r="X275" i="70"/>
  <c r="V238" i="70"/>
  <c r="X238" i="70"/>
  <c r="X48" i="70"/>
  <c r="AA48" i="70" s="1"/>
  <c r="AD48" i="70" s="1"/>
  <c r="AH48" i="70" s="1"/>
  <c r="V275" i="70"/>
  <c r="V255" i="70"/>
  <c r="V280" i="70"/>
  <c r="V48" i="70"/>
  <c r="U47" i="70"/>
  <c r="S280" i="70"/>
  <c r="S275" i="70"/>
  <c r="S255" i="70"/>
  <c r="AD269" i="70" l="1"/>
  <c r="AH269" i="70" s="1"/>
  <c r="AE234" i="70"/>
  <c r="AE48" i="70"/>
  <c r="AD47" i="70"/>
  <c r="AB280" i="70"/>
  <c r="AD280" i="70"/>
  <c r="AA238" i="70"/>
  <c r="AA275" i="70"/>
  <c r="Y238" i="70"/>
  <c r="AB255" i="70"/>
  <c r="AD255" i="70"/>
  <c r="AB269" i="70"/>
  <c r="Y275" i="70"/>
  <c r="AB48" i="70"/>
  <c r="AA47" i="70"/>
  <c r="Y48" i="70"/>
  <c r="X47" i="70"/>
  <c r="Y47" i="70" s="1"/>
  <c r="V47" i="70"/>
  <c r="F265" i="70"/>
  <c r="I265" i="70" s="1"/>
  <c r="AE280" i="70" l="1"/>
  <c r="AH280" i="70"/>
  <c r="AE255" i="70"/>
  <c r="AH255" i="70"/>
  <c r="AE47" i="70"/>
  <c r="AH47" i="70"/>
  <c r="AD275" i="70"/>
  <c r="AH275" i="70" s="1"/>
  <c r="AD238" i="70"/>
  <c r="AH238" i="70" s="1"/>
  <c r="AE269" i="70"/>
  <c r="AB238" i="70"/>
  <c r="AB275" i="70"/>
  <c r="AB47" i="70"/>
  <c r="L265" i="70"/>
  <c r="AE238" i="70" l="1"/>
  <c r="AE275" i="70"/>
  <c r="O265" i="70"/>
  <c r="R265" i="70" s="1"/>
  <c r="M265" i="70"/>
  <c r="U265" i="70" l="1"/>
  <c r="X265" i="70" s="1"/>
  <c r="AA265" i="70" s="1"/>
  <c r="AD265" i="70" s="1"/>
  <c r="AH265" i="70" s="1"/>
  <c r="S265" i="70"/>
  <c r="P265" i="70"/>
  <c r="AE265" i="70" l="1"/>
  <c r="AB265" i="70"/>
  <c r="V265" i="70"/>
  <c r="Y265" i="70" l="1"/>
  <c r="H193" i="70" l="1"/>
  <c r="J234" i="70"/>
  <c r="H299" i="70"/>
  <c r="F300" i="70"/>
  <c r="J275" i="70"/>
  <c r="H263" i="70"/>
  <c r="J280" i="70"/>
  <c r="J269" i="70"/>
  <c r="J265" i="70"/>
  <c r="J255" i="70"/>
  <c r="J238" i="70"/>
  <c r="F241" i="70" l="1"/>
  <c r="F177" i="70"/>
  <c r="G265" i="70" l="1"/>
  <c r="F254" i="70"/>
  <c r="I254" i="70" s="1"/>
  <c r="L254" i="70" s="1"/>
  <c r="F253" i="70"/>
  <c r="I253" i="70" s="1"/>
  <c r="G255" i="70"/>
  <c r="F267" i="70"/>
  <c r="F266" i="70"/>
  <c r="I266" i="70" s="1"/>
  <c r="L253" i="70" l="1"/>
  <c r="I252" i="70"/>
  <c r="O254" i="70"/>
  <c r="M254" i="70"/>
  <c r="L266" i="70"/>
  <c r="G254" i="70"/>
  <c r="I267" i="70"/>
  <c r="G266" i="70"/>
  <c r="G267" i="70"/>
  <c r="J254" i="70"/>
  <c r="G253" i="70"/>
  <c r="J253" i="70"/>
  <c r="F264" i="70"/>
  <c r="F252" i="70"/>
  <c r="P254" i="70" l="1"/>
  <c r="R254" i="70"/>
  <c r="U254" i="70" s="1"/>
  <c r="J267" i="70"/>
  <c r="L267" i="70"/>
  <c r="L264" i="70" s="1"/>
  <c r="O266" i="70"/>
  <c r="R266" i="70" s="1"/>
  <c r="M266" i="70"/>
  <c r="L252" i="70"/>
  <c r="O253" i="70"/>
  <c r="R253" i="70" s="1"/>
  <c r="M253" i="70"/>
  <c r="I264" i="70"/>
  <c r="J266" i="70"/>
  <c r="J252" i="70"/>
  <c r="F257" i="70"/>
  <c r="F256" i="70"/>
  <c r="F248" i="70"/>
  <c r="I248" i="70" s="1"/>
  <c r="F53" i="70"/>
  <c r="F52" i="70"/>
  <c r="X254" i="70" l="1"/>
  <c r="U266" i="70"/>
  <c r="X266" i="70" s="1"/>
  <c r="AA266" i="70" s="1"/>
  <c r="AD266" i="70" s="1"/>
  <c r="AH266" i="70" s="1"/>
  <c r="U253" i="70"/>
  <c r="X253" i="70" s="1"/>
  <c r="AA253" i="70" s="1"/>
  <c r="AD253" i="70" s="1"/>
  <c r="AH253" i="70" s="1"/>
  <c r="S254" i="70"/>
  <c r="R252" i="70"/>
  <c r="S253" i="70"/>
  <c r="S266" i="70"/>
  <c r="P253" i="70"/>
  <c r="O252" i="70"/>
  <c r="P266" i="70"/>
  <c r="O267" i="70"/>
  <c r="M267" i="70"/>
  <c r="AE253" i="70" l="1"/>
  <c r="AE266" i="70"/>
  <c r="AB253" i="70"/>
  <c r="AB266" i="70"/>
  <c r="Y254" i="70"/>
  <c r="AA254" i="70"/>
  <c r="V254" i="70"/>
  <c r="V266" i="70"/>
  <c r="U252" i="70"/>
  <c r="V253" i="70"/>
  <c r="P267" i="70"/>
  <c r="R267" i="70"/>
  <c r="S252" i="70"/>
  <c r="O264" i="70"/>
  <c r="F242" i="70"/>
  <c r="AB254" i="70" l="1"/>
  <c r="AD254" i="70"/>
  <c r="AH254" i="70" s="1"/>
  <c r="AA252" i="70"/>
  <c r="Y266" i="70"/>
  <c r="Y253" i="70"/>
  <c r="X252" i="70"/>
  <c r="U267" i="70"/>
  <c r="V252" i="70"/>
  <c r="S267" i="70"/>
  <c r="R264" i="70"/>
  <c r="AE254" i="70" l="1"/>
  <c r="AD252" i="70"/>
  <c r="AH252" i="70" s="1"/>
  <c r="AB252" i="70"/>
  <c r="X267" i="70"/>
  <c r="AA267" i="70" s="1"/>
  <c r="AH267" i="70" s="1"/>
  <c r="Y252" i="70"/>
  <c r="V267" i="70"/>
  <c r="U264" i="70"/>
  <c r="S264" i="70"/>
  <c r="AE267" i="70" l="1"/>
  <c r="AD264" i="70"/>
  <c r="AH264" i="70" s="1"/>
  <c r="AE252" i="70"/>
  <c r="AB267" i="70"/>
  <c r="AA264" i="70"/>
  <c r="Y267" i="70"/>
  <c r="X264" i="70"/>
  <c r="V264" i="70"/>
  <c r="F105" i="70"/>
  <c r="F179" i="70"/>
  <c r="I179" i="70" s="1"/>
  <c r="AE264" i="70" l="1"/>
  <c r="AB264" i="70"/>
  <c r="Y264" i="70"/>
  <c r="L179" i="70"/>
  <c r="O179" i="70" s="1"/>
  <c r="R179" i="70" s="1"/>
  <c r="U179" i="70" l="1"/>
  <c r="X179" i="70" s="1"/>
  <c r="AA179" i="70" s="1"/>
  <c r="AD179" i="70" s="1"/>
  <c r="AH179" i="70" s="1"/>
  <c r="S179" i="70"/>
  <c r="AE179" i="70" l="1"/>
  <c r="AB179" i="70"/>
  <c r="V179" i="70"/>
  <c r="Y179" i="70" l="1"/>
  <c r="F65" i="70" l="1"/>
  <c r="F135" i="70"/>
  <c r="F283" i="70" l="1"/>
  <c r="F198" i="70" l="1"/>
  <c r="F75" i="70"/>
  <c r="I75" i="70" s="1"/>
  <c r="J75" i="70" l="1"/>
  <c r="L75" i="70"/>
  <c r="F209" i="70"/>
  <c r="I209" i="70" s="1"/>
  <c r="F223" i="70"/>
  <c r="I223" i="70" s="1"/>
  <c r="F109" i="70"/>
  <c r="F110" i="70" s="1"/>
  <c r="M75" i="70" l="1"/>
  <c r="O75" i="70"/>
  <c r="P75" i="70" l="1"/>
  <c r="R75" i="70"/>
  <c r="U75" i="70" s="1"/>
  <c r="X75" i="70" s="1"/>
  <c r="F147" i="70"/>
  <c r="I147" i="70" s="1"/>
  <c r="F44" i="70"/>
  <c r="F282" i="70"/>
  <c r="Y75" i="70" l="1"/>
  <c r="AA75" i="70"/>
  <c r="V75" i="70"/>
  <c r="S75" i="70"/>
  <c r="F219" i="70"/>
  <c r="I219" i="70" s="1"/>
  <c r="L219" i="70" s="1"/>
  <c r="O219" i="70" s="1"/>
  <c r="R219" i="70" s="1"/>
  <c r="AB75" i="70" l="1"/>
  <c r="AD75" i="70"/>
  <c r="U219" i="70"/>
  <c r="S219" i="70"/>
  <c r="AE75" i="70" l="1"/>
  <c r="AH75" i="70"/>
  <c r="X219" i="70"/>
  <c r="AA219" i="70" s="1"/>
  <c r="AD219" i="70" s="1"/>
  <c r="AH219" i="70" s="1"/>
  <c r="V219" i="70"/>
  <c r="F60" i="70"/>
  <c r="I60" i="70" s="1"/>
  <c r="F274" i="70"/>
  <c r="I274" i="70" s="1"/>
  <c r="F268" i="70"/>
  <c r="I268" i="70" s="1"/>
  <c r="L268" i="70" s="1"/>
  <c r="AE219" i="70" l="1"/>
  <c r="AB219" i="70"/>
  <c r="Y219" i="70"/>
  <c r="M268" i="70"/>
  <c r="O268" i="70"/>
  <c r="R268" i="70" s="1"/>
  <c r="U268" i="70" l="1"/>
  <c r="X268" i="70" s="1"/>
  <c r="AA268" i="70" s="1"/>
  <c r="AD268" i="70" s="1"/>
  <c r="AH268" i="70" s="1"/>
  <c r="S268" i="70"/>
  <c r="F237" i="70"/>
  <c r="I237" i="70" s="1"/>
  <c r="F233" i="70"/>
  <c r="I233" i="70" s="1"/>
  <c r="AE268" i="70" l="1"/>
  <c r="AB268" i="70"/>
  <c r="V268" i="70"/>
  <c r="L233" i="70"/>
  <c r="O233" i="70" s="1"/>
  <c r="R233" i="70" s="1"/>
  <c r="L237" i="70"/>
  <c r="F175" i="70"/>
  <c r="F67" i="70"/>
  <c r="F115" i="70"/>
  <c r="Y268" i="70" l="1"/>
  <c r="U233" i="70"/>
  <c r="X233" i="70" s="1"/>
  <c r="S233" i="70"/>
  <c r="AA233" i="70" l="1"/>
  <c r="Y233" i="70"/>
  <c r="V233" i="70"/>
  <c r="AD233" i="70" l="1"/>
  <c r="AH233" i="70" s="1"/>
  <c r="AB233" i="70"/>
  <c r="F142" i="70"/>
  <c r="F262" i="70"/>
  <c r="F221" i="70"/>
  <c r="F118" i="70"/>
  <c r="F272" i="70"/>
  <c r="I272" i="70" s="1"/>
  <c r="AE233" i="70" l="1"/>
  <c r="I142" i="70"/>
  <c r="F203" i="70"/>
  <c r="G204" i="70"/>
  <c r="G234" i="70"/>
  <c r="G238" i="70"/>
  <c r="G275" i="70"/>
  <c r="G269" i="70"/>
  <c r="F279" i="70"/>
  <c r="I279" i="70" s="1"/>
  <c r="G203" i="70" l="1"/>
  <c r="I203" i="70"/>
  <c r="F202" i="70"/>
  <c r="J203" i="70" l="1"/>
  <c r="L203" i="70"/>
  <c r="O203" i="70" s="1"/>
  <c r="R203" i="70" s="1"/>
  <c r="I202" i="70"/>
  <c r="G280" i="70"/>
  <c r="F276" i="70"/>
  <c r="U203" i="70" l="1"/>
  <c r="S203" i="70"/>
  <c r="R202" i="70"/>
  <c r="L202" i="70"/>
  <c r="M203" i="70"/>
  <c r="F278" i="70"/>
  <c r="F244" i="70"/>
  <c r="I244" i="70" s="1"/>
  <c r="F232" i="70"/>
  <c r="F236" i="70"/>
  <c r="F240" i="70"/>
  <c r="I240" i="70" s="1"/>
  <c r="X203" i="70" l="1"/>
  <c r="AA203" i="70" s="1"/>
  <c r="AD203" i="70" s="1"/>
  <c r="AH203" i="70" s="1"/>
  <c r="V203" i="70"/>
  <c r="U202" i="70"/>
  <c r="L240" i="70"/>
  <c r="L244" i="70"/>
  <c r="P203" i="70"/>
  <c r="O202" i="70"/>
  <c r="S202" i="70" s="1"/>
  <c r="F231" i="70"/>
  <c r="I232" i="70"/>
  <c r="F235" i="70"/>
  <c r="I236" i="70"/>
  <c r="F277" i="70"/>
  <c r="G277" i="70" s="1"/>
  <c r="I278" i="70"/>
  <c r="F106" i="70"/>
  <c r="AE203" i="70" l="1"/>
  <c r="AD202" i="70"/>
  <c r="AH202" i="70" s="1"/>
  <c r="AB203" i="70"/>
  <c r="AA202" i="70"/>
  <c r="Y203" i="70"/>
  <c r="X202" i="70"/>
  <c r="Y202" i="70" s="1"/>
  <c r="V202" i="70"/>
  <c r="L278" i="70"/>
  <c r="L232" i="70"/>
  <c r="L231" i="70" s="1"/>
  <c r="L236" i="70"/>
  <c r="L235" i="70" s="1"/>
  <c r="F285" i="70"/>
  <c r="I285" i="70" s="1"/>
  <c r="F289" i="70"/>
  <c r="F222" i="70"/>
  <c r="F294" i="70"/>
  <c r="AE202" i="70" l="1"/>
  <c r="AB202" i="70"/>
  <c r="F217" i="70"/>
  <c r="F149" i="70" l="1"/>
  <c r="F292" i="70"/>
  <c r="G292" i="70" l="1"/>
  <c r="I292" i="70"/>
  <c r="L292" i="70" s="1"/>
  <c r="F273" i="70"/>
  <c r="F271" i="70"/>
  <c r="I271" i="70" s="1"/>
  <c r="F259" i="70"/>
  <c r="I259" i="70" s="1"/>
  <c r="F170" i="70"/>
  <c r="F171" i="70"/>
  <c r="F169" i="70"/>
  <c r="F166" i="70"/>
  <c r="F167" i="70"/>
  <c r="F168" i="70"/>
  <c r="F165" i="70"/>
  <c r="F162" i="70"/>
  <c r="F163" i="70"/>
  <c r="F164" i="70"/>
  <c r="F158" i="70"/>
  <c r="F155" i="70"/>
  <c r="I155" i="70" s="1"/>
  <c r="F74" i="70"/>
  <c r="G75" i="70"/>
  <c r="F73" i="70"/>
  <c r="F70" i="70"/>
  <c r="F71" i="70"/>
  <c r="F72" i="70"/>
  <c r="G59" i="70"/>
  <c r="F56" i="70"/>
  <c r="I56" i="70" s="1"/>
  <c r="F55" i="70"/>
  <c r="I55" i="70" s="1"/>
  <c r="F38" i="70"/>
  <c r="I38" i="70" s="1"/>
  <c r="L155" i="70" l="1"/>
  <c r="O155" i="70" s="1"/>
  <c r="R155" i="70" s="1"/>
  <c r="U155" i="70" s="1"/>
  <c r="O292" i="70"/>
  <c r="R292" i="70" s="1"/>
  <c r="M292" i="70"/>
  <c r="L38" i="70"/>
  <c r="O38" i="70" s="1"/>
  <c r="R38" i="70" s="1"/>
  <c r="J292" i="70"/>
  <c r="G73" i="70"/>
  <c r="I73" i="70"/>
  <c r="G163" i="70"/>
  <c r="I163" i="70"/>
  <c r="G72" i="70"/>
  <c r="I72" i="70"/>
  <c r="G71" i="70"/>
  <c r="I71" i="70"/>
  <c r="G167" i="70"/>
  <c r="I167" i="70"/>
  <c r="L167" i="70" s="1"/>
  <c r="G74" i="70"/>
  <c r="I74" i="70"/>
  <c r="G164" i="70"/>
  <c r="I164" i="70"/>
  <c r="G165" i="70"/>
  <c r="I165" i="70"/>
  <c r="G168" i="70"/>
  <c r="I168" i="70"/>
  <c r="G70" i="70"/>
  <c r="I70" i="70"/>
  <c r="G166" i="70"/>
  <c r="I166" i="70"/>
  <c r="G273" i="70"/>
  <c r="I273" i="70"/>
  <c r="L273" i="70" s="1"/>
  <c r="G162" i="70"/>
  <c r="I162" i="70"/>
  <c r="L162" i="70" s="1"/>
  <c r="X155" i="70" l="1"/>
  <c r="AA155" i="70" s="1"/>
  <c r="AD155" i="70" s="1"/>
  <c r="AH155" i="70" s="1"/>
  <c r="U38" i="70"/>
  <c r="X38" i="70" s="1"/>
  <c r="AA38" i="70" s="1"/>
  <c r="AD38" i="70" s="1"/>
  <c r="AH38" i="70" s="1"/>
  <c r="U292" i="70"/>
  <c r="X292" i="70" s="1"/>
  <c r="S38" i="70"/>
  <c r="P292" i="70"/>
  <c r="S292" i="70"/>
  <c r="S155" i="70"/>
  <c r="M162" i="70"/>
  <c r="O162" i="70"/>
  <c r="R162" i="70" s="1"/>
  <c r="J164" i="70"/>
  <c r="L164" i="70"/>
  <c r="J73" i="70"/>
  <c r="L73" i="70"/>
  <c r="O273" i="70"/>
  <c r="M273" i="70"/>
  <c r="J74" i="70"/>
  <c r="L74" i="70"/>
  <c r="J166" i="70"/>
  <c r="L166" i="70"/>
  <c r="M167" i="70"/>
  <c r="O167" i="70"/>
  <c r="J70" i="70"/>
  <c r="L70" i="70"/>
  <c r="J71" i="70"/>
  <c r="L71" i="70"/>
  <c r="J165" i="70"/>
  <c r="L165" i="70"/>
  <c r="J168" i="70"/>
  <c r="L168" i="70"/>
  <c r="J72" i="70"/>
  <c r="L72" i="70"/>
  <c r="J163" i="70"/>
  <c r="L163" i="70"/>
  <c r="J167" i="70"/>
  <c r="J162" i="70"/>
  <c r="J273" i="70"/>
  <c r="AE38" i="70" l="1"/>
  <c r="AE155" i="70"/>
  <c r="AB38" i="70"/>
  <c r="Y292" i="70"/>
  <c r="AA292" i="70"/>
  <c r="AB155" i="70"/>
  <c r="Y155" i="70"/>
  <c r="V292" i="70"/>
  <c r="U162" i="70"/>
  <c r="X162" i="70" s="1"/>
  <c r="V155" i="70"/>
  <c r="V38" i="70"/>
  <c r="P167" i="70"/>
  <c r="R167" i="70"/>
  <c r="U167" i="70" s="1"/>
  <c r="X167" i="70" s="1"/>
  <c r="P162" i="70"/>
  <c r="S162" i="70"/>
  <c r="P273" i="70"/>
  <c r="R273" i="70"/>
  <c r="U273" i="70" s="1"/>
  <c r="M166" i="70"/>
  <c r="O166" i="70"/>
  <c r="M165" i="70"/>
  <c r="O165" i="70"/>
  <c r="O168" i="70"/>
  <c r="R168" i="70" s="1"/>
  <c r="U168" i="70" s="1"/>
  <c r="M168" i="70"/>
  <c r="M164" i="70"/>
  <c r="O164" i="70"/>
  <c r="M73" i="70"/>
  <c r="O73" i="70"/>
  <c r="M163" i="70"/>
  <c r="O163" i="70"/>
  <c r="R163" i="70" s="1"/>
  <c r="U163" i="70" s="1"/>
  <c r="M74" i="70"/>
  <c r="O74" i="70"/>
  <c r="M71" i="70"/>
  <c r="O71" i="70"/>
  <c r="M70" i="70"/>
  <c r="O70" i="70"/>
  <c r="R70" i="70" s="1"/>
  <c r="U70" i="70" s="1"/>
  <c r="M72" i="70"/>
  <c r="O72" i="70"/>
  <c r="AB292" i="70" l="1"/>
  <c r="AD292" i="70"/>
  <c r="Y162" i="70"/>
  <c r="AA162" i="70"/>
  <c r="Y167" i="70"/>
  <c r="AA167" i="70"/>
  <c r="X273" i="70"/>
  <c r="X70" i="70"/>
  <c r="X168" i="70"/>
  <c r="X163" i="70"/>
  <c r="Y38" i="70"/>
  <c r="V167" i="70"/>
  <c r="V162" i="70"/>
  <c r="V163" i="70"/>
  <c r="V168" i="70"/>
  <c r="V70" i="70"/>
  <c r="S273" i="70"/>
  <c r="S167" i="70"/>
  <c r="P70" i="70"/>
  <c r="S70" i="70"/>
  <c r="P168" i="70"/>
  <c r="S168" i="70"/>
  <c r="P166" i="70"/>
  <c r="R166" i="70"/>
  <c r="U166" i="70" s="1"/>
  <c r="X166" i="70" s="1"/>
  <c r="P165" i="70"/>
  <c r="R165" i="70"/>
  <c r="U165" i="70" s="1"/>
  <c r="X165" i="70" s="1"/>
  <c r="P71" i="70"/>
  <c r="R71" i="70"/>
  <c r="U71" i="70" s="1"/>
  <c r="X71" i="70" s="1"/>
  <c r="P74" i="70"/>
  <c r="R74" i="70"/>
  <c r="U74" i="70" s="1"/>
  <c r="X74" i="70" s="1"/>
  <c r="P163" i="70"/>
  <c r="S163" i="70"/>
  <c r="P73" i="70"/>
  <c r="R73" i="70"/>
  <c r="U73" i="70" s="1"/>
  <c r="X73" i="70" s="1"/>
  <c r="P72" i="70"/>
  <c r="R72" i="70"/>
  <c r="U72" i="70" s="1"/>
  <c r="X72" i="70" s="1"/>
  <c r="P164" i="70"/>
  <c r="R164" i="70"/>
  <c r="U164" i="70" s="1"/>
  <c r="X164" i="70" s="1"/>
  <c r="AE292" i="70" l="1"/>
  <c r="AH292" i="70"/>
  <c r="AB167" i="70"/>
  <c r="AD167" i="70"/>
  <c r="AB162" i="70"/>
  <c r="AD162" i="70"/>
  <c r="Y163" i="70"/>
  <c r="AA163" i="70"/>
  <c r="Y74" i="70"/>
  <c r="AA74" i="70"/>
  <c r="Y168" i="70"/>
  <c r="AA168" i="70"/>
  <c r="Y70" i="70"/>
  <c r="AA70" i="70"/>
  <c r="Y164" i="70"/>
  <c r="AA164" i="70"/>
  <c r="Y71" i="70"/>
  <c r="AA71" i="70"/>
  <c r="Y273" i="70"/>
  <c r="AA273" i="70"/>
  <c r="Y72" i="70"/>
  <c r="AA72" i="70"/>
  <c r="Y166" i="70"/>
  <c r="AA166" i="70"/>
  <c r="Y165" i="70"/>
  <c r="AA165" i="70"/>
  <c r="Y73" i="70"/>
  <c r="AA73" i="70"/>
  <c r="V74" i="70"/>
  <c r="V71" i="70"/>
  <c r="V166" i="70"/>
  <c r="V165" i="70"/>
  <c r="V73" i="70"/>
  <c r="V164" i="70"/>
  <c r="V72" i="70"/>
  <c r="V273" i="70"/>
  <c r="S166" i="70"/>
  <c r="S165" i="70"/>
  <c r="S72" i="70"/>
  <c r="S164" i="70"/>
  <c r="S74" i="70"/>
  <c r="S71" i="70"/>
  <c r="S73" i="70"/>
  <c r="AE162" i="70" l="1"/>
  <c r="AH162" i="70"/>
  <c r="AE167" i="70"/>
  <c r="AH167" i="70"/>
  <c r="AB70" i="70"/>
  <c r="AD70" i="70"/>
  <c r="AB163" i="70"/>
  <c r="AD163" i="70"/>
  <c r="AB273" i="70"/>
  <c r="AD273" i="70"/>
  <c r="AB74" i="70"/>
  <c r="AD74" i="70"/>
  <c r="AB71" i="70"/>
  <c r="AD71" i="70"/>
  <c r="AB165" i="70"/>
  <c r="AD165" i="70"/>
  <c r="AB166" i="70"/>
  <c r="AD166" i="70"/>
  <c r="AB72" i="70"/>
  <c r="AD72" i="70"/>
  <c r="AB164" i="70"/>
  <c r="AD164" i="70"/>
  <c r="AB168" i="70"/>
  <c r="AD168" i="70"/>
  <c r="AB73" i="70"/>
  <c r="AD73" i="70"/>
  <c r="AE168" i="70" l="1"/>
  <c r="AH168" i="70"/>
  <c r="AE74" i="70"/>
  <c r="AH74" i="70"/>
  <c r="AE164" i="70"/>
  <c r="AH164" i="70"/>
  <c r="AE273" i="70"/>
  <c r="AH273" i="70"/>
  <c r="AE72" i="70"/>
  <c r="AH72" i="70"/>
  <c r="AE163" i="70"/>
  <c r="AH163" i="70"/>
  <c r="AE166" i="70"/>
  <c r="AH166" i="70"/>
  <c r="AE70" i="70"/>
  <c r="AH70" i="70"/>
  <c r="AE165" i="70"/>
  <c r="AH165" i="70"/>
  <c r="AE73" i="70"/>
  <c r="AH73" i="70"/>
  <c r="AE71" i="70"/>
  <c r="AH71" i="70"/>
  <c r="F188" i="70" l="1"/>
  <c r="I188" i="70" s="1"/>
  <c r="F64" i="70"/>
  <c r="I64" i="70" s="1"/>
  <c r="L188" i="70" l="1"/>
  <c r="J188" i="70"/>
  <c r="G188" i="70"/>
  <c r="L64" i="70"/>
  <c r="J64" i="70"/>
  <c r="G64" i="70"/>
  <c r="O188" i="70" l="1"/>
  <c r="M188" i="70"/>
  <c r="O64" i="70"/>
  <c r="M64" i="70"/>
  <c r="P64" i="70" l="1"/>
  <c r="R64" i="70"/>
  <c r="U64" i="70" s="1"/>
  <c r="X64" i="70" s="1"/>
  <c r="P188" i="70"/>
  <c r="R188" i="70"/>
  <c r="U188" i="70" s="1"/>
  <c r="Y64" i="70" l="1"/>
  <c r="AA64" i="70"/>
  <c r="X188" i="70"/>
  <c r="AA188" i="70" s="1"/>
  <c r="V64" i="70"/>
  <c r="V188" i="70"/>
  <c r="S64" i="70"/>
  <c r="S188" i="70"/>
  <c r="AB188" i="70" l="1"/>
  <c r="AD188" i="70"/>
  <c r="AB64" i="70"/>
  <c r="AD64" i="70"/>
  <c r="Y188" i="70"/>
  <c r="AE188" i="70" l="1"/>
  <c r="AH188" i="70"/>
  <c r="AE64" i="70"/>
  <c r="AH64" i="70"/>
  <c r="P298" i="70" l="1"/>
  <c r="P297" i="70"/>
  <c r="O296" i="70"/>
  <c r="S296" i="70" s="1"/>
  <c r="P96" i="70"/>
  <c r="P59" i="70"/>
  <c r="P49" i="70"/>
  <c r="O47" i="70"/>
  <c r="S47" i="70" s="1"/>
  <c r="C68" i="128" l="1"/>
  <c r="C22" i="128" l="1"/>
  <c r="E130" i="128"/>
  <c r="E128" i="128"/>
  <c r="B120" i="128"/>
  <c r="B121" i="128"/>
  <c r="B118" i="128"/>
  <c r="D118" i="128"/>
  <c r="C118" i="128"/>
  <c r="C140" i="128"/>
  <c r="C122" i="128" s="1"/>
  <c r="B140" i="128"/>
  <c r="B122" i="128" s="1"/>
  <c r="C139" i="128"/>
  <c r="D139" i="128" s="1"/>
  <c r="C138" i="128"/>
  <c r="D138" i="128" s="1"/>
  <c r="C137" i="128"/>
  <c r="B137" i="128"/>
  <c r="C62" i="128"/>
  <c r="E137" i="128" l="1"/>
  <c r="E138" i="128"/>
  <c r="E122" i="128"/>
  <c r="E139" i="128"/>
  <c r="E140" i="128"/>
  <c r="C120" i="128"/>
  <c r="D120" i="128" s="1"/>
  <c r="D122" i="128"/>
  <c r="D137" i="128"/>
  <c r="D140" i="128"/>
  <c r="E141" i="128" l="1"/>
  <c r="E120" i="128"/>
  <c r="C127" i="128" l="1"/>
  <c r="C119" i="128" s="1"/>
  <c r="C129" i="128"/>
  <c r="D128" i="128"/>
  <c r="D130" i="128"/>
  <c r="B127" i="128"/>
  <c r="E127" i="128" l="1"/>
  <c r="C121" i="128"/>
  <c r="E121" i="128" s="1"/>
  <c r="E129" i="128"/>
  <c r="D129" i="128"/>
  <c r="D127" i="128"/>
  <c r="B119" i="128"/>
  <c r="E119" i="128" s="1"/>
  <c r="C55" i="128"/>
  <c r="C54" i="128"/>
  <c r="D126" i="128"/>
  <c r="C126" i="128"/>
  <c r="B126" i="128"/>
  <c r="B158" i="128"/>
  <c r="B146" i="128"/>
  <c r="B50" i="128"/>
  <c r="C164" i="128"/>
  <c r="C80" i="128"/>
  <c r="C58" i="128"/>
  <c r="C56" i="128"/>
  <c r="C14" i="128"/>
  <c r="C146" i="128"/>
  <c r="D50" i="128"/>
  <c r="C50" i="128"/>
  <c r="D158" i="128"/>
  <c r="C158" i="128"/>
  <c r="D5" i="128"/>
  <c r="C5" i="128"/>
  <c r="E131" i="128" l="1"/>
  <c r="D121" i="128"/>
  <c r="D119" i="128"/>
  <c r="E123" i="128"/>
  <c r="C151" i="128"/>
  <c r="C165" i="128" l="1"/>
  <c r="C78" i="128"/>
  <c r="C12" i="128" l="1"/>
  <c r="C10" i="128"/>
  <c r="C8" i="128"/>
  <c r="C11" i="128" l="1"/>
  <c r="C9" i="128"/>
  <c r="C7" i="128"/>
  <c r="C53" i="128"/>
  <c r="C63" i="128" l="1"/>
  <c r="P48" i="70" l="1"/>
  <c r="P170" i="70" l="1"/>
  <c r="M298" i="70" l="1"/>
  <c r="M297" i="70"/>
  <c r="L296" i="70"/>
  <c r="P296" i="70" s="1"/>
  <c r="M96" i="70"/>
  <c r="M59" i="70"/>
  <c r="M49" i="70"/>
  <c r="M48" i="70"/>
  <c r="L47" i="70"/>
  <c r="P47" i="70" s="1"/>
  <c r="P169" i="70" l="1"/>
  <c r="P171" i="70"/>
  <c r="D172" i="128" l="1"/>
  <c r="M171" i="70" l="1"/>
  <c r="M170" i="70"/>
  <c r="J298" i="70" l="1"/>
  <c r="J297" i="70"/>
  <c r="J171" i="70"/>
  <c r="J170" i="70"/>
  <c r="J96" i="70"/>
  <c r="J59" i="70"/>
  <c r="J49" i="70"/>
  <c r="J48" i="70"/>
  <c r="F8" i="70"/>
  <c r="I296" i="70"/>
  <c r="M296" i="70" s="1"/>
  <c r="M169" i="70"/>
  <c r="M47" i="70"/>
  <c r="I8" i="70" l="1"/>
  <c r="L8" i="70" s="1"/>
  <c r="O8" i="70" s="1"/>
  <c r="R8" i="70" s="1"/>
  <c r="U8" i="70" s="1"/>
  <c r="X8" i="70" l="1"/>
  <c r="AA8" i="70" s="1"/>
  <c r="AD8" i="70" s="1"/>
  <c r="AH8" i="70" s="1"/>
  <c r="J8" i="70"/>
  <c r="S8" i="70"/>
  <c r="R7" i="70"/>
  <c r="I7" i="70"/>
  <c r="AE8" i="70" l="1"/>
  <c r="AD7" i="70"/>
  <c r="AH7" i="70" s="1"/>
  <c r="AB8" i="70"/>
  <c r="AA7" i="70"/>
  <c r="B8" i="128" s="1"/>
  <c r="E8" i="128" s="1"/>
  <c r="Y8" i="70"/>
  <c r="X7" i="70"/>
  <c r="V8" i="70"/>
  <c r="U7" i="70"/>
  <c r="L7" i="70"/>
  <c r="M8" i="70"/>
  <c r="AE7" i="70" l="1"/>
  <c r="AB7" i="70"/>
  <c r="Y7" i="70"/>
  <c r="V7" i="70"/>
  <c r="M7" i="70"/>
  <c r="O7" i="70"/>
  <c r="P8" i="70"/>
  <c r="AG140" i="70"/>
  <c r="AG123" i="70"/>
  <c r="AG122" i="70"/>
  <c r="AG121" i="70"/>
  <c r="C168" i="128"/>
  <c r="C167" i="128"/>
  <c r="C166" i="128"/>
  <c r="C163" i="128"/>
  <c r="C162" i="128"/>
  <c r="AG113" i="70"/>
  <c r="AG112" i="70"/>
  <c r="AG87" i="70"/>
  <c r="AG111" i="70" l="1"/>
  <c r="D8" i="128"/>
  <c r="AG42" i="70"/>
  <c r="P7" i="70"/>
  <c r="S7" i="70"/>
  <c r="C161" i="128"/>
  <c r="C169" i="128"/>
  <c r="C170" i="128"/>
  <c r="C171" i="128"/>
  <c r="C160" i="128"/>
  <c r="C61" i="128"/>
  <c r="C77" i="128"/>
  <c r="C76" i="128"/>
  <c r="C73" i="128"/>
  <c r="C72" i="128"/>
  <c r="C59" i="128"/>
  <c r="C21" i="128"/>
  <c r="C18" i="128"/>
  <c r="C13" i="128"/>
  <c r="AG130" i="70"/>
  <c r="C71" i="128"/>
  <c r="AG107" i="70" l="1"/>
  <c r="AG127" i="70" s="1"/>
  <c r="C159" i="128"/>
  <c r="C174" i="128" s="1"/>
  <c r="C74" i="128"/>
  <c r="C70" i="128"/>
  <c r="C69" i="128"/>
  <c r="C57" i="128"/>
  <c r="C52" i="128"/>
  <c r="C19" i="128"/>
  <c r="C17" i="128"/>
  <c r="C16" i="128"/>
  <c r="C20" i="128" l="1"/>
  <c r="C149" i="128"/>
  <c r="C66" i="128"/>
  <c r="C65" i="128"/>
  <c r="C75" i="128"/>
  <c r="J55" i="70"/>
  <c r="L55" i="70"/>
  <c r="O55" i="70" s="1"/>
  <c r="P55" i="70" l="1"/>
  <c r="R55" i="70"/>
  <c r="U55" i="70" s="1"/>
  <c r="X55" i="70" s="1"/>
  <c r="C60" i="128"/>
  <c r="C15" i="128"/>
  <c r="C67" i="128"/>
  <c r="M55" i="70"/>
  <c r="AG124" i="70"/>
  <c r="AG299" i="70"/>
  <c r="J271" i="70"/>
  <c r="L271" i="70"/>
  <c r="O271" i="70" s="1"/>
  <c r="J56" i="70"/>
  <c r="L56" i="70"/>
  <c r="J259" i="70"/>
  <c r="L259" i="70"/>
  <c r="O259" i="70" s="1"/>
  <c r="C79" i="128" l="1"/>
  <c r="C6" i="128"/>
  <c r="C25" i="128" s="1"/>
  <c r="C64" i="128"/>
  <c r="Y55" i="70"/>
  <c r="AA55" i="70"/>
  <c r="V55" i="70"/>
  <c r="S55" i="70"/>
  <c r="P271" i="70"/>
  <c r="R271" i="70"/>
  <c r="U271" i="70" s="1"/>
  <c r="X271" i="70" s="1"/>
  <c r="P259" i="70"/>
  <c r="R259" i="70"/>
  <c r="U259" i="70" s="1"/>
  <c r="X259" i="70" s="1"/>
  <c r="C51" i="128"/>
  <c r="AG301" i="70"/>
  <c r="M56" i="70"/>
  <c r="O56" i="70"/>
  <c r="M259" i="70"/>
  <c r="M271" i="70"/>
  <c r="C150" i="128" l="1"/>
  <c r="C147" i="128"/>
  <c r="AB55" i="70"/>
  <c r="AD55" i="70"/>
  <c r="Y271" i="70"/>
  <c r="AA271" i="70"/>
  <c r="Y259" i="70"/>
  <c r="AA259" i="70"/>
  <c r="V271" i="70"/>
  <c r="V259" i="70"/>
  <c r="S259" i="70"/>
  <c r="S271" i="70"/>
  <c r="AG302" i="70"/>
  <c r="P56" i="70"/>
  <c r="R56" i="70"/>
  <c r="U56" i="70" s="1"/>
  <c r="X56" i="70" s="1"/>
  <c r="C82" i="128"/>
  <c r="I282" i="70"/>
  <c r="I44" i="70"/>
  <c r="AE55" i="70" l="1"/>
  <c r="AH55" i="70"/>
  <c r="C152" i="128"/>
  <c r="AB259" i="70"/>
  <c r="AD259" i="70"/>
  <c r="AB271" i="70"/>
  <c r="AD271" i="70"/>
  <c r="Y56" i="70"/>
  <c r="AA56" i="70"/>
  <c r="V56" i="70"/>
  <c r="C154" i="128"/>
  <c r="S56" i="70"/>
  <c r="L282" i="70"/>
  <c r="M282" i="70" s="1"/>
  <c r="M38" i="70"/>
  <c r="J44" i="70"/>
  <c r="L44" i="70"/>
  <c r="O44" i="70" s="1"/>
  <c r="J169" i="70"/>
  <c r="I158" i="70"/>
  <c r="J282" i="70"/>
  <c r="F288" i="70"/>
  <c r="G288" i="70" s="1"/>
  <c r="F287" i="70"/>
  <c r="AE271" i="70" l="1"/>
  <c r="AH271" i="70"/>
  <c r="AE259" i="70"/>
  <c r="AH259" i="70"/>
  <c r="AB56" i="70"/>
  <c r="AD56" i="70"/>
  <c r="O282" i="70"/>
  <c r="R282" i="70" s="1"/>
  <c r="S282" i="70" s="1"/>
  <c r="P44" i="70"/>
  <c r="R44" i="70"/>
  <c r="U44" i="70" s="1"/>
  <c r="M155" i="70"/>
  <c r="P38" i="70"/>
  <c r="P155" i="70"/>
  <c r="M44" i="70"/>
  <c r="J158" i="70"/>
  <c r="L158" i="70"/>
  <c r="O158" i="70" s="1"/>
  <c r="J268" i="70"/>
  <c r="J38" i="70"/>
  <c r="I288" i="70"/>
  <c r="I283" i="70"/>
  <c r="L283" i="70" s="1"/>
  <c r="O283" i="70" s="1"/>
  <c r="R283" i="70" s="1"/>
  <c r="U283" i="70" s="1"/>
  <c r="X283" i="70" s="1"/>
  <c r="I287" i="70"/>
  <c r="J155" i="70"/>
  <c r="I289" i="70"/>
  <c r="F258" i="70"/>
  <c r="F260" i="70"/>
  <c r="I260" i="70" s="1"/>
  <c r="F261" i="70"/>
  <c r="I261" i="70" s="1"/>
  <c r="G259" i="70"/>
  <c r="F246" i="70"/>
  <c r="I246" i="70" s="1"/>
  <c r="I242" i="70"/>
  <c r="F225" i="70"/>
  <c r="I225" i="70" s="1"/>
  <c r="F224" i="70"/>
  <c r="F210" i="70"/>
  <c r="F189" i="70"/>
  <c r="I189" i="70" s="1"/>
  <c r="F190" i="70"/>
  <c r="I190" i="70" s="1"/>
  <c r="F191" i="70"/>
  <c r="I191" i="70" s="1"/>
  <c r="F182" i="70"/>
  <c r="F183" i="70"/>
  <c r="I183" i="70" s="1"/>
  <c r="F185" i="70"/>
  <c r="F186" i="70"/>
  <c r="F187" i="70"/>
  <c r="F181" i="70"/>
  <c r="F180" i="70"/>
  <c r="I180" i="70" s="1"/>
  <c r="F173" i="70"/>
  <c r="G171" i="70"/>
  <c r="F157" i="70"/>
  <c r="F152" i="70"/>
  <c r="I152" i="70" s="1"/>
  <c r="F146" i="70"/>
  <c r="L142" i="70"/>
  <c r="O142" i="70" s="1"/>
  <c r="F139" i="70"/>
  <c r="F133" i="70"/>
  <c r="F131" i="70"/>
  <c r="AE56" i="70" l="1"/>
  <c r="AH56" i="70"/>
  <c r="P282" i="70"/>
  <c r="Y283" i="70"/>
  <c r="AA283" i="70"/>
  <c r="X44" i="70"/>
  <c r="U282" i="70"/>
  <c r="X282" i="70" s="1"/>
  <c r="AA282" i="70" s="1"/>
  <c r="AD282" i="70" s="1"/>
  <c r="AH282" i="70" s="1"/>
  <c r="V283" i="70"/>
  <c r="R142" i="70"/>
  <c r="U142" i="70" s="1"/>
  <c r="X142" i="70" s="1"/>
  <c r="S283" i="70"/>
  <c r="S44" i="70"/>
  <c r="P158" i="70"/>
  <c r="R158" i="70"/>
  <c r="U158" i="70" s="1"/>
  <c r="X158" i="70" s="1"/>
  <c r="R281" i="70"/>
  <c r="L180" i="70"/>
  <c r="L191" i="70"/>
  <c r="O191" i="70" s="1"/>
  <c r="R191" i="70" s="1"/>
  <c r="U191" i="70" s="1"/>
  <c r="L190" i="70"/>
  <c r="O190" i="70" s="1"/>
  <c r="R190" i="70" s="1"/>
  <c r="U190" i="70" s="1"/>
  <c r="G146" i="70"/>
  <c r="I146" i="70"/>
  <c r="I224" i="70"/>
  <c r="I131" i="70"/>
  <c r="I181" i="70"/>
  <c r="J181" i="70" s="1"/>
  <c r="P268" i="70"/>
  <c r="I258" i="70"/>
  <c r="F251" i="70"/>
  <c r="P142" i="70"/>
  <c r="M158" i="70"/>
  <c r="M142" i="70"/>
  <c r="L152" i="70"/>
  <c r="J261" i="70"/>
  <c r="L261" i="70"/>
  <c r="J287" i="70"/>
  <c r="L287" i="70"/>
  <c r="O287" i="70" s="1"/>
  <c r="J191" i="70"/>
  <c r="M179" i="70"/>
  <c r="M252" i="70"/>
  <c r="J225" i="70"/>
  <c r="L225" i="70"/>
  <c r="O225" i="70" s="1"/>
  <c r="J189" i="70"/>
  <c r="L189" i="70"/>
  <c r="O189" i="70" s="1"/>
  <c r="J242" i="70"/>
  <c r="L242" i="70"/>
  <c r="O242" i="70" s="1"/>
  <c r="J190" i="70"/>
  <c r="J289" i="70"/>
  <c r="L289" i="70"/>
  <c r="O289" i="70" s="1"/>
  <c r="M283" i="70"/>
  <c r="L281" i="70"/>
  <c r="J288" i="70"/>
  <c r="L288" i="70"/>
  <c r="O288" i="70" s="1"/>
  <c r="J246" i="70"/>
  <c r="L246" i="70"/>
  <c r="O246" i="70" s="1"/>
  <c r="I186" i="70"/>
  <c r="I185" i="70"/>
  <c r="L185" i="70" s="1"/>
  <c r="O185" i="70" s="1"/>
  <c r="R185" i="70" s="1"/>
  <c r="U185" i="70" s="1"/>
  <c r="I157" i="70"/>
  <c r="I256" i="70"/>
  <c r="J142" i="70"/>
  <c r="I173" i="70"/>
  <c r="J283" i="70"/>
  <c r="I281" i="70"/>
  <c r="J152" i="70"/>
  <c r="I210" i="70"/>
  <c r="L260" i="70"/>
  <c r="G179" i="70"/>
  <c r="I257" i="70"/>
  <c r="I133" i="70"/>
  <c r="O236" i="70"/>
  <c r="R236" i="70" s="1"/>
  <c r="I262" i="70"/>
  <c r="I182" i="70"/>
  <c r="I139" i="70"/>
  <c r="I187" i="70"/>
  <c r="G257" i="70"/>
  <c r="G224" i="70"/>
  <c r="G256" i="70"/>
  <c r="G242" i="70"/>
  <c r="G261" i="70"/>
  <c r="G187" i="70"/>
  <c r="F178" i="70"/>
  <c r="G186" i="70"/>
  <c r="G258" i="70"/>
  <c r="G157" i="70"/>
  <c r="G246" i="70"/>
  <c r="G183" i="70"/>
  <c r="G185" i="70"/>
  <c r="G181" i="70"/>
  <c r="G191" i="70"/>
  <c r="G262" i="70"/>
  <c r="G225" i="70"/>
  <c r="G180" i="70"/>
  <c r="G190" i="70"/>
  <c r="G260" i="70"/>
  <c r="G189" i="70"/>
  <c r="AE282" i="70" l="1"/>
  <c r="AB283" i="70"/>
  <c r="AD283" i="70"/>
  <c r="Y158" i="70"/>
  <c r="AA158" i="70"/>
  <c r="Y142" i="70"/>
  <c r="AA142" i="70"/>
  <c r="B56" i="128" s="1"/>
  <c r="E56" i="128" s="1"/>
  <c r="AB282" i="70"/>
  <c r="AA281" i="70"/>
  <c r="B76" i="128" s="1"/>
  <c r="E76" i="128" s="1"/>
  <c r="Y44" i="70"/>
  <c r="AA44" i="70"/>
  <c r="X185" i="70"/>
  <c r="AA185" i="70" s="1"/>
  <c r="AD185" i="70" s="1"/>
  <c r="X191" i="70"/>
  <c r="X190" i="70"/>
  <c r="U236" i="70"/>
  <c r="X236" i="70" s="1"/>
  <c r="AA236" i="70" s="1"/>
  <c r="AH236" i="70" s="1"/>
  <c r="V158" i="70"/>
  <c r="S142" i="70"/>
  <c r="V185" i="70"/>
  <c r="V44" i="70"/>
  <c r="V190" i="70"/>
  <c r="V142" i="70"/>
  <c r="V191" i="70"/>
  <c r="V282" i="70"/>
  <c r="U281" i="70"/>
  <c r="S158" i="70"/>
  <c r="R287" i="70"/>
  <c r="U287" i="70" s="1"/>
  <c r="S185" i="70"/>
  <c r="P246" i="70"/>
  <c r="R246" i="70"/>
  <c r="U246" i="70" s="1"/>
  <c r="X246" i="70" s="1"/>
  <c r="AA246" i="70" s="1"/>
  <c r="P190" i="70"/>
  <c r="S190" i="70"/>
  <c r="P225" i="70"/>
  <c r="R225" i="70"/>
  <c r="U225" i="70" s="1"/>
  <c r="X225" i="70" s="1"/>
  <c r="P288" i="70"/>
  <c r="R288" i="70"/>
  <c r="U288" i="70" s="1"/>
  <c r="X288" i="70" s="1"/>
  <c r="P191" i="70"/>
  <c r="S191" i="70"/>
  <c r="P189" i="70"/>
  <c r="R189" i="70"/>
  <c r="U189" i="70" s="1"/>
  <c r="X189" i="70" s="1"/>
  <c r="AA189" i="70" s="1"/>
  <c r="S236" i="70"/>
  <c r="P242" i="70"/>
  <c r="R242" i="70"/>
  <c r="U242" i="70" s="1"/>
  <c r="X242" i="70" s="1"/>
  <c r="AA242" i="70" s="1"/>
  <c r="P289" i="70"/>
  <c r="R289" i="70"/>
  <c r="U289" i="70" s="1"/>
  <c r="X289" i="70" s="1"/>
  <c r="L146" i="70"/>
  <c r="O146" i="70" s="1"/>
  <c r="I251" i="70"/>
  <c r="L181" i="70"/>
  <c r="O181" i="70" s="1"/>
  <c r="R181" i="70" s="1"/>
  <c r="L139" i="70"/>
  <c r="O139" i="70" s="1"/>
  <c r="L257" i="70"/>
  <c r="O257" i="70" s="1"/>
  <c r="J258" i="70"/>
  <c r="P185" i="70"/>
  <c r="L131" i="70"/>
  <c r="O131" i="70" s="1"/>
  <c r="L224" i="70"/>
  <c r="J224" i="70"/>
  <c r="L258" i="70"/>
  <c r="O152" i="70"/>
  <c r="P252" i="70"/>
  <c r="P283" i="70"/>
  <c r="O281" i="70"/>
  <c r="P179" i="70"/>
  <c r="P287" i="70"/>
  <c r="M261" i="70"/>
  <c r="O261" i="70"/>
  <c r="O260" i="70"/>
  <c r="R260" i="70" s="1"/>
  <c r="U260" i="70" s="1"/>
  <c r="M288" i="70"/>
  <c r="M225" i="70"/>
  <c r="M242" i="70"/>
  <c r="M281" i="70"/>
  <c r="M289" i="70"/>
  <c r="M191" i="70"/>
  <c r="M189" i="70"/>
  <c r="M152" i="70"/>
  <c r="M190" i="70"/>
  <c r="M246" i="70"/>
  <c r="M287" i="70"/>
  <c r="M236" i="70"/>
  <c r="J186" i="70"/>
  <c r="L186" i="70"/>
  <c r="O186" i="70" s="1"/>
  <c r="J183" i="70"/>
  <c r="L183" i="70"/>
  <c r="O183" i="70" s="1"/>
  <c r="J260" i="70"/>
  <c r="M260" i="70"/>
  <c r="J187" i="70"/>
  <c r="L187" i="70"/>
  <c r="O187" i="70" s="1"/>
  <c r="J257" i="70"/>
  <c r="J157" i="70"/>
  <c r="L157" i="70"/>
  <c r="J133" i="70"/>
  <c r="L133" i="70"/>
  <c r="O133" i="70" s="1"/>
  <c r="J210" i="70"/>
  <c r="L210" i="70"/>
  <c r="O210" i="70" s="1"/>
  <c r="J182" i="70"/>
  <c r="L182" i="70"/>
  <c r="O182" i="70" s="1"/>
  <c r="R182" i="70" s="1"/>
  <c r="J180" i="70"/>
  <c r="J185" i="70"/>
  <c r="M185" i="70"/>
  <c r="J139" i="70"/>
  <c r="J262" i="70"/>
  <c r="L262" i="70"/>
  <c r="O262" i="70" s="1"/>
  <c r="J146" i="70"/>
  <c r="J256" i="70"/>
  <c r="L256" i="70"/>
  <c r="J173" i="70"/>
  <c r="L173" i="70"/>
  <c r="O173" i="70" s="1"/>
  <c r="R173" i="70" s="1"/>
  <c r="U173" i="70" s="1"/>
  <c r="J131" i="70"/>
  <c r="J236" i="70"/>
  <c r="J264" i="70"/>
  <c r="J179" i="70"/>
  <c r="I178" i="70"/>
  <c r="D56" i="128" l="1"/>
  <c r="AD242" i="70"/>
  <c r="AH242" i="70" s="1"/>
  <c r="AD246" i="70"/>
  <c r="AH246" i="70" s="1"/>
  <c r="AD189" i="70"/>
  <c r="AH189" i="70" s="1"/>
  <c r="AE283" i="70"/>
  <c r="AH283" i="70"/>
  <c r="AE185" i="70"/>
  <c r="AH185" i="70"/>
  <c r="AB44" i="70"/>
  <c r="AD44" i="70"/>
  <c r="AB142" i="70"/>
  <c r="AD142" i="70"/>
  <c r="AE236" i="70"/>
  <c r="AB158" i="70"/>
  <c r="AD158" i="70"/>
  <c r="AD281" i="70"/>
  <c r="Y191" i="70"/>
  <c r="AA191" i="70"/>
  <c r="Y242" i="70"/>
  <c r="AB242" i="70"/>
  <c r="Y246" i="70"/>
  <c r="AB246" i="70"/>
  <c r="Y185" i="70"/>
  <c r="AB185" i="70"/>
  <c r="Y189" i="70"/>
  <c r="AB189" i="70"/>
  <c r="Y289" i="70"/>
  <c r="AA289" i="70"/>
  <c r="AB236" i="70"/>
  <c r="Y288" i="70"/>
  <c r="AA288" i="70"/>
  <c r="Y225" i="70"/>
  <c r="AA225" i="70"/>
  <c r="Y190" i="70"/>
  <c r="AA190" i="70"/>
  <c r="X287" i="70"/>
  <c r="X260" i="70"/>
  <c r="Y282" i="70"/>
  <c r="X281" i="70"/>
  <c r="Y281" i="70" s="1"/>
  <c r="X173" i="70"/>
  <c r="AA173" i="70" s="1"/>
  <c r="U181" i="70"/>
  <c r="X181" i="70" s="1"/>
  <c r="V225" i="70"/>
  <c r="V242" i="70"/>
  <c r="V246" i="70"/>
  <c r="V289" i="70"/>
  <c r="V189" i="70"/>
  <c r="V287" i="70"/>
  <c r="V288" i="70"/>
  <c r="V281" i="70"/>
  <c r="D76" i="128"/>
  <c r="U182" i="70"/>
  <c r="X182" i="70" s="1"/>
  <c r="V260" i="70"/>
  <c r="V236" i="70"/>
  <c r="R186" i="70"/>
  <c r="U186" i="70" s="1"/>
  <c r="S289" i="70"/>
  <c r="S242" i="70"/>
  <c r="S246" i="70"/>
  <c r="S225" i="70"/>
  <c r="S189" i="70"/>
  <c r="S287" i="70"/>
  <c r="S288" i="70"/>
  <c r="R187" i="70"/>
  <c r="U187" i="70" s="1"/>
  <c r="P281" i="70"/>
  <c r="R262" i="70"/>
  <c r="U262" i="70" s="1"/>
  <c r="X262" i="70" s="1"/>
  <c r="P182" i="70"/>
  <c r="S182" i="70"/>
  <c r="P173" i="70"/>
  <c r="P146" i="70"/>
  <c r="R146" i="70"/>
  <c r="U146" i="70" s="1"/>
  <c r="X146" i="70" s="1"/>
  <c r="P210" i="70"/>
  <c r="R210" i="70"/>
  <c r="U210" i="70" s="1"/>
  <c r="P183" i="70"/>
  <c r="R183" i="70"/>
  <c r="U183" i="70" s="1"/>
  <c r="X183" i="70" s="1"/>
  <c r="P152" i="70"/>
  <c r="R152" i="70"/>
  <c r="U152" i="70" s="1"/>
  <c r="X152" i="70" s="1"/>
  <c r="P139" i="70"/>
  <c r="R139" i="70"/>
  <c r="U139" i="70" s="1"/>
  <c r="X139" i="70" s="1"/>
  <c r="P133" i="70"/>
  <c r="R133" i="70"/>
  <c r="U133" i="70" s="1"/>
  <c r="X133" i="70" s="1"/>
  <c r="P260" i="70"/>
  <c r="S260" i="70"/>
  <c r="P181" i="70"/>
  <c r="S181" i="70"/>
  <c r="P261" i="70"/>
  <c r="R261" i="70"/>
  <c r="U261" i="70" s="1"/>
  <c r="S281" i="70"/>
  <c r="P257" i="70"/>
  <c r="R257" i="70"/>
  <c r="U257" i="70" s="1"/>
  <c r="P131" i="70"/>
  <c r="R131" i="70"/>
  <c r="U131" i="70" s="1"/>
  <c r="X131" i="70" s="1"/>
  <c r="AA131" i="70" s="1"/>
  <c r="M131" i="70"/>
  <c r="L251" i="70"/>
  <c r="M181" i="70"/>
  <c r="M224" i="70"/>
  <c r="O224" i="70"/>
  <c r="O258" i="70"/>
  <c r="J251" i="70"/>
  <c r="J178" i="70"/>
  <c r="M258" i="70"/>
  <c r="M264" i="70"/>
  <c r="P262" i="70"/>
  <c r="P187" i="70"/>
  <c r="P186" i="70"/>
  <c r="O256" i="70"/>
  <c r="R256" i="70" s="1"/>
  <c r="P264" i="70"/>
  <c r="P236" i="70"/>
  <c r="O180" i="70"/>
  <c r="R180" i="70" s="1"/>
  <c r="M157" i="70"/>
  <c r="O157" i="70"/>
  <c r="M187" i="70"/>
  <c r="M182" i="70"/>
  <c r="M262" i="70"/>
  <c r="M183" i="70"/>
  <c r="M133" i="70"/>
  <c r="M186" i="70"/>
  <c r="M257" i="70"/>
  <c r="M146" i="70"/>
  <c r="M210" i="70"/>
  <c r="M139" i="70"/>
  <c r="M173" i="70"/>
  <c r="M180" i="70"/>
  <c r="L178" i="70"/>
  <c r="M256" i="70"/>
  <c r="F62" i="70"/>
  <c r="F63" i="70"/>
  <c r="I63" i="70" s="1"/>
  <c r="L63" i="70" s="1"/>
  <c r="F123" i="70"/>
  <c r="G123" i="70" s="1"/>
  <c r="F122" i="70"/>
  <c r="F121" i="70"/>
  <c r="F120" i="70"/>
  <c r="I120" i="70" s="1"/>
  <c r="F119" i="70"/>
  <c r="I119" i="70" s="1"/>
  <c r="I118" i="70"/>
  <c r="F117" i="70"/>
  <c r="I117" i="70" s="1"/>
  <c r="F116" i="70"/>
  <c r="I116" i="70" s="1"/>
  <c r="I115" i="70"/>
  <c r="F114" i="70"/>
  <c r="I114" i="70" s="1"/>
  <c r="F113" i="70"/>
  <c r="F112" i="70"/>
  <c r="G96" i="70"/>
  <c r="G49" i="70"/>
  <c r="G48" i="70"/>
  <c r="F21" i="70"/>
  <c r="I21" i="70" s="1"/>
  <c r="F83" i="70"/>
  <c r="I83" i="70" s="1"/>
  <c r="F84" i="70"/>
  <c r="I84" i="70" s="1"/>
  <c r="F85" i="70"/>
  <c r="F86" i="70"/>
  <c r="I86" i="70" s="1"/>
  <c r="F87" i="70"/>
  <c r="I87" i="70" s="1"/>
  <c r="I65" i="70"/>
  <c r="L65" i="70" s="1"/>
  <c r="I52" i="70"/>
  <c r="AD131" i="70" l="1"/>
  <c r="AH131" i="70" s="1"/>
  <c r="AD173" i="70"/>
  <c r="AH173" i="70" s="1"/>
  <c r="AE281" i="70"/>
  <c r="AH281" i="70"/>
  <c r="AE158" i="70"/>
  <c r="AH158" i="70"/>
  <c r="AE189" i="70"/>
  <c r="AE246" i="70"/>
  <c r="AE142" i="70"/>
  <c r="AH142" i="70"/>
  <c r="AE242" i="70"/>
  <c r="AE44" i="70"/>
  <c r="AH44" i="70"/>
  <c r="AE173" i="70"/>
  <c r="AB288" i="70"/>
  <c r="AD288" i="70"/>
  <c r="AE131" i="70"/>
  <c r="AB191" i="70"/>
  <c r="AD191" i="70"/>
  <c r="AB190" i="70"/>
  <c r="AD190" i="70"/>
  <c r="AB289" i="70"/>
  <c r="AD289" i="70"/>
  <c r="AB225" i="70"/>
  <c r="AD225" i="70"/>
  <c r="AA181" i="70"/>
  <c r="Y183" i="70"/>
  <c r="AA183" i="70"/>
  <c r="Y287" i="70"/>
  <c r="AA287" i="70"/>
  <c r="B78" i="128" s="1"/>
  <c r="Y146" i="70"/>
  <c r="AA146" i="70"/>
  <c r="Y133" i="70"/>
  <c r="AA133" i="70"/>
  <c r="AB173" i="70"/>
  <c r="Y262" i="70"/>
  <c r="AA262" i="70"/>
  <c r="AB131" i="70"/>
  <c r="Y139" i="70"/>
  <c r="AA139" i="70"/>
  <c r="Y152" i="70"/>
  <c r="AA152" i="70"/>
  <c r="Y182" i="70"/>
  <c r="AA182" i="70"/>
  <c r="Y260" i="70"/>
  <c r="AA260" i="70"/>
  <c r="AB281" i="70"/>
  <c r="V181" i="70"/>
  <c r="X257" i="70"/>
  <c r="AA257" i="70" s="1"/>
  <c r="AD257" i="70" s="1"/>
  <c r="X210" i="70"/>
  <c r="AA210" i="70" s="1"/>
  <c r="AD210" i="70" s="1"/>
  <c r="Y181" i="70"/>
  <c r="Y131" i="70"/>
  <c r="X186" i="70"/>
  <c r="Y173" i="70"/>
  <c r="X187" i="70"/>
  <c r="V261" i="70"/>
  <c r="X261" i="70"/>
  <c r="Y236" i="70"/>
  <c r="U180" i="70"/>
  <c r="X180" i="70" s="1"/>
  <c r="AA180" i="70" s="1"/>
  <c r="AD180" i="70" s="1"/>
  <c r="AH180" i="70" s="1"/>
  <c r="V262" i="70"/>
  <c r="V182" i="70"/>
  <c r="V139" i="70"/>
  <c r="V152" i="70"/>
  <c r="V183" i="70"/>
  <c r="V210" i="70"/>
  <c r="V146" i="70"/>
  <c r="V133" i="70"/>
  <c r="V186" i="70"/>
  <c r="U256" i="70"/>
  <c r="X256" i="70" s="1"/>
  <c r="AA256" i="70" s="1"/>
  <c r="AD256" i="70" s="1"/>
  <c r="AH256" i="70" s="1"/>
  <c r="V173" i="70"/>
  <c r="V187" i="70"/>
  <c r="S139" i="70"/>
  <c r="S257" i="70"/>
  <c r="S262" i="70"/>
  <c r="S152" i="70"/>
  <c r="S261" i="70"/>
  <c r="S183" i="70"/>
  <c r="S187" i="70"/>
  <c r="S210" i="70"/>
  <c r="S146" i="70"/>
  <c r="S133" i="70"/>
  <c r="S186" i="70"/>
  <c r="S180" i="70"/>
  <c r="R178" i="70"/>
  <c r="P258" i="70"/>
  <c r="R258" i="70"/>
  <c r="U258" i="70" s="1"/>
  <c r="X258" i="70" s="1"/>
  <c r="AA258" i="70" s="1"/>
  <c r="S256" i="70"/>
  <c r="P224" i="70"/>
  <c r="R224" i="70"/>
  <c r="U224" i="70" s="1"/>
  <c r="S173" i="70"/>
  <c r="S131" i="70"/>
  <c r="P157" i="70"/>
  <c r="R157" i="70"/>
  <c r="U157" i="70" s="1"/>
  <c r="O63" i="70"/>
  <c r="R63" i="70" s="1"/>
  <c r="U63" i="70" s="1"/>
  <c r="X63" i="70" s="1"/>
  <c r="L21" i="70"/>
  <c r="O21" i="70" s="1"/>
  <c r="O65" i="70"/>
  <c r="I62" i="70"/>
  <c r="P180" i="70"/>
  <c r="O178" i="70"/>
  <c r="P178" i="70" s="1"/>
  <c r="P256" i="70"/>
  <c r="O251" i="70"/>
  <c r="M178" i="70"/>
  <c r="M251" i="70"/>
  <c r="J52" i="70"/>
  <c r="L52" i="70"/>
  <c r="O52" i="70" s="1"/>
  <c r="J87" i="70"/>
  <c r="L87" i="70"/>
  <c r="J114" i="70"/>
  <c r="L114" i="70"/>
  <c r="J115" i="70"/>
  <c r="L115" i="70"/>
  <c r="J116" i="70"/>
  <c r="L116" i="70"/>
  <c r="J65" i="70"/>
  <c r="J84" i="70"/>
  <c r="L84" i="70"/>
  <c r="O84" i="70" s="1"/>
  <c r="J117" i="70"/>
  <c r="L117" i="70"/>
  <c r="J83" i="70"/>
  <c r="L83" i="70"/>
  <c r="O83" i="70" s="1"/>
  <c r="J63" i="70"/>
  <c r="M63" i="70"/>
  <c r="J118" i="70"/>
  <c r="L118" i="70"/>
  <c r="J119" i="70"/>
  <c r="L119" i="70"/>
  <c r="I112" i="70"/>
  <c r="F111" i="70"/>
  <c r="I85" i="70"/>
  <c r="J21" i="70"/>
  <c r="I121" i="70"/>
  <c r="I122" i="70"/>
  <c r="I123" i="70"/>
  <c r="I113" i="70"/>
  <c r="G85" i="70"/>
  <c r="G86" i="70"/>
  <c r="G122" i="70"/>
  <c r="G121" i="70"/>
  <c r="G113" i="70"/>
  <c r="G120" i="70"/>
  <c r="G114" i="70"/>
  <c r="G116" i="70"/>
  <c r="G118" i="70"/>
  <c r="G119" i="70"/>
  <c r="G117" i="70"/>
  <c r="G87" i="70"/>
  <c r="G52" i="70"/>
  <c r="G84" i="70"/>
  <c r="G115" i="70"/>
  <c r="G83" i="70"/>
  <c r="G65" i="70"/>
  <c r="G21" i="70"/>
  <c r="G112" i="70"/>
  <c r="G63" i="70"/>
  <c r="G8" i="70"/>
  <c r="G62" i="70"/>
  <c r="E78" i="128" l="1"/>
  <c r="D78" i="128"/>
  <c r="AE191" i="70"/>
  <c r="AH191" i="70"/>
  <c r="AE190" i="70"/>
  <c r="AH190" i="70"/>
  <c r="AE288" i="70"/>
  <c r="AH288" i="70"/>
  <c r="AD258" i="70"/>
  <c r="AH258" i="70" s="1"/>
  <c r="AE210" i="70"/>
  <c r="AH210" i="70"/>
  <c r="AD181" i="70"/>
  <c r="AH181" i="70" s="1"/>
  <c r="AE257" i="70"/>
  <c r="AH257" i="70"/>
  <c r="AB181" i="70"/>
  <c r="AE225" i="70"/>
  <c r="AH225" i="70"/>
  <c r="AE289" i="70"/>
  <c r="AH289" i="70"/>
  <c r="AE256" i="70"/>
  <c r="AB182" i="70"/>
  <c r="AD182" i="70"/>
  <c r="AB146" i="70"/>
  <c r="AD146" i="70"/>
  <c r="AB183" i="70"/>
  <c r="AD183" i="70"/>
  <c r="AB133" i="70"/>
  <c r="AD133" i="70"/>
  <c r="AB152" i="70"/>
  <c r="AD152" i="70"/>
  <c r="AB139" i="70"/>
  <c r="AD139" i="70"/>
  <c r="AE180" i="70"/>
  <c r="AB287" i="70"/>
  <c r="AD287" i="70"/>
  <c r="AB262" i="70"/>
  <c r="AD262" i="70"/>
  <c r="AB260" i="70"/>
  <c r="AD260" i="70"/>
  <c r="Y63" i="70"/>
  <c r="AA63" i="70"/>
  <c r="Y187" i="70"/>
  <c r="AA187" i="70"/>
  <c r="AB256" i="70"/>
  <c r="Y186" i="70"/>
  <c r="AA186" i="70"/>
  <c r="Y258" i="70"/>
  <c r="AB258" i="70"/>
  <c r="AB180" i="70"/>
  <c r="AA178" i="70"/>
  <c r="B63" i="128" s="1"/>
  <c r="Y210" i="70"/>
  <c r="AB210" i="70"/>
  <c r="Y261" i="70"/>
  <c r="AA261" i="70"/>
  <c r="Y257" i="70"/>
  <c r="AB257" i="70"/>
  <c r="X224" i="70"/>
  <c r="V157" i="70"/>
  <c r="X157" i="70"/>
  <c r="V63" i="70"/>
  <c r="V224" i="70"/>
  <c r="V258" i="70"/>
  <c r="V257" i="70"/>
  <c r="V180" i="70"/>
  <c r="U178" i="70"/>
  <c r="V131" i="70"/>
  <c r="V256" i="70"/>
  <c r="U251" i="70"/>
  <c r="S63" i="70"/>
  <c r="S157" i="70"/>
  <c r="S258" i="70"/>
  <c r="P251" i="70"/>
  <c r="S224" i="70"/>
  <c r="R251" i="70"/>
  <c r="P83" i="70"/>
  <c r="R83" i="70"/>
  <c r="U83" i="70" s="1"/>
  <c r="X83" i="70" s="1"/>
  <c r="P65" i="70"/>
  <c r="R65" i="70"/>
  <c r="U65" i="70" s="1"/>
  <c r="P52" i="70"/>
  <c r="R52" i="70"/>
  <c r="U52" i="70" s="1"/>
  <c r="P84" i="70"/>
  <c r="R84" i="70"/>
  <c r="U84" i="70" s="1"/>
  <c r="X84" i="70" s="1"/>
  <c r="P21" i="70"/>
  <c r="R21" i="70"/>
  <c r="U21" i="70" s="1"/>
  <c r="X21" i="70" s="1"/>
  <c r="S178" i="70"/>
  <c r="P63" i="70"/>
  <c r="M21" i="70"/>
  <c r="L112" i="70"/>
  <c r="O112" i="70" s="1"/>
  <c r="R112" i="70" s="1"/>
  <c r="M65" i="70"/>
  <c r="L62" i="70"/>
  <c r="O62" i="70" s="1"/>
  <c r="R62" i="70" s="1"/>
  <c r="U62" i="70" s="1"/>
  <c r="O122" i="70"/>
  <c r="J62" i="70"/>
  <c r="B162" i="128"/>
  <c r="D162" i="128" s="1"/>
  <c r="O114" i="70"/>
  <c r="R114" i="70" s="1"/>
  <c r="U114" i="70" s="1"/>
  <c r="B163" i="128"/>
  <c r="D163" i="128" s="1"/>
  <c r="O115" i="70"/>
  <c r="B167" i="128"/>
  <c r="D167" i="128" s="1"/>
  <c r="O119" i="70"/>
  <c r="M87" i="70"/>
  <c r="O87" i="70"/>
  <c r="B165" i="128"/>
  <c r="D165" i="128" s="1"/>
  <c r="O117" i="70"/>
  <c r="B164" i="128"/>
  <c r="D164" i="128" s="1"/>
  <c r="O116" i="70"/>
  <c r="B166" i="128"/>
  <c r="D166" i="128" s="1"/>
  <c r="O118" i="70"/>
  <c r="B170" i="128"/>
  <c r="D170" i="128" s="1"/>
  <c r="M84" i="70"/>
  <c r="J112" i="70"/>
  <c r="M116" i="70"/>
  <c r="M114" i="70"/>
  <c r="M52" i="70"/>
  <c r="M83" i="70"/>
  <c r="M117" i="70"/>
  <c r="M115" i="70"/>
  <c r="M119" i="70"/>
  <c r="M118" i="70"/>
  <c r="J120" i="70"/>
  <c r="L120" i="70"/>
  <c r="J123" i="70"/>
  <c r="L123" i="70"/>
  <c r="J86" i="70"/>
  <c r="L86" i="70"/>
  <c r="O86" i="70" s="1"/>
  <c r="J85" i="70"/>
  <c r="L85" i="70"/>
  <c r="O85" i="70" s="1"/>
  <c r="J113" i="70"/>
  <c r="L113" i="70"/>
  <c r="J122" i="70"/>
  <c r="J121" i="70"/>
  <c r="L121" i="70"/>
  <c r="I111" i="70"/>
  <c r="G111" i="70"/>
  <c r="AD178" i="70" l="1"/>
  <c r="AH178" i="70" s="1"/>
  <c r="AE139" i="70"/>
  <c r="AH139" i="70"/>
  <c r="AE182" i="70"/>
  <c r="AH182" i="70"/>
  <c r="AE258" i="70"/>
  <c r="AE152" i="70"/>
  <c r="AH152" i="70"/>
  <c r="AE260" i="70"/>
  <c r="AH260" i="70"/>
  <c r="AE133" i="70"/>
  <c r="AH133" i="70"/>
  <c r="E63" i="128"/>
  <c r="D63" i="128"/>
  <c r="AE262" i="70"/>
  <c r="AH262" i="70"/>
  <c r="AE183" i="70"/>
  <c r="AH183" i="70"/>
  <c r="AE287" i="70"/>
  <c r="AH287" i="70"/>
  <c r="AE146" i="70"/>
  <c r="AH146" i="70"/>
  <c r="AE181" i="70"/>
  <c r="AB63" i="70"/>
  <c r="AD63" i="70"/>
  <c r="AB186" i="70"/>
  <c r="AD186" i="70"/>
  <c r="AE178" i="70"/>
  <c r="AB187" i="70"/>
  <c r="AD187" i="70"/>
  <c r="AB261" i="70"/>
  <c r="AD261" i="70"/>
  <c r="Y83" i="70"/>
  <c r="AA83" i="70"/>
  <c r="Y157" i="70"/>
  <c r="AA157" i="70"/>
  <c r="Y224" i="70"/>
  <c r="AA224" i="70"/>
  <c r="AA251" i="70"/>
  <c r="B74" i="128" s="1"/>
  <c r="E74" i="128" s="1"/>
  <c r="Y21" i="70"/>
  <c r="AA21" i="70"/>
  <c r="Y84" i="70"/>
  <c r="AA84" i="70"/>
  <c r="X62" i="70"/>
  <c r="X65" i="70"/>
  <c r="AA65" i="70" s="1"/>
  <c r="X52" i="70"/>
  <c r="X114" i="70"/>
  <c r="Y180" i="70"/>
  <c r="X178" i="70"/>
  <c r="Y178" i="70" s="1"/>
  <c r="Y256" i="70"/>
  <c r="X251" i="70"/>
  <c r="Y251" i="70" s="1"/>
  <c r="V21" i="70"/>
  <c r="V178" i="70"/>
  <c r="V84" i="70"/>
  <c r="V62" i="70"/>
  <c r="V65" i="70"/>
  <c r="V83" i="70"/>
  <c r="U112" i="70"/>
  <c r="V251" i="70"/>
  <c r="V114" i="70"/>
  <c r="P112" i="70"/>
  <c r="S84" i="70"/>
  <c r="S21" i="70"/>
  <c r="S52" i="70"/>
  <c r="S65" i="70"/>
  <c r="S62" i="70"/>
  <c r="S83" i="70"/>
  <c r="S251" i="70"/>
  <c r="M112" i="70"/>
  <c r="P114" i="70"/>
  <c r="S114" i="70"/>
  <c r="P116" i="70"/>
  <c r="R116" i="70"/>
  <c r="U116" i="70" s="1"/>
  <c r="X116" i="70" s="1"/>
  <c r="P117" i="70"/>
  <c r="R117" i="70"/>
  <c r="U117" i="70" s="1"/>
  <c r="X117" i="70" s="1"/>
  <c r="P122" i="70"/>
  <c r="R122" i="70"/>
  <c r="U122" i="70" s="1"/>
  <c r="X122" i="70" s="1"/>
  <c r="P86" i="70"/>
  <c r="R86" i="70"/>
  <c r="U86" i="70" s="1"/>
  <c r="X86" i="70" s="1"/>
  <c r="AA86" i="70" s="1"/>
  <c r="P87" i="70"/>
  <c r="R87" i="70"/>
  <c r="U87" i="70" s="1"/>
  <c r="X87" i="70" s="1"/>
  <c r="P85" i="70"/>
  <c r="R85" i="70"/>
  <c r="U85" i="70" s="1"/>
  <c r="X85" i="70" s="1"/>
  <c r="P118" i="70"/>
  <c r="R118" i="70"/>
  <c r="U118" i="70" s="1"/>
  <c r="X118" i="70" s="1"/>
  <c r="P119" i="70"/>
  <c r="R119" i="70"/>
  <c r="U119" i="70" s="1"/>
  <c r="X119" i="70" s="1"/>
  <c r="S112" i="70"/>
  <c r="P115" i="70"/>
  <c r="R115" i="70"/>
  <c r="U115" i="70" s="1"/>
  <c r="B160" i="128"/>
  <c r="D160" i="128" s="1"/>
  <c r="P62" i="70"/>
  <c r="M62" i="70"/>
  <c r="J111" i="70"/>
  <c r="B169" i="128"/>
  <c r="D169" i="128" s="1"/>
  <c r="O121" i="70"/>
  <c r="B171" i="128"/>
  <c r="D171" i="128" s="1"/>
  <c r="O123" i="70"/>
  <c r="B168" i="128"/>
  <c r="D168" i="128" s="1"/>
  <c r="O120" i="70"/>
  <c r="B161" i="128"/>
  <c r="D161" i="128" s="1"/>
  <c r="O113" i="70"/>
  <c r="R113" i="70" s="1"/>
  <c r="U113" i="70" s="1"/>
  <c r="X113" i="70" s="1"/>
  <c r="M113" i="70"/>
  <c r="M85" i="70"/>
  <c r="M86" i="70"/>
  <c r="M120" i="70"/>
  <c r="M121" i="70"/>
  <c r="M123" i="70"/>
  <c r="L111" i="70"/>
  <c r="D74" i="128" l="1"/>
  <c r="AE63" i="70"/>
  <c r="AH63" i="70"/>
  <c r="AD65" i="70"/>
  <c r="AH65" i="70" s="1"/>
  <c r="AD86" i="70"/>
  <c r="AH86" i="70" s="1"/>
  <c r="AE261" i="70"/>
  <c r="AH261" i="70"/>
  <c r="AE187" i="70"/>
  <c r="AH187" i="70"/>
  <c r="AE186" i="70"/>
  <c r="AH186" i="70"/>
  <c r="AB84" i="70"/>
  <c r="AD84" i="70"/>
  <c r="AD251" i="70"/>
  <c r="AB21" i="70"/>
  <c r="AD21" i="70"/>
  <c r="AB83" i="70"/>
  <c r="AD83" i="70"/>
  <c r="AB224" i="70"/>
  <c r="AD224" i="70"/>
  <c r="AB157" i="70"/>
  <c r="AD157" i="70"/>
  <c r="Y87" i="70"/>
  <c r="AA87" i="70"/>
  <c r="Y86" i="70"/>
  <c r="AB86" i="70"/>
  <c r="Y122" i="70"/>
  <c r="AA122" i="70"/>
  <c r="AB251" i="70"/>
  <c r="Y113" i="70"/>
  <c r="AA113" i="70"/>
  <c r="Y117" i="70"/>
  <c r="AA117" i="70"/>
  <c r="Y119" i="70"/>
  <c r="AA119" i="70"/>
  <c r="Y114" i="70"/>
  <c r="AA114" i="70"/>
  <c r="Y116" i="70"/>
  <c r="AA116" i="70"/>
  <c r="Y52" i="70"/>
  <c r="AA52" i="70"/>
  <c r="Y85" i="70"/>
  <c r="AA85" i="70"/>
  <c r="Y65" i="70"/>
  <c r="AB65" i="70"/>
  <c r="Y118" i="70"/>
  <c r="AA118" i="70"/>
  <c r="Y62" i="70"/>
  <c r="AA62" i="70"/>
  <c r="AD62" i="70" s="1"/>
  <c r="AH62" i="70" s="1"/>
  <c r="AB178" i="70"/>
  <c r="X112" i="70"/>
  <c r="AA112" i="70" s="1"/>
  <c r="AD112" i="70" s="1"/>
  <c r="AH112" i="70" s="1"/>
  <c r="X115" i="70"/>
  <c r="V117" i="70"/>
  <c r="V122" i="70"/>
  <c r="V116" i="70"/>
  <c r="V52" i="70"/>
  <c r="V118" i="70"/>
  <c r="V85" i="70"/>
  <c r="V119" i="70"/>
  <c r="V87" i="70"/>
  <c r="V86" i="70"/>
  <c r="V113" i="70"/>
  <c r="V115" i="70"/>
  <c r="V112" i="70"/>
  <c r="S113" i="70"/>
  <c r="S122" i="70"/>
  <c r="S117" i="70"/>
  <c r="S116" i="70"/>
  <c r="S118" i="70"/>
  <c r="S85" i="70"/>
  <c r="S119" i="70"/>
  <c r="S115" i="70"/>
  <c r="S87" i="70"/>
  <c r="S86" i="70"/>
  <c r="P120" i="70"/>
  <c r="R120" i="70"/>
  <c r="U120" i="70" s="1"/>
  <c r="X120" i="70" s="1"/>
  <c r="AA120" i="70" s="1"/>
  <c r="P123" i="70"/>
  <c r="R123" i="70"/>
  <c r="U123" i="70" s="1"/>
  <c r="X123" i="70" s="1"/>
  <c r="P121" i="70"/>
  <c r="R121" i="70"/>
  <c r="U121" i="70" s="1"/>
  <c r="X121" i="70" s="1"/>
  <c r="B159" i="128"/>
  <c r="B174" i="128" s="1"/>
  <c r="O111" i="70"/>
  <c r="P111" i="70" s="1"/>
  <c r="P113" i="70"/>
  <c r="M111" i="70"/>
  <c r="AE224" i="70" l="1"/>
  <c r="AH224" i="70"/>
  <c r="AE157" i="70"/>
  <c r="AH157" i="70"/>
  <c r="AE83" i="70"/>
  <c r="AH83" i="70"/>
  <c r="AD120" i="70"/>
  <c r="AH120" i="70" s="1"/>
  <c r="AE21" i="70"/>
  <c r="AH21" i="70"/>
  <c r="AE86" i="70"/>
  <c r="AE251" i="70"/>
  <c r="AH251" i="70"/>
  <c r="AE65" i="70"/>
  <c r="AE84" i="70"/>
  <c r="AH84" i="70"/>
  <c r="AB117" i="70"/>
  <c r="AD117" i="70"/>
  <c r="AB85" i="70"/>
  <c r="AD85" i="70"/>
  <c r="AB52" i="70"/>
  <c r="AD52" i="70"/>
  <c r="AB118" i="70"/>
  <c r="AD118" i="70"/>
  <c r="AE112" i="70"/>
  <c r="AB122" i="70"/>
  <c r="AD122" i="70"/>
  <c r="AB119" i="70"/>
  <c r="AD119" i="70"/>
  <c r="AB116" i="70"/>
  <c r="AD116" i="70"/>
  <c r="AB113" i="70"/>
  <c r="AD113" i="70"/>
  <c r="AB62" i="70"/>
  <c r="AE62" i="70"/>
  <c r="AB114" i="70"/>
  <c r="AD114" i="70"/>
  <c r="AB87" i="70"/>
  <c r="AD87" i="70"/>
  <c r="Y121" i="70"/>
  <c r="AA121" i="70"/>
  <c r="Y115" i="70"/>
  <c r="AA115" i="70"/>
  <c r="Y123" i="70"/>
  <c r="AA123" i="70"/>
  <c r="AB112" i="70"/>
  <c r="Y120" i="70"/>
  <c r="AB120" i="70"/>
  <c r="Y112" i="70"/>
  <c r="X111" i="70"/>
  <c r="V120" i="70"/>
  <c r="V121" i="70"/>
  <c r="V123" i="70"/>
  <c r="U111" i="70"/>
  <c r="S120" i="70"/>
  <c r="S123" i="70"/>
  <c r="S121" i="70"/>
  <c r="R111" i="70"/>
  <c r="D159" i="128"/>
  <c r="B149" i="128"/>
  <c r="AE122" i="70" l="1"/>
  <c r="AH122" i="70"/>
  <c r="AE118" i="70"/>
  <c r="AH118" i="70"/>
  <c r="AE85" i="70"/>
  <c r="AH85" i="70"/>
  <c r="AE119" i="70"/>
  <c r="AH119" i="70"/>
  <c r="AE117" i="70"/>
  <c r="AH117" i="70"/>
  <c r="AE113" i="70"/>
  <c r="AH113" i="70"/>
  <c r="AE120" i="70"/>
  <c r="AE52" i="70"/>
  <c r="AH52" i="70"/>
  <c r="AE116" i="70"/>
  <c r="AH116" i="70"/>
  <c r="AE87" i="70"/>
  <c r="AH87" i="70"/>
  <c r="AE114" i="70"/>
  <c r="AH114" i="70"/>
  <c r="AB123" i="70"/>
  <c r="AD123" i="70"/>
  <c r="AB115" i="70"/>
  <c r="AD115" i="70"/>
  <c r="AB121" i="70"/>
  <c r="AD121" i="70"/>
  <c r="AA111" i="70"/>
  <c r="AB111" i="70" s="1"/>
  <c r="Y111" i="70"/>
  <c r="V111" i="70"/>
  <c r="S111" i="70"/>
  <c r="AE115" i="70" l="1"/>
  <c r="AH115" i="70"/>
  <c r="AE123" i="70"/>
  <c r="AH123" i="70"/>
  <c r="AE121" i="70"/>
  <c r="AH121" i="70"/>
  <c r="AD111" i="70"/>
  <c r="AE111" i="70" l="1"/>
  <c r="AH111" i="70"/>
  <c r="F197" i="70" l="1"/>
  <c r="I197" i="70" s="1"/>
  <c r="F228" i="70"/>
  <c r="I228" i="70" s="1"/>
  <c r="F227" i="70"/>
  <c r="I227" i="70" s="1"/>
  <c r="F151" i="70"/>
  <c r="I151" i="70" s="1"/>
  <c r="L151" i="70" l="1"/>
  <c r="O151" i="70" s="1"/>
  <c r="R151" i="70" s="1"/>
  <c r="L197" i="70"/>
  <c r="J227" i="70"/>
  <c r="L227" i="70"/>
  <c r="O227" i="70" s="1"/>
  <c r="J228" i="70"/>
  <c r="L228" i="70"/>
  <c r="O228" i="70" s="1"/>
  <c r="J197" i="70"/>
  <c r="J151" i="70"/>
  <c r="G227" i="70"/>
  <c r="G228" i="70"/>
  <c r="G197" i="70"/>
  <c r="G151" i="70"/>
  <c r="U151" i="70" l="1"/>
  <c r="P228" i="70"/>
  <c r="R228" i="70"/>
  <c r="U228" i="70" s="1"/>
  <c r="X228" i="70" s="1"/>
  <c r="P227" i="70"/>
  <c r="R227" i="70"/>
  <c r="U227" i="70" s="1"/>
  <c r="X227" i="70" s="1"/>
  <c r="S151" i="70"/>
  <c r="M151" i="70"/>
  <c r="O197" i="70"/>
  <c r="R197" i="70" s="1"/>
  <c r="U197" i="70" s="1"/>
  <c r="P151" i="70"/>
  <c r="M197" i="70"/>
  <c r="M227" i="70"/>
  <c r="M228" i="70"/>
  <c r="Y227" i="70" l="1"/>
  <c r="AA227" i="70"/>
  <c r="Y228" i="70"/>
  <c r="AA228" i="70"/>
  <c r="X197" i="70"/>
  <c r="X151" i="70"/>
  <c r="AA151" i="70" s="1"/>
  <c r="AD151" i="70" s="1"/>
  <c r="AH151" i="70" s="1"/>
  <c r="V227" i="70"/>
  <c r="V228" i="70"/>
  <c r="V197" i="70"/>
  <c r="V151" i="70"/>
  <c r="S227" i="70"/>
  <c r="S228" i="70"/>
  <c r="P197" i="70"/>
  <c r="S197" i="70"/>
  <c r="AB228" i="70" l="1"/>
  <c r="AD228" i="70"/>
  <c r="AB227" i="70"/>
  <c r="AD227" i="70"/>
  <c r="AE151" i="70"/>
  <c r="AB151" i="70"/>
  <c r="Y197" i="70"/>
  <c r="AA197" i="70"/>
  <c r="Y151" i="70"/>
  <c r="AE227" i="70" l="1"/>
  <c r="AH227" i="70"/>
  <c r="AE228" i="70"/>
  <c r="AH228" i="70"/>
  <c r="AB197" i="70"/>
  <c r="AD197" i="70"/>
  <c r="AE197" i="70" l="1"/>
  <c r="AH197" i="70"/>
  <c r="F47" i="70" l="1"/>
  <c r="J47" i="70" s="1"/>
  <c r="G47" i="70" l="1"/>
  <c r="L209" i="70" l="1"/>
  <c r="O209" i="70" l="1"/>
  <c r="R209" i="70" s="1"/>
  <c r="I235" i="70"/>
  <c r="M209" i="70"/>
  <c r="U209" i="70" l="1"/>
  <c r="S209" i="70"/>
  <c r="M237" i="70"/>
  <c r="O237" i="70"/>
  <c r="R237" i="70" s="1"/>
  <c r="U237" i="70" s="1"/>
  <c r="X237" i="70" s="1"/>
  <c r="AA237" i="70" s="1"/>
  <c r="AD237" i="70" s="1"/>
  <c r="AH237" i="70" s="1"/>
  <c r="P209" i="70"/>
  <c r="J237" i="70"/>
  <c r="J209" i="70"/>
  <c r="AE237" i="70" l="1"/>
  <c r="AD235" i="70"/>
  <c r="AH235" i="70" s="1"/>
  <c r="AB237" i="70"/>
  <c r="AA235" i="70"/>
  <c r="Y237" i="70"/>
  <c r="X235" i="70"/>
  <c r="X209" i="70"/>
  <c r="AA209" i="70" s="1"/>
  <c r="AD209" i="70" s="1"/>
  <c r="AH209" i="70" s="1"/>
  <c r="V209" i="70"/>
  <c r="S237" i="70"/>
  <c r="R235" i="70"/>
  <c r="P237" i="70"/>
  <c r="O235" i="70"/>
  <c r="M235" i="70"/>
  <c r="AB235" i="70" l="1"/>
  <c r="B70" i="128"/>
  <c r="E70" i="128" s="1"/>
  <c r="AE235" i="70"/>
  <c r="AE209" i="70"/>
  <c r="AB209" i="70"/>
  <c r="Y209" i="70"/>
  <c r="V237" i="70"/>
  <c r="U235" i="70"/>
  <c r="Y235" i="70" s="1"/>
  <c r="P235" i="70"/>
  <c r="S235" i="70"/>
  <c r="V235" i="70" l="1"/>
  <c r="D70" i="128"/>
  <c r="F7" i="70" l="1"/>
  <c r="J7" i="70" l="1"/>
  <c r="G7" i="70"/>
  <c r="F239" i="70" l="1"/>
  <c r="G239" i="70" s="1"/>
  <c r="I241" i="70" l="1"/>
  <c r="L241" i="70" s="1"/>
  <c r="J241" i="70" l="1"/>
  <c r="O241" i="70" l="1"/>
  <c r="R241" i="70" s="1"/>
  <c r="U241" i="70" s="1"/>
  <c r="L239" i="70"/>
  <c r="M241" i="70"/>
  <c r="X241" i="70" l="1"/>
  <c r="V241" i="70"/>
  <c r="P241" i="70"/>
  <c r="S241" i="70"/>
  <c r="Y241" i="70" l="1"/>
  <c r="AA241" i="70"/>
  <c r="F295" i="70"/>
  <c r="F291" i="70"/>
  <c r="F290" i="70"/>
  <c r="G287" i="70"/>
  <c r="F286" i="70"/>
  <c r="I286" i="70" s="1"/>
  <c r="F281" i="70"/>
  <c r="F270" i="70"/>
  <c r="G252" i="70"/>
  <c r="F250" i="70"/>
  <c r="F249" i="70"/>
  <c r="F245" i="70"/>
  <c r="I245" i="70" s="1"/>
  <c r="O244" i="70"/>
  <c r="R244" i="70" s="1"/>
  <c r="F230" i="70"/>
  <c r="F216" i="70"/>
  <c r="F214" i="70"/>
  <c r="F212" i="70"/>
  <c r="F211" i="70"/>
  <c r="F206" i="70"/>
  <c r="F205" i="70"/>
  <c r="F201" i="70"/>
  <c r="F200" i="70"/>
  <c r="I200" i="70" s="1"/>
  <c r="F199" i="70"/>
  <c r="F196" i="70"/>
  <c r="F195" i="70"/>
  <c r="F194" i="70"/>
  <c r="G178" i="70"/>
  <c r="F174" i="70"/>
  <c r="I174" i="70" s="1"/>
  <c r="F161" i="70"/>
  <c r="F160" i="70"/>
  <c r="F159" i="70"/>
  <c r="I159" i="70" s="1"/>
  <c r="L159" i="70" s="1"/>
  <c r="O159" i="70" s="1"/>
  <c r="F156" i="70"/>
  <c r="F153" i="70"/>
  <c r="F145" i="70"/>
  <c r="F141" i="70"/>
  <c r="I141" i="70" s="1"/>
  <c r="G139" i="70"/>
  <c r="F138" i="70"/>
  <c r="F137" i="70"/>
  <c r="F136" i="70"/>
  <c r="I136" i="70" s="1"/>
  <c r="F134" i="70"/>
  <c r="F132" i="70"/>
  <c r="I110" i="70"/>
  <c r="I109" i="70"/>
  <c r="I106" i="70"/>
  <c r="I105" i="70"/>
  <c r="F104" i="70"/>
  <c r="I104" i="70" s="1"/>
  <c r="F103" i="70"/>
  <c r="I103" i="70" s="1"/>
  <c r="F101" i="70"/>
  <c r="I101" i="70" s="1"/>
  <c r="F100" i="70"/>
  <c r="I100" i="70" s="1"/>
  <c r="F99" i="70"/>
  <c r="I99" i="70" s="1"/>
  <c r="F97" i="70"/>
  <c r="I97" i="70" s="1"/>
  <c r="L97" i="70" s="1"/>
  <c r="O97" i="70" s="1"/>
  <c r="R97" i="70" s="1"/>
  <c r="F94" i="70"/>
  <c r="I94" i="70" s="1"/>
  <c r="F93" i="70"/>
  <c r="I93" i="70" s="1"/>
  <c r="F90" i="70"/>
  <c r="I90" i="70" s="1"/>
  <c r="F89" i="70"/>
  <c r="I89" i="70" s="1"/>
  <c r="F82" i="70"/>
  <c r="F81" i="70"/>
  <c r="I81" i="70" s="1"/>
  <c r="F80" i="70"/>
  <c r="I80" i="70" s="1"/>
  <c r="F79" i="70"/>
  <c r="I79" i="70" s="1"/>
  <c r="F78" i="70"/>
  <c r="I78" i="70" s="1"/>
  <c r="F77" i="70"/>
  <c r="I77" i="70" s="1"/>
  <c r="F76" i="70"/>
  <c r="I76" i="70" s="1"/>
  <c r="F69" i="70"/>
  <c r="I69" i="70" s="1"/>
  <c r="F68" i="70"/>
  <c r="I68" i="70" s="1"/>
  <c r="I67" i="70"/>
  <c r="F61" i="70"/>
  <c r="I61" i="70" s="1"/>
  <c r="L60" i="70"/>
  <c r="F58" i="70"/>
  <c r="I58" i="70" s="1"/>
  <c r="F57" i="70"/>
  <c r="I57" i="70" s="1"/>
  <c r="G56" i="70"/>
  <c r="G55" i="70"/>
  <c r="F54" i="70"/>
  <c r="I54" i="70" s="1"/>
  <c r="I53" i="70"/>
  <c r="F51" i="70"/>
  <c r="I51" i="70" s="1"/>
  <c r="F46" i="70"/>
  <c r="I46" i="70" s="1"/>
  <c r="F45" i="70"/>
  <c r="I45" i="70" s="1"/>
  <c r="G44" i="70"/>
  <c r="F41" i="70"/>
  <c r="I41" i="70" s="1"/>
  <c r="F40" i="70"/>
  <c r="I40" i="70" s="1"/>
  <c r="F39" i="70"/>
  <c r="I39" i="70" s="1"/>
  <c r="G38" i="70"/>
  <c r="F36" i="70"/>
  <c r="I36" i="70" s="1"/>
  <c r="F35" i="70"/>
  <c r="I35" i="70" s="1"/>
  <c r="F33" i="70"/>
  <c r="I33" i="70" s="1"/>
  <c r="F32" i="70"/>
  <c r="I32" i="70" s="1"/>
  <c r="F31" i="70"/>
  <c r="I31" i="70" s="1"/>
  <c r="F30" i="70"/>
  <c r="I30" i="70" s="1"/>
  <c r="F29" i="70"/>
  <c r="I29" i="70" s="1"/>
  <c r="F28" i="70"/>
  <c r="I28" i="70" s="1"/>
  <c r="F26" i="70"/>
  <c r="I26" i="70" s="1"/>
  <c r="F25" i="70"/>
  <c r="I25" i="70" s="1"/>
  <c r="F24" i="70"/>
  <c r="I24" i="70" s="1"/>
  <c r="F20" i="70"/>
  <c r="G298" i="70"/>
  <c r="G297" i="70"/>
  <c r="G283" i="70"/>
  <c r="G264" i="70"/>
  <c r="G241" i="70"/>
  <c r="G237" i="70"/>
  <c r="G236" i="70"/>
  <c r="G210" i="70"/>
  <c r="G209" i="70"/>
  <c r="G173" i="70"/>
  <c r="G169" i="70"/>
  <c r="G152" i="70"/>
  <c r="G133" i="70"/>
  <c r="G131" i="70"/>
  <c r="F18" i="70"/>
  <c r="I18" i="70" s="1"/>
  <c r="F17" i="70"/>
  <c r="I17" i="70" s="1"/>
  <c r="F15" i="70"/>
  <c r="I15" i="70" s="1"/>
  <c r="F14" i="70"/>
  <c r="I14" i="70" s="1"/>
  <c r="F12" i="70"/>
  <c r="I12" i="70" s="1"/>
  <c r="F11" i="70"/>
  <c r="F296" i="70"/>
  <c r="J296" i="70" s="1"/>
  <c r="AB241" i="70" l="1"/>
  <c r="AD241" i="70"/>
  <c r="U244" i="70"/>
  <c r="X244" i="70" s="1"/>
  <c r="AA244" i="70" s="1"/>
  <c r="AD244" i="70" s="1"/>
  <c r="AH244" i="70" s="1"/>
  <c r="U97" i="70"/>
  <c r="I11" i="70"/>
  <c r="L11" i="70" s="1"/>
  <c r="O11" i="70" s="1"/>
  <c r="R11" i="70" s="1"/>
  <c r="I138" i="70"/>
  <c r="R159" i="70"/>
  <c r="U159" i="70" s="1"/>
  <c r="X159" i="70" s="1"/>
  <c r="R95" i="70"/>
  <c r="S97" i="70"/>
  <c r="S244" i="70"/>
  <c r="L105" i="70"/>
  <c r="O105" i="70" s="1"/>
  <c r="L41" i="70"/>
  <c r="L245" i="70"/>
  <c r="L243" i="70" s="1"/>
  <c r="L24" i="70"/>
  <c r="O24" i="70" s="1"/>
  <c r="R24" i="70" s="1"/>
  <c r="L39" i="70"/>
  <c r="O39" i="70" s="1"/>
  <c r="R39" i="70" s="1"/>
  <c r="L15" i="70"/>
  <c r="O15" i="70" s="1"/>
  <c r="L89" i="70"/>
  <c r="O89" i="70" s="1"/>
  <c r="R89" i="70" s="1"/>
  <c r="U89" i="70" s="1"/>
  <c r="L109" i="70"/>
  <c r="O109" i="70" s="1"/>
  <c r="R109" i="70" s="1"/>
  <c r="F263" i="70"/>
  <c r="I270" i="70"/>
  <c r="L17" i="70"/>
  <c r="O17" i="70" s="1"/>
  <c r="R17" i="70" s="1"/>
  <c r="L28" i="70"/>
  <c r="O28" i="70" s="1"/>
  <c r="R28" i="70" s="1"/>
  <c r="L93" i="70"/>
  <c r="O93" i="70" s="1"/>
  <c r="R93" i="70" s="1"/>
  <c r="U93" i="70" s="1"/>
  <c r="L174" i="70"/>
  <c r="M174" i="70" s="1"/>
  <c r="L99" i="70"/>
  <c r="O99" i="70" s="1"/>
  <c r="R99" i="70" s="1"/>
  <c r="U99" i="70" s="1"/>
  <c r="L51" i="70"/>
  <c r="M51" i="70" s="1"/>
  <c r="L35" i="70"/>
  <c r="O35" i="70" s="1"/>
  <c r="R35" i="70" s="1"/>
  <c r="L103" i="70"/>
  <c r="O103" i="70" s="1"/>
  <c r="R103" i="70" s="1"/>
  <c r="I82" i="70"/>
  <c r="J82" i="70" s="1"/>
  <c r="I194" i="70"/>
  <c r="F193" i="70"/>
  <c r="F192" i="70" s="1"/>
  <c r="I145" i="70"/>
  <c r="L145" i="70" s="1"/>
  <c r="I153" i="70"/>
  <c r="I239" i="70"/>
  <c r="I156" i="70"/>
  <c r="L156" i="70" s="1"/>
  <c r="F154" i="70"/>
  <c r="P97" i="70"/>
  <c r="O95" i="70"/>
  <c r="O60" i="70"/>
  <c r="L223" i="70"/>
  <c r="L200" i="70"/>
  <c r="O200" i="70" s="1"/>
  <c r="J12" i="70"/>
  <c r="L12" i="70"/>
  <c r="J31" i="70"/>
  <c r="L31" i="70"/>
  <c r="O31" i="70" s="1"/>
  <c r="J69" i="70"/>
  <c r="L69" i="70"/>
  <c r="J32" i="70"/>
  <c r="L32" i="70"/>
  <c r="O32" i="70" s="1"/>
  <c r="J33" i="70"/>
  <c r="L33" i="70"/>
  <c r="O33" i="70" s="1"/>
  <c r="J54" i="70"/>
  <c r="L54" i="70"/>
  <c r="O54" i="70" s="1"/>
  <c r="J77" i="70"/>
  <c r="L77" i="70"/>
  <c r="O77" i="70" s="1"/>
  <c r="M219" i="70"/>
  <c r="J90" i="70"/>
  <c r="L90" i="70"/>
  <c r="J78" i="70"/>
  <c r="L78" i="70"/>
  <c r="O78" i="70" s="1"/>
  <c r="J94" i="70"/>
  <c r="L94" i="70"/>
  <c r="O94" i="70" s="1"/>
  <c r="R94" i="70" s="1"/>
  <c r="U94" i="70" s="1"/>
  <c r="J46" i="70"/>
  <c r="L46" i="70"/>
  <c r="O46" i="70" s="1"/>
  <c r="J14" i="70"/>
  <c r="L14" i="70"/>
  <c r="J53" i="70"/>
  <c r="L53" i="70"/>
  <c r="O53" i="70" s="1"/>
  <c r="J18" i="70"/>
  <c r="L18" i="70"/>
  <c r="O18" i="70" s="1"/>
  <c r="J36" i="70"/>
  <c r="L36" i="70"/>
  <c r="O36" i="70" s="1"/>
  <c r="J79" i="70"/>
  <c r="L79" i="70"/>
  <c r="O79" i="70" s="1"/>
  <c r="L95" i="70"/>
  <c r="M97" i="70"/>
  <c r="J106" i="70"/>
  <c r="L106" i="70"/>
  <c r="J57" i="70"/>
  <c r="L57" i="70"/>
  <c r="O57" i="70" s="1"/>
  <c r="M39" i="70"/>
  <c r="J58" i="70"/>
  <c r="L58" i="70"/>
  <c r="O58" i="70" s="1"/>
  <c r="J100" i="70"/>
  <c r="L100" i="70"/>
  <c r="O100" i="70" s="1"/>
  <c r="R100" i="70" s="1"/>
  <c r="U100" i="70" s="1"/>
  <c r="J110" i="70"/>
  <c r="L110" i="70"/>
  <c r="J25" i="70"/>
  <c r="L25" i="70"/>
  <c r="O25" i="70" s="1"/>
  <c r="J26" i="70"/>
  <c r="L26" i="70"/>
  <c r="O26" i="70" s="1"/>
  <c r="J40" i="70"/>
  <c r="L40" i="70"/>
  <c r="O40" i="70" s="1"/>
  <c r="R40" i="70" s="1"/>
  <c r="U40" i="70" s="1"/>
  <c r="J60" i="70"/>
  <c r="M60" i="70"/>
  <c r="J101" i="70"/>
  <c r="L101" i="70"/>
  <c r="O101" i="70" s="1"/>
  <c r="J41" i="70"/>
  <c r="J61" i="70"/>
  <c r="L61" i="70"/>
  <c r="J80" i="70"/>
  <c r="L80" i="70"/>
  <c r="O80" i="70" s="1"/>
  <c r="J68" i="70"/>
  <c r="L68" i="70"/>
  <c r="J76" i="70"/>
  <c r="L76" i="70"/>
  <c r="J29" i="70"/>
  <c r="L29" i="70"/>
  <c r="O29" i="70" s="1"/>
  <c r="J81" i="70"/>
  <c r="L81" i="70"/>
  <c r="O81" i="70" s="1"/>
  <c r="J104" i="70"/>
  <c r="L104" i="70"/>
  <c r="O104" i="70" s="1"/>
  <c r="J141" i="70"/>
  <c r="L141" i="70"/>
  <c r="M240" i="70"/>
  <c r="J30" i="70"/>
  <c r="L30" i="70"/>
  <c r="J45" i="70"/>
  <c r="L45" i="70"/>
  <c r="O45" i="70" s="1"/>
  <c r="J67" i="70"/>
  <c r="L67" i="70"/>
  <c r="O67" i="70" s="1"/>
  <c r="R67" i="70" s="1"/>
  <c r="J105" i="70"/>
  <c r="M244" i="70"/>
  <c r="J233" i="70"/>
  <c r="J93" i="70"/>
  <c r="I92" i="70"/>
  <c r="J11" i="70"/>
  <c r="I10" i="70"/>
  <c r="I27" i="70"/>
  <c r="L147" i="70"/>
  <c r="O147" i="70" s="1"/>
  <c r="I214" i="70"/>
  <c r="L285" i="70"/>
  <c r="I217" i="70"/>
  <c r="I290" i="70"/>
  <c r="J51" i="70"/>
  <c r="I50" i="70"/>
  <c r="J89" i="70"/>
  <c r="I88" i="70"/>
  <c r="J109" i="70"/>
  <c r="I108" i="70"/>
  <c r="I149" i="70"/>
  <c r="I195" i="70"/>
  <c r="I216" i="70"/>
  <c r="L248" i="70"/>
  <c r="I132" i="70"/>
  <c r="I221" i="70"/>
  <c r="G20" i="70"/>
  <c r="I20" i="70"/>
  <c r="L20" i="70" s="1"/>
  <c r="O20" i="70" s="1"/>
  <c r="R20" i="70" s="1"/>
  <c r="I95" i="70"/>
  <c r="J97" i="70"/>
  <c r="I135" i="70"/>
  <c r="I160" i="70"/>
  <c r="J200" i="70"/>
  <c r="I222" i="70"/>
  <c r="I294" i="70"/>
  <c r="I196" i="70"/>
  <c r="I291" i="70"/>
  <c r="J24" i="70"/>
  <c r="I23" i="70"/>
  <c r="J99" i="70"/>
  <c r="I98" i="70"/>
  <c r="L136" i="70"/>
  <c r="I161" i="70"/>
  <c r="I201" i="70"/>
  <c r="J223" i="70"/>
  <c r="L272" i="70"/>
  <c r="I295" i="70"/>
  <c r="I198" i="70"/>
  <c r="J39" i="70"/>
  <c r="I37" i="70"/>
  <c r="I137" i="70"/>
  <c r="J174" i="70"/>
  <c r="I230" i="70"/>
  <c r="I300" i="70"/>
  <c r="I13" i="70"/>
  <c r="J15" i="70"/>
  <c r="I250" i="70"/>
  <c r="L138" i="70"/>
  <c r="O138" i="70" s="1"/>
  <c r="I175" i="70"/>
  <c r="I205" i="70"/>
  <c r="O232" i="70"/>
  <c r="R232" i="70" s="1"/>
  <c r="I276" i="70"/>
  <c r="I249" i="70"/>
  <c r="J17" i="70"/>
  <c r="I16" i="70"/>
  <c r="I199" i="70"/>
  <c r="J28" i="70"/>
  <c r="J103" i="70"/>
  <c r="I102" i="70"/>
  <c r="I177" i="70"/>
  <c r="I206" i="70"/>
  <c r="J35" i="70"/>
  <c r="I34" i="70"/>
  <c r="I134" i="70"/>
  <c r="J235" i="70"/>
  <c r="I211" i="70"/>
  <c r="J240" i="70"/>
  <c r="I212" i="70"/>
  <c r="J244" i="70"/>
  <c r="J281" i="70"/>
  <c r="G106" i="70"/>
  <c r="G89" i="70"/>
  <c r="G109" i="70"/>
  <c r="G14" i="70"/>
  <c r="G32" i="70"/>
  <c r="G53" i="70"/>
  <c r="G76" i="70"/>
  <c r="G90" i="70"/>
  <c r="G110" i="70"/>
  <c r="G15" i="70"/>
  <c r="G33" i="70"/>
  <c r="G54" i="70"/>
  <c r="G77" i="70"/>
  <c r="G93" i="70"/>
  <c r="G11" i="70"/>
  <c r="G69" i="70"/>
  <c r="G17" i="70"/>
  <c r="G35" i="70"/>
  <c r="G78" i="70"/>
  <c r="G94" i="70"/>
  <c r="G31" i="70"/>
  <c r="G18" i="70"/>
  <c r="G36" i="70"/>
  <c r="G79" i="70"/>
  <c r="G97" i="70"/>
  <c r="G68" i="70"/>
  <c r="G24" i="70"/>
  <c r="G57" i="70"/>
  <c r="G99" i="70"/>
  <c r="G46" i="70"/>
  <c r="G12" i="70"/>
  <c r="G25" i="70"/>
  <c r="G39" i="70"/>
  <c r="G58" i="70"/>
  <c r="G100" i="70"/>
  <c r="F172" i="70"/>
  <c r="G26" i="70"/>
  <c r="G40" i="70"/>
  <c r="G60" i="70"/>
  <c r="G101" i="70"/>
  <c r="G82" i="70"/>
  <c r="G51" i="70"/>
  <c r="G28" i="70"/>
  <c r="G41" i="70"/>
  <c r="G61" i="70"/>
  <c r="G80" i="70"/>
  <c r="G103" i="70"/>
  <c r="G233" i="70"/>
  <c r="G29" i="70"/>
  <c r="G81" i="70"/>
  <c r="G104" i="70"/>
  <c r="G30" i="70"/>
  <c r="G45" i="70"/>
  <c r="G67" i="70"/>
  <c r="G105" i="70"/>
  <c r="F144" i="70"/>
  <c r="F243" i="70"/>
  <c r="F66" i="70"/>
  <c r="F102" i="70"/>
  <c r="F218" i="70"/>
  <c r="F208" i="70"/>
  <c r="G145" i="70"/>
  <c r="G144" i="70" s="1"/>
  <c r="G279" i="70"/>
  <c r="G149" i="70"/>
  <c r="G153" i="70"/>
  <c r="G232" i="70"/>
  <c r="G195" i="70"/>
  <c r="G282" i="70"/>
  <c r="G285" i="70"/>
  <c r="G141" i="70"/>
  <c r="G286" i="70"/>
  <c r="F284" i="70"/>
  <c r="G216" i="70"/>
  <c r="G240" i="70"/>
  <c r="G200" i="70"/>
  <c r="G300" i="70"/>
  <c r="G170" i="70"/>
  <c r="G270" i="70"/>
  <c r="G291" i="70"/>
  <c r="G294" i="70"/>
  <c r="F95" i="70"/>
  <c r="G274" i="70"/>
  <c r="G276" i="70"/>
  <c r="G205" i="70"/>
  <c r="G175" i="70"/>
  <c r="G248" i="70"/>
  <c r="G147" i="70"/>
  <c r="G177" i="70"/>
  <c r="G249" i="70"/>
  <c r="F247" i="70"/>
  <c r="G278" i="70"/>
  <c r="G250" i="70"/>
  <c r="G222" i="70"/>
  <c r="F13" i="70"/>
  <c r="G134" i="70"/>
  <c r="F88" i="70"/>
  <c r="G194" i="70"/>
  <c r="G230" i="70"/>
  <c r="G290" i="70"/>
  <c r="G244" i="70"/>
  <c r="G217" i="70"/>
  <c r="F215" i="70"/>
  <c r="G289" i="70"/>
  <c r="G199" i="70"/>
  <c r="G211" i="70"/>
  <c r="G214" i="70"/>
  <c r="G221" i="70"/>
  <c r="G223" i="70"/>
  <c r="G268" i="70"/>
  <c r="G202" i="70"/>
  <c r="G174" i="70"/>
  <c r="G219" i="70"/>
  <c r="F148" i="70"/>
  <c r="G142" i="70"/>
  <c r="F34" i="70"/>
  <c r="G245" i="70"/>
  <c r="G295" i="70"/>
  <c r="F16" i="70"/>
  <c r="F10" i="70"/>
  <c r="G198" i="70"/>
  <c r="G206" i="70"/>
  <c r="G212" i="70"/>
  <c r="G272" i="70"/>
  <c r="F92" i="70"/>
  <c r="F108" i="70"/>
  <c r="G182" i="70"/>
  <c r="G196" i="70"/>
  <c r="G201" i="70"/>
  <c r="G159" i="70"/>
  <c r="G137" i="70"/>
  <c r="G160" i="70"/>
  <c r="G161" i="70"/>
  <c r="G138" i="70"/>
  <c r="G156" i="70"/>
  <c r="G158" i="70"/>
  <c r="G132" i="70"/>
  <c r="G135" i="70"/>
  <c r="G136" i="70"/>
  <c r="F19" i="70"/>
  <c r="F98" i="70"/>
  <c r="F293" i="70"/>
  <c r="F23" i="70"/>
  <c r="G23" i="70" s="1"/>
  <c r="F50" i="70"/>
  <c r="F27" i="70"/>
  <c r="G271" i="70"/>
  <c r="G155" i="70"/>
  <c r="F130" i="70"/>
  <c r="F37" i="70"/>
  <c r="AE241" i="70" l="1"/>
  <c r="AH241" i="70"/>
  <c r="M35" i="70"/>
  <c r="M89" i="70"/>
  <c r="M103" i="70"/>
  <c r="AE244" i="70"/>
  <c r="Y159" i="70"/>
  <c r="AA159" i="70"/>
  <c r="AB244" i="70"/>
  <c r="X94" i="70"/>
  <c r="X100" i="70"/>
  <c r="X89" i="70"/>
  <c r="AA89" i="70" s="1"/>
  <c r="AD89" i="70" s="1"/>
  <c r="AH89" i="70" s="1"/>
  <c r="X40" i="70"/>
  <c r="X99" i="70"/>
  <c r="AA99" i="70" s="1"/>
  <c r="AD99" i="70" s="1"/>
  <c r="AH99" i="70" s="1"/>
  <c r="X97" i="70"/>
  <c r="AA97" i="70" s="1"/>
  <c r="AD97" i="70" s="1"/>
  <c r="AH97" i="70" s="1"/>
  <c r="X93" i="70"/>
  <c r="AA93" i="70" s="1"/>
  <c r="AD93" i="70" s="1"/>
  <c r="AH93" i="70" s="1"/>
  <c r="U232" i="70"/>
  <c r="X232" i="70" s="1"/>
  <c r="AA232" i="70" s="1"/>
  <c r="AD232" i="70" s="1"/>
  <c r="AH232" i="70" s="1"/>
  <c r="U35" i="70"/>
  <c r="X35" i="70" s="1"/>
  <c r="AA35" i="70" s="1"/>
  <c r="AD35" i="70" s="1"/>
  <c r="AH35" i="70" s="1"/>
  <c r="U39" i="70"/>
  <c r="X39" i="70" s="1"/>
  <c r="AA39" i="70" s="1"/>
  <c r="AD39" i="70" s="1"/>
  <c r="AH39" i="70" s="1"/>
  <c r="M105" i="70"/>
  <c r="M28" i="70"/>
  <c r="V159" i="70"/>
  <c r="V94" i="70"/>
  <c r="V100" i="70"/>
  <c r="U109" i="70"/>
  <c r="U103" i="70"/>
  <c r="U67" i="70"/>
  <c r="U11" i="70"/>
  <c r="V40" i="70"/>
  <c r="U24" i="70"/>
  <c r="U20" i="70"/>
  <c r="V244" i="70"/>
  <c r="U28" i="70"/>
  <c r="V97" i="70"/>
  <c r="U95" i="70"/>
  <c r="U17" i="70"/>
  <c r="S159" i="70"/>
  <c r="P105" i="70"/>
  <c r="M93" i="70"/>
  <c r="M109" i="70"/>
  <c r="R105" i="70"/>
  <c r="U105" i="70" s="1"/>
  <c r="X105" i="70" s="1"/>
  <c r="AA105" i="70" s="1"/>
  <c r="R200" i="70"/>
  <c r="U200" i="70" s="1"/>
  <c r="X200" i="70" s="1"/>
  <c r="P18" i="70"/>
  <c r="R18" i="70"/>
  <c r="U18" i="70" s="1"/>
  <c r="X18" i="70" s="1"/>
  <c r="P40" i="70"/>
  <c r="S40" i="70"/>
  <c r="P60" i="70"/>
  <c r="R60" i="70"/>
  <c r="U60" i="70" s="1"/>
  <c r="X60" i="70" s="1"/>
  <c r="S109" i="70"/>
  <c r="P57" i="70"/>
  <c r="R57" i="70"/>
  <c r="U57" i="70" s="1"/>
  <c r="X57" i="70" s="1"/>
  <c r="P53" i="70"/>
  <c r="R53" i="70"/>
  <c r="U53" i="70" s="1"/>
  <c r="S39" i="70"/>
  <c r="S99" i="70"/>
  <c r="R19" i="70"/>
  <c r="S20" i="70"/>
  <c r="P80" i="70"/>
  <c r="R80" i="70"/>
  <c r="U80" i="70" s="1"/>
  <c r="X80" i="70" s="1"/>
  <c r="P26" i="70"/>
  <c r="R26" i="70"/>
  <c r="U26" i="70" s="1"/>
  <c r="X26" i="70" s="1"/>
  <c r="S89" i="70"/>
  <c r="S232" i="70"/>
  <c r="R231" i="70"/>
  <c r="P104" i="70"/>
  <c r="R104" i="70"/>
  <c r="U104" i="70" s="1"/>
  <c r="S103" i="70"/>
  <c r="S93" i="70"/>
  <c r="P25" i="70"/>
  <c r="R25" i="70"/>
  <c r="U25" i="70" s="1"/>
  <c r="X25" i="70" s="1"/>
  <c r="P77" i="70"/>
  <c r="R77" i="70"/>
  <c r="U77" i="70" s="1"/>
  <c r="X77" i="70" s="1"/>
  <c r="P31" i="70"/>
  <c r="R31" i="70"/>
  <c r="U31" i="70" s="1"/>
  <c r="X31" i="70" s="1"/>
  <c r="P15" i="70"/>
  <c r="R15" i="70"/>
  <c r="U15" i="70" s="1"/>
  <c r="X15" i="70" s="1"/>
  <c r="P81" i="70"/>
  <c r="R81" i="70"/>
  <c r="U81" i="70" s="1"/>
  <c r="X81" i="70" s="1"/>
  <c r="P46" i="70"/>
  <c r="R46" i="70"/>
  <c r="U46" i="70" s="1"/>
  <c r="S35" i="70"/>
  <c r="P138" i="70"/>
  <c r="R138" i="70"/>
  <c r="U138" i="70" s="1"/>
  <c r="X138" i="70" s="1"/>
  <c r="S67" i="70"/>
  <c r="P54" i="70"/>
  <c r="R54" i="70"/>
  <c r="U54" i="70" s="1"/>
  <c r="S28" i="70"/>
  <c r="P29" i="70"/>
  <c r="R29" i="70"/>
  <c r="U29" i="70" s="1"/>
  <c r="X29" i="70" s="1"/>
  <c r="P79" i="70"/>
  <c r="R79" i="70"/>
  <c r="U79" i="70" s="1"/>
  <c r="X79" i="70" s="1"/>
  <c r="P94" i="70"/>
  <c r="S94" i="70"/>
  <c r="S11" i="70"/>
  <c r="P147" i="70"/>
  <c r="R147" i="70"/>
  <c r="U147" i="70" s="1"/>
  <c r="X147" i="70" s="1"/>
  <c r="P45" i="70"/>
  <c r="R45" i="70"/>
  <c r="U45" i="70" s="1"/>
  <c r="P101" i="70"/>
  <c r="R101" i="70"/>
  <c r="U101" i="70" s="1"/>
  <c r="X101" i="70" s="1"/>
  <c r="P100" i="70"/>
  <c r="S100" i="70"/>
  <c r="P33" i="70"/>
  <c r="R33" i="70"/>
  <c r="U33" i="70" s="1"/>
  <c r="X33" i="70" s="1"/>
  <c r="S17" i="70"/>
  <c r="S24" i="70"/>
  <c r="P36" i="70"/>
  <c r="R36" i="70"/>
  <c r="U36" i="70" s="1"/>
  <c r="X36" i="70" s="1"/>
  <c r="P78" i="70"/>
  <c r="R78" i="70"/>
  <c r="U78" i="70" s="1"/>
  <c r="X78" i="70" s="1"/>
  <c r="AA78" i="70" s="1"/>
  <c r="P58" i="70"/>
  <c r="R58" i="70"/>
  <c r="U58" i="70" s="1"/>
  <c r="X58" i="70" s="1"/>
  <c r="P32" i="70"/>
  <c r="R32" i="70"/>
  <c r="U32" i="70" s="1"/>
  <c r="X32" i="70" s="1"/>
  <c r="S95" i="70"/>
  <c r="O30" i="70"/>
  <c r="R30" i="70" s="1"/>
  <c r="M17" i="70"/>
  <c r="O106" i="70"/>
  <c r="R106" i="70" s="1"/>
  <c r="U106" i="70" s="1"/>
  <c r="X106" i="70" s="1"/>
  <c r="AA106" i="70" s="1"/>
  <c r="F207" i="70"/>
  <c r="L211" i="70"/>
  <c r="O211" i="70" s="1"/>
  <c r="R211" i="70" s="1"/>
  <c r="I208" i="70"/>
  <c r="M24" i="70"/>
  <c r="I144" i="70"/>
  <c r="I143" i="70" s="1"/>
  <c r="J145" i="70"/>
  <c r="M15" i="70"/>
  <c r="M11" i="70"/>
  <c r="L135" i="70"/>
  <c r="O135" i="70" s="1"/>
  <c r="M99" i="70"/>
  <c r="O98" i="70"/>
  <c r="I193" i="70"/>
  <c r="L194" i="70"/>
  <c r="O51" i="70"/>
  <c r="L195" i="70"/>
  <c r="O195" i="70" s="1"/>
  <c r="O174" i="70"/>
  <c r="I172" i="70"/>
  <c r="L82" i="70"/>
  <c r="O82" i="70" s="1"/>
  <c r="R82" i="70" s="1"/>
  <c r="U82" i="70" s="1"/>
  <c r="G263" i="70"/>
  <c r="G193" i="70"/>
  <c r="G192" i="70" s="1"/>
  <c r="L132" i="70"/>
  <c r="O132" i="70" s="1"/>
  <c r="L217" i="70"/>
  <c r="O217" i="70" s="1"/>
  <c r="O156" i="70"/>
  <c r="L149" i="70"/>
  <c r="O149" i="70" s="1"/>
  <c r="R149" i="70" s="1"/>
  <c r="L153" i="70"/>
  <c r="M153" i="70" s="1"/>
  <c r="O145" i="70"/>
  <c r="R145" i="70" s="1"/>
  <c r="L294" i="70"/>
  <c r="O294" i="70" s="1"/>
  <c r="R294" i="70" s="1"/>
  <c r="J270" i="70"/>
  <c r="I231" i="70"/>
  <c r="J239" i="70"/>
  <c r="J156" i="70"/>
  <c r="O240" i="70"/>
  <c r="L270" i="70"/>
  <c r="O278" i="70"/>
  <c r="R278" i="70" s="1"/>
  <c r="I277" i="70"/>
  <c r="F229" i="70"/>
  <c r="F6" i="70"/>
  <c r="M156" i="70"/>
  <c r="L230" i="70"/>
  <c r="O230" i="70" s="1"/>
  <c r="P67" i="70"/>
  <c r="P95" i="70"/>
  <c r="M68" i="70"/>
  <c r="O68" i="70"/>
  <c r="L34" i="70"/>
  <c r="M34" i="70" s="1"/>
  <c r="P244" i="70"/>
  <c r="P35" i="70"/>
  <c r="O34" i="70"/>
  <c r="P109" i="70"/>
  <c r="L10" i="70"/>
  <c r="O12" i="70"/>
  <c r="M141" i="70"/>
  <c r="O141" i="70"/>
  <c r="P39" i="70"/>
  <c r="O37" i="70"/>
  <c r="P17" i="70"/>
  <c r="O16" i="70"/>
  <c r="P89" i="70"/>
  <c r="M76" i="70"/>
  <c r="O76" i="70"/>
  <c r="O19" i="70"/>
  <c r="P20" i="70"/>
  <c r="M90" i="70"/>
  <c r="O90" i="70"/>
  <c r="P233" i="70"/>
  <c r="O14" i="70"/>
  <c r="R14" i="70" s="1"/>
  <c r="P200" i="70"/>
  <c r="P219" i="70"/>
  <c r="M61" i="70"/>
  <c r="O61" i="70"/>
  <c r="P103" i="70"/>
  <c r="O102" i="70"/>
  <c r="P24" i="70"/>
  <c r="O23" i="70"/>
  <c r="O272" i="70"/>
  <c r="O41" i="70"/>
  <c r="O223" i="70"/>
  <c r="O248" i="70"/>
  <c r="R248" i="70" s="1"/>
  <c r="O285" i="70"/>
  <c r="R285" i="70" s="1"/>
  <c r="M69" i="70"/>
  <c r="O69" i="70"/>
  <c r="P28" i="70"/>
  <c r="O92" i="70"/>
  <c r="P93" i="70"/>
  <c r="O245" i="70"/>
  <c r="P11" i="70"/>
  <c r="O136" i="70"/>
  <c r="L108" i="70"/>
  <c r="M108" i="70" s="1"/>
  <c r="O110" i="70"/>
  <c r="M223" i="70"/>
  <c r="M106" i="70"/>
  <c r="M32" i="70"/>
  <c r="M40" i="70"/>
  <c r="M81" i="70"/>
  <c r="M58" i="70"/>
  <c r="M26" i="70"/>
  <c r="M46" i="70"/>
  <c r="M25" i="70"/>
  <c r="M94" i="70"/>
  <c r="L92" i="70"/>
  <c r="M101" i="70"/>
  <c r="M110" i="70"/>
  <c r="M36" i="70"/>
  <c r="M78" i="70"/>
  <c r="M77" i="70"/>
  <c r="M200" i="70"/>
  <c r="M104" i="70"/>
  <c r="M31" i="70"/>
  <c r="M30" i="70"/>
  <c r="M29" i="70"/>
  <c r="I243" i="70"/>
  <c r="M233" i="70"/>
  <c r="L88" i="70"/>
  <c r="M57" i="70"/>
  <c r="M18" i="70"/>
  <c r="M54" i="70"/>
  <c r="M45" i="70"/>
  <c r="M12" i="70"/>
  <c r="M41" i="70"/>
  <c r="L37" i="70"/>
  <c r="M79" i="70"/>
  <c r="M100" i="70"/>
  <c r="M67" i="70"/>
  <c r="M80" i="70"/>
  <c r="M53" i="70"/>
  <c r="L16" i="70"/>
  <c r="M33" i="70"/>
  <c r="J136" i="70"/>
  <c r="M136" i="70"/>
  <c r="J134" i="70"/>
  <c r="L134" i="70"/>
  <c r="M232" i="70"/>
  <c r="J196" i="70"/>
  <c r="L196" i="70"/>
  <c r="O196" i="70" s="1"/>
  <c r="R196" i="70" s="1"/>
  <c r="U196" i="70" s="1"/>
  <c r="J147" i="70"/>
  <c r="M147" i="70"/>
  <c r="J205" i="70"/>
  <c r="L205" i="70"/>
  <c r="O205" i="70" s="1"/>
  <c r="R205" i="70" s="1"/>
  <c r="J161" i="70"/>
  <c r="L161" i="70"/>
  <c r="J216" i="70"/>
  <c r="L216" i="70"/>
  <c r="J290" i="70"/>
  <c r="L290" i="70"/>
  <c r="O290" i="70" s="1"/>
  <c r="L23" i="70"/>
  <c r="J274" i="70"/>
  <c r="L274" i="70"/>
  <c r="O274" i="70" s="1"/>
  <c r="J222" i="70"/>
  <c r="L222" i="70"/>
  <c r="O222" i="70" s="1"/>
  <c r="J221" i="70"/>
  <c r="L221" i="70"/>
  <c r="M285" i="70"/>
  <c r="M14" i="70"/>
  <c r="L13" i="70"/>
  <c r="J138" i="70"/>
  <c r="M138" i="70"/>
  <c r="J279" i="70"/>
  <c r="L279" i="70"/>
  <c r="O279" i="70" s="1"/>
  <c r="R279" i="70" s="1"/>
  <c r="U279" i="70" s="1"/>
  <c r="J300" i="70"/>
  <c r="L300" i="70"/>
  <c r="J272" i="70"/>
  <c r="J245" i="70"/>
  <c r="L102" i="70"/>
  <c r="L50" i="70"/>
  <c r="J195" i="70"/>
  <c r="J206" i="70"/>
  <c r="L206" i="70"/>
  <c r="O206" i="70" s="1"/>
  <c r="J249" i="70"/>
  <c r="L249" i="70"/>
  <c r="O249" i="70" s="1"/>
  <c r="R249" i="70" s="1"/>
  <c r="U249" i="70" s="1"/>
  <c r="J159" i="70"/>
  <c r="J202" i="70"/>
  <c r="L98" i="70"/>
  <c r="M95" i="70"/>
  <c r="J198" i="70"/>
  <c r="L198" i="70"/>
  <c r="O198" i="70" s="1"/>
  <c r="J199" i="70"/>
  <c r="L199" i="70"/>
  <c r="O199" i="70" s="1"/>
  <c r="J291" i="70"/>
  <c r="L291" i="70"/>
  <c r="O291" i="70" s="1"/>
  <c r="J160" i="70"/>
  <c r="L160" i="70"/>
  <c r="O160" i="70" s="1"/>
  <c r="J286" i="70"/>
  <c r="L286" i="70"/>
  <c r="O286" i="70" s="1"/>
  <c r="J214" i="70"/>
  <c r="L214" i="70"/>
  <c r="J295" i="70"/>
  <c r="L295" i="70"/>
  <c r="O295" i="70" s="1"/>
  <c r="J212" i="70"/>
  <c r="L212" i="70"/>
  <c r="O212" i="70" s="1"/>
  <c r="J177" i="70"/>
  <c r="L177" i="70"/>
  <c r="O177" i="70" s="1"/>
  <c r="J276" i="70"/>
  <c r="L276" i="70"/>
  <c r="O276" i="70" s="1"/>
  <c r="J250" i="70"/>
  <c r="L250" i="70"/>
  <c r="M20" i="70"/>
  <c r="L19" i="70"/>
  <c r="J175" i="70"/>
  <c r="L175" i="70"/>
  <c r="J137" i="70"/>
  <c r="L137" i="70"/>
  <c r="O137" i="70" s="1"/>
  <c r="J201" i="70"/>
  <c r="L201" i="70"/>
  <c r="O201" i="70" s="1"/>
  <c r="J135" i="70"/>
  <c r="M248" i="70"/>
  <c r="F143" i="70"/>
  <c r="J27" i="70"/>
  <c r="J13" i="70"/>
  <c r="J88" i="70"/>
  <c r="J219" i="70"/>
  <c r="I218" i="70"/>
  <c r="J37" i="70"/>
  <c r="J194" i="70"/>
  <c r="J294" i="70"/>
  <c r="I293" i="70"/>
  <c r="J153" i="70"/>
  <c r="I66" i="70"/>
  <c r="J278" i="70"/>
  <c r="J16" i="70"/>
  <c r="J230" i="70"/>
  <c r="J98" i="70"/>
  <c r="J95" i="70"/>
  <c r="J50" i="70"/>
  <c r="I43" i="70"/>
  <c r="J20" i="70"/>
  <c r="I19" i="70"/>
  <c r="I215" i="70"/>
  <c r="J217" i="70"/>
  <c r="J23" i="70"/>
  <c r="I22" i="70"/>
  <c r="J211" i="70"/>
  <c r="I148" i="70"/>
  <c r="J149" i="70"/>
  <c r="J285" i="70"/>
  <c r="I284" i="70"/>
  <c r="J10" i="70"/>
  <c r="I9" i="70"/>
  <c r="J248" i="70"/>
  <c r="I247" i="70"/>
  <c r="J132" i="70"/>
  <c r="I130" i="70"/>
  <c r="J108" i="70"/>
  <c r="J92" i="70"/>
  <c r="I91" i="70"/>
  <c r="J34" i="70"/>
  <c r="J102" i="70"/>
  <c r="J232" i="70"/>
  <c r="I154" i="70"/>
  <c r="G19" i="70"/>
  <c r="G102" i="70"/>
  <c r="F150" i="70"/>
  <c r="G108" i="70"/>
  <c r="G66" i="70"/>
  <c r="G27" i="70"/>
  <c r="F43" i="70"/>
  <c r="G50" i="70"/>
  <c r="G154" i="70"/>
  <c r="F91" i="70"/>
  <c r="G218" i="70"/>
  <c r="G208" i="70"/>
  <c r="F9" i="70"/>
  <c r="F22" i="70"/>
  <c r="B22" i="128" l="1"/>
  <c r="E22" i="128" s="1"/>
  <c r="AD105" i="70"/>
  <c r="AH105" i="70" s="1"/>
  <c r="AD78" i="70"/>
  <c r="AH78" i="70" s="1"/>
  <c r="AE93" i="70"/>
  <c r="M211" i="70"/>
  <c r="AB106" i="70"/>
  <c r="AD106" i="70"/>
  <c r="AE99" i="70"/>
  <c r="AB159" i="70"/>
  <c r="AD159" i="70"/>
  <c r="AE97" i="70"/>
  <c r="AD95" i="70"/>
  <c r="AE39" i="70"/>
  <c r="AE89" i="70"/>
  <c r="AE35" i="70"/>
  <c r="AD231" i="70"/>
  <c r="AH231" i="70" s="1"/>
  <c r="AE232" i="70"/>
  <c r="Y79" i="70"/>
  <c r="AA79" i="70"/>
  <c r="Y32" i="70"/>
  <c r="AA32" i="70"/>
  <c r="Y81" i="70"/>
  <c r="AA81" i="70"/>
  <c r="Y200" i="70"/>
  <c r="AA200" i="70"/>
  <c r="AB39" i="70"/>
  <c r="AB89" i="70"/>
  <c r="Y29" i="70"/>
  <c r="AA29" i="70"/>
  <c r="Y105" i="70"/>
  <c r="AB105" i="70"/>
  <c r="AB35" i="70"/>
  <c r="Y58" i="70"/>
  <c r="AA58" i="70"/>
  <c r="Y101" i="70"/>
  <c r="AA101" i="70"/>
  <c r="Y15" i="70"/>
  <c r="AA15" i="70"/>
  <c r="AB232" i="70"/>
  <c r="AA231" i="70"/>
  <c r="B69" i="128" s="1"/>
  <c r="E69" i="128" s="1"/>
  <c r="Y100" i="70"/>
  <c r="AA100" i="70"/>
  <c r="Y57" i="70"/>
  <c r="AA57" i="70"/>
  <c r="AD57" i="70" s="1"/>
  <c r="AH57" i="70" s="1"/>
  <c r="Y78" i="70"/>
  <c r="AB78" i="70"/>
  <c r="Y31" i="70"/>
  <c r="AA31" i="70"/>
  <c r="AB93" i="70"/>
  <c r="Y94" i="70"/>
  <c r="AA94" i="70"/>
  <c r="Y26" i="70"/>
  <c r="AA26" i="70"/>
  <c r="Y36" i="70"/>
  <c r="AA36" i="70"/>
  <c r="Y147" i="70"/>
  <c r="AA147" i="70"/>
  <c r="B58" i="128" s="1"/>
  <c r="E58" i="128" s="1"/>
  <c r="Y77" i="70"/>
  <c r="AA77" i="70"/>
  <c r="Y60" i="70"/>
  <c r="AA60" i="70"/>
  <c r="AB97" i="70"/>
  <c r="AA95" i="70"/>
  <c r="Y138" i="70"/>
  <c r="AA138" i="70"/>
  <c r="Y80" i="70"/>
  <c r="AA80" i="70"/>
  <c r="Y25" i="70"/>
  <c r="AA25" i="70"/>
  <c r="AB99" i="70"/>
  <c r="Y33" i="70"/>
  <c r="AA33" i="70"/>
  <c r="Y18" i="70"/>
  <c r="AA18" i="70"/>
  <c r="Y40" i="70"/>
  <c r="AA40" i="70"/>
  <c r="X46" i="70"/>
  <c r="AA46" i="70" s="1"/>
  <c r="AD46" i="70" s="1"/>
  <c r="X104" i="70"/>
  <c r="AA104" i="70" s="1"/>
  <c r="AD104" i="70" s="1"/>
  <c r="X53" i="70"/>
  <c r="X45" i="70"/>
  <c r="X54" i="70"/>
  <c r="Y97" i="70"/>
  <c r="X95" i="70"/>
  <c r="Y95" i="70" s="1"/>
  <c r="Y106" i="70"/>
  <c r="X28" i="70"/>
  <c r="AA28" i="70" s="1"/>
  <c r="AD28" i="70" s="1"/>
  <c r="AH28" i="70" s="1"/>
  <c r="Y99" i="70"/>
  <c r="X98" i="70"/>
  <c r="X20" i="70"/>
  <c r="AA20" i="70" s="1"/>
  <c r="AD20" i="70" s="1"/>
  <c r="X82" i="70"/>
  <c r="X24" i="70"/>
  <c r="AA24" i="70" s="1"/>
  <c r="AD24" i="70" s="1"/>
  <c r="AH24" i="70" s="1"/>
  <c r="Y89" i="70"/>
  <c r="X11" i="70"/>
  <c r="AA11" i="70" s="1"/>
  <c r="AD11" i="70" s="1"/>
  <c r="AH11" i="70" s="1"/>
  <c r="X279" i="70"/>
  <c r="X67" i="70"/>
  <c r="AA67" i="70" s="1"/>
  <c r="AD67" i="70" s="1"/>
  <c r="AH67" i="70" s="1"/>
  <c r="Y244" i="70"/>
  <c r="X249" i="70"/>
  <c r="X196" i="70"/>
  <c r="X103" i="70"/>
  <c r="AA103" i="70" s="1"/>
  <c r="AD103" i="70" s="1"/>
  <c r="AH103" i="70" s="1"/>
  <c r="X109" i="70"/>
  <c r="AA109" i="70" s="1"/>
  <c r="AD109" i="70" s="1"/>
  <c r="AH109" i="70" s="1"/>
  <c r="Y93" i="70"/>
  <c r="X92" i="70"/>
  <c r="X17" i="70"/>
  <c r="AA17" i="70" s="1"/>
  <c r="AD17" i="70" s="1"/>
  <c r="AH17" i="70" s="1"/>
  <c r="U278" i="70"/>
  <c r="X278" i="70" s="1"/>
  <c r="AA278" i="70" s="1"/>
  <c r="AD278" i="70" s="1"/>
  <c r="AH278" i="70" s="1"/>
  <c r="U285" i="70"/>
  <c r="X285" i="70" s="1"/>
  <c r="AA285" i="70" s="1"/>
  <c r="AD285" i="70" s="1"/>
  <c r="AH285" i="70" s="1"/>
  <c r="U248" i="70"/>
  <c r="X248" i="70" s="1"/>
  <c r="AA248" i="70" s="1"/>
  <c r="AD248" i="70" s="1"/>
  <c r="AH248" i="70" s="1"/>
  <c r="V58" i="70"/>
  <c r="V15" i="70"/>
  <c r="V57" i="70"/>
  <c r="V101" i="70"/>
  <c r="V54" i="70"/>
  <c r="V78" i="70"/>
  <c r="V31" i="70"/>
  <c r="V26" i="70"/>
  <c r="V36" i="70"/>
  <c r="V147" i="70"/>
  <c r="V77" i="70"/>
  <c r="V60" i="70"/>
  <c r="V138" i="70"/>
  <c r="V80" i="70"/>
  <c r="V95" i="70"/>
  <c r="V25" i="70"/>
  <c r="V29" i="70"/>
  <c r="V53" i="70"/>
  <c r="V33" i="70"/>
  <c r="V46" i="70"/>
  <c r="V18" i="70"/>
  <c r="V105" i="70"/>
  <c r="D22" i="128"/>
  <c r="V79" i="70"/>
  <c r="V32" i="70"/>
  <c r="V81" i="70"/>
  <c r="V104" i="70"/>
  <c r="V200" i="70"/>
  <c r="V89" i="70"/>
  <c r="U30" i="70"/>
  <c r="X30" i="70" s="1"/>
  <c r="U98" i="70"/>
  <c r="V99" i="70"/>
  <c r="V24" i="70"/>
  <c r="U23" i="70"/>
  <c r="V103" i="70"/>
  <c r="U102" i="70"/>
  <c r="U231" i="70"/>
  <c r="V232" i="70"/>
  <c r="V279" i="70"/>
  <c r="U14" i="70"/>
  <c r="V82" i="70"/>
  <c r="V249" i="70"/>
  <c r="V196" i="70"/>
  <c r="V28" i="70"/>
  <c r="V109" i="70"/>
  <c r="U205" i="70"/>
  <c r="U211" i="70"/>
  <c r="X211" i="70" s="1"/>
  <c r="AA211" i="70" s="1"/>
  <c r="AD211" i="70" s="1"/>
  <c r="AH211" i="70" s="1"/>
  <c r="U294" i="70"/>
  <c r="V93" i="70"/>
  <c r="U92" i="70"/>
  <c r="V11" i="70"/>
  <c r="U145" i="70"/>
  <c r="V35" i="70"/>
  <c r="U34" i="70"/>
  <c r="U149" i="70"/>
  <c r="V17" i="70"/>
  <c r="U16" i="70"/>
  <c r="V20" i="70"/>
  <c r="U19" i="70"/>
  <c r="V67" i="70"/>
  <c r="V39" i="70"/>
  <c r="U37" i="70"/>
  <c r="V106" i="70"/>
  <c r="S33" i="70"/>
  <c r="S46" i="70"/>
  <c r="S18" i="70"/>
  <c r="R41" i="70"/>
  <c r="U41" i="70" s="1"/>
  <c r="X41" i="70" s="1"/>
  <c r="AA41" i="70" s="1"/>
  <c r="S79" i="70"/>
  <c r="S32" i="70"/>
  <c r="S81" i="70"/>
  <c r="S104" i="70"/>
  <c r="S200" i="70"/>
  <c r="S80" i="70"/>
  <c r="R230" i="70"/>
  <c r="U230" i="70" s="1"/>
  <c r="X230" i="70" s="1"/>
  <c r="AA230" i="70" s="1"/>
  <c r="S29" i="70"/>
  <c r="S53" i="70"/>
  <c r="S105" i="70"/>
  <c r="S58" i="70"/>
  <c r="S101" i="70"/>
  <c r="S15" i="70"/>
  <c r="R137" i="70"/>
  <c r="U137" i="70" s="1"/>
  <c r="X137" i="70" s="1"/>
  <c r="S57" i="70"/>
  <c r="S78" i="70"/>
  <c r="S45" i="70"/>
  <c r="S54" i="70"/>
  <c r="S31" i="70"/>
  <c r="S138" i="70"/>
  <c r="S26" i="70"/>
  <c r="S25" i="70"/>
  <c r="S36" i="70"/>
  <c r="S147" i="70"/>
  <c r="S77" i="70"/>
  <c r="S60" i="70"/>
  <c r="J144" i="70"/>
  <c r="R16" i="70"/>
  <c r="R102" i="70"/>
  <c r="S102" i="70" s="1"/>
  <c r="R201" i="70"/>
  <c r="U201" i="70" s="1"/>
  <c r="X201" i="70" s="1"/>
  <c r="S279" i="70"/>
  <c r="R177" i="70"/>
  <c r="U177" i="70" s="1"/>
  <c r="X177" i="70" s="1"/>
  <c r="AA177" i="70" s="1"/>
  <c r="R195" i="70"/>
  <c r="U195" i="70" s="1"/>
  <c r="L66" i="70"/>
  <c r="M66" i="70" s="1"/>
  <c r="P135" i="70"/>
  <c r="R135" i="70"/>
  <c r="U135" i="70" s="1"/>
  <c r="X135" i="70" s="1"/>
  <c r="S149" i="70"/>
  <c r="R148" i="70"/>
  <c r="O239" i="70"/>
  <c r="P239" i="70" s="1"/>
  <c r="R240" i="70"/>
  <c r="P110" i="70"/>
  <c r="R110" i="70"/>
  <c r="P196" i="70"/>
  <c r="S196" i="70"/>
  <c r="P41" i="70"/>
  <c r="R13" i="70"/>
  <c r="S14" i="70"/>
  <c r="P156" i="70"/>
  <c r="R156" i="70"/>
  <c r="R34" i="70"/>
  <c r="P291" i="70"/>
  <c r="R291" i="70"/>
  <c r="U291" i="70" s="1"/>
  <c r="X291" i="70" s="1"/>
  <c r="P206" i="70"/>
  <c r="R206" i="70"/>
  <c r="U206" i="70" s="1"/>
  <c r="X206" i="70" s="1"/>
  <c r="P136" i="70"/>
  <c r="R136" i="70"/>
  <c r="U136" i="70" s="1"/>
  <c r="X136" i="70" s="1"/>
  <c r="P141" i="70"/>
  <c r="R141" i="70"/>
  <c r="U141" i="70" s="1"/>
  <c r="P174" i="70"/>
  <c r="R174" i="70"/>
  <c r="U174" i="70" s="1"/>
  <c r="P274" i="70"/>
  <c r="R274" i="70"/>
  <c r="U274" i="70" s="1"/>
  <c r="P290" i="70"/>
  <c r="R290" i="70"/>
  <c r="U290" i="70" s="1"/>
  <c r="X290" i="70" s="1"/>
  <c r="P272" i="70"/>
  <c r="R272" i="70"/>
  <c r="U272" i="70" s="1"/>
  <c r="X272" i="70" s="1"/>
  <c r="P90" i="70"/>
  <c r="R90" i="70"/>
  <c r="P230" i="70"/>
  <c r="P217" i="70"/>
  <c r="R217" i="70"/>
  <c r="U217" i="70" s="1"/>
  <c r="X217" i="70" s="1"/>
  <c r="R92" i="70"/>
  <c r="P249" i="70"/>
  <c r="S249" i="70"/>
  <c r="P212" i="70"/>
  <c r="R212" i="70"/>
  <c r="U212" i="70" s="1"/>
  <c r="X212" i="70" s="1"/>
  <c r="P199" i="70"/>
  <c r="R199" i="70"/>
  <c r="U199" i="70" s="1"/>
  <c r="X199" i="70" s="1"/>
  <c r="P245" i="70"/>
  <c r="R245" i="70"/>
  <c r="S211" i="70"/>
  <c r="P12" i="70"/>
  <c r="R12" i="70"/>
  <c r="R27" i="70"/>
  <c r="S294" i="70"/>
  <c r="P132" i="70"/>
  <c r="R132" i="70"/>
  <c r="U132" i="70" s="1"/>
  <c r="X132" i="70" s="1"/>
  <c r="AA132" i="70" s="1"/>
  <c r="S19" i="70"/>
  <c r="P222" i="70"/>
  <c r="R222" i="70"/>
  <c r="U222" i="70" s="1"/>
  <c r="X222" i="70" s="1"/>
  <c r="P160" i="70"/>
  <c r="R160" i="70"/>
  <c r="U160" i="70" s="1"/>
  <c r="X160" i="70" s="1"/>
  <c r="P106" i="70"/>
  <c r="S106" i="70"/>
  <c r="R98" i="70"/>
  <c r="S248" i="70"/>
  <c r="P295" i="70"/>
  <c r="R295" i="70"/>
  <c r="U295" i="70" s="1"/>
  <c r="X295" i="70" s="1"/>
  <c r="P76" i="70"/>
  <c r="R76" i="70"/>
  <c r="U76" i="70" s="1"/>
  <c r="X76" i="70" s="1"/>
  <c r="R144" i="70"/>
  <c r="S145" i="70"/>
  <c r="P51" i="70"/>
  <c r="R51" i="70"/>
  <c r="R23" i="70"/>
  <c r="P223" i="70"/>
  <c r="R223" i="70"/>
  <c r="U223" i="70" s="1"/>
  <c r="X223" i="70" s="1"/>
  <c r="P198" i="70"/>
  <c r="R198" i="70"/>
  <c r="U198" i="70" s="1"/>
  <c r="X198" i="70" s="1"/>
  <c r="P69" i="70"/>
  <c r="R69" i="70"/>
  <c r="U69" i="70" s="1"/>
  <c r="X69" i="70" s="1"/>
  <c r="R277" i="70"/>
  <c r="S278" i="70"/>
  <c r="P30" i="70"/>
  <c r="S30" i="70"/>
  <c r="R37" i="70"/>
  <c r="P286" i="70"/>
  <c r="R286" i="70"/>
  <c r="U286" i="70" s="1"/>
  <c r="X286" i="70" s="1"/>
  <c r="S285" i="70"/>
  <c r="P68" i="70"/>
  <c r="R68" i="70"/>
  <c r="P276" i="70"/>
  <c r="R276" i="70"/>
  <c r="U276" i="70" s="1"/>
  <c r="S205" i="70"/>
  <c r="P61" i="70"/>
  <c r="R61" i="70"/>
  <c r="U61" i="70" s="1"/>
  <c r="X61" i="70" s="1"/>
  <c r="P82" i="70"/>
  <c r="S82" i="70"/>
  <c r="O194" i="70"/>
  <c r="R194" i="70" s="1"/>
  <c r="U194" i="70" s="1"/>
  <c r="X194" i="70" s="1"/>
  <c r="AA194" i="70" s="1"/>
  <c r="AD194" i="70" s="1"/>
  <c r="AH194" i="70" s="1"/>
  <c r="I207" i="70"/>
  <c r="O50" i="70"/>
  <c r="O43" i="70" s="1"/>
  <c r="O214" i="70"/>
  <c r="R214" i="70" s="1"/>
  <c r="J208" i="70"/>
  <c r="L208" i="70"/>
  <c r="P99" i="70"/>
  <c r="J172" i="70"/>
  <c r="M294" i="70"/>
  <c r="M132" i="70"/>
  <c r="L148" i="70"/>
  <c r="M148" i="70" s="1"/>
  <c r="M82" i="70"/>
  <c r="M149" i="70"/>
  <c r="M194" i="70"/>
  <c r="L172" i="70"/>
  <c r="M217" i="70"/>
  <c r="O161" i="70"/>
  <c r="R161" i="70" s="1"/>
  <c r="O231" i="70"/>
  <c r="P205" i="70"/>
  <c r="P279" i="70"/>
  <c r="L277" i="70"/>
  <c r="L263" i="70" s="1"/>
  <c r="L193" i="70"/>
  <c r="L192" i="70" s="1"/>
  <c r="O153" i="70"/>
  <c r="O144" i="70"/>
  <c r="P145" i="70"/>
  <c r="J231" i="70"/>
  <c r="J284" i="70"/>
  <c r="J218" i="70"/>
  <c r="J215" i="70"/>
  <c r="I192" i="70"/>
  <c r="J148" i="70"/>
  <c r="I263" i="70"/>
  <c r="I229" i="70" s="1"/>
  <c r="L144" i="70"/>
  <c r="L143" i="70" s="1"/>
  <c r="M145" i="70"/>
  <c r="J66" i="70"/>
  <c r="J293" i="70"/>
  <c r="J243" i="70"/>
  <c r="J154" i="70"/>
  <c r="J247" i="70"/>
  <c r="J19" i="70"/>
  <c r="P240" i="70"/>
  <c r="O270" i="70"/>
  <c r="J277" i="70"/>
  <c r="M239" i="70"/>
  <c r="M270" i="70"/>
  <c r="M278" i="70"/>
  <c r="M230" i="70"/>
  <c r="O10" i="70"/>
  <c r="P10" i="70" s="1"/>
  <c r="P34" i="70"/>
  <c r="P201" i="70"/>
  <c r="P202" i="70"/>
  <c r="M10" i="70"/>
  <c r="M250" i="70"/>
  <c r="O250" i="70"/>
  <c r="R250" i="70" s="1"/>
  <c r="U250" i="70" s="1"/>
  <c r="O27" i="70"/>
  <c r="O22" i="70" s="1"/>
  <c r="P23" i="70"/>
  <c r="P137" i="70"/>
  <c r="P177" i="70"/>
  <c r="P294" i="70"/>
  <c r="O293" i="70"/>
  <c r="P98" i="70"/>
  <c r="P19" i="70"/>
  <c r="P102" i="70"/>
  <c r="O175" i="70"/>
  <c r="O284" i="70"/>
  <c r="P285" i="70"/>
  <c r="O243" i="70"/>
  <c r="O88" i="70"/>
  <c r="O300" i="70"/>
  <c r="P248" i="70"/>
  <c r="P211" i="70"/>
  <c r="O216" i="70"/>
  <c r="R216" i="70" s="1"/>
  <c r="O134" i="70"/>
  <c r="R134" i="70" s="1"/>
  <c r="U134" i="70" s="1"/>
  <c r="X134" i="70" s="1"/>
  <c r="O91" i="70"/>
  <c r="P92" i="70"/>
  <c r="O13" i="70"/>
  <c r="P13" i="70" s="1"/>
  <c r="P14" i="70"/>
  <c r="P16" i="70"/>
  <c r="P278" i="70"/>
  <c r="P149" i="70"/>
  <c r="O148" i="70"/>
  <c r="O66" i="70"/>
  <c r="P232" i="70"/>
  <c r="O221" i="70"/>
  <c r="R221" i="70" s="1"/>
  <c r="P37" i="70"/>
  <c r="O108" i="70"/>
  <c r="P108" i="70" s="1"/>
  <c r="M92" i="70"/>
  <c r="M102" i="70"/>
  <c r="M134" i="70"/>
  <c r="M201" i="70"/>
  <c r="M160" i="70"/>
  <c r="M222" i="70"/>
  <c r="M177" i="70"/>
  <c r="M291" i="70"/>
  <c r="M249" i="70"/>
  <c r="M214" i="70"/>
  <c r="M98" i="70"/>
  <c r="M135" i="70"/>
  <c r="M202" i="70"/>
  <c r="M276" i="70"/>
  <c r="L130" i="70"/>
  <c r="M161" i="70"/>
  <c r="M88" i="70"/>
  <c r="M137" i="70"/>
  <c r="M274" i="70"/>
  <c r="M205" i="70"/>
  <c r="M290" i="70"/>
  <c r="M212" i="70"/>
  <c r="M199" i="70"/>
  <c r="M206" i="70"/>
  <c r="M13" i="70"/>
  <c r="M16" i="70"/>
  <c r="M198" i="70"/>
  <c r="M279" i="70"/>
  <c r="M286" i="70"/>
  <c r="M295" i="70"/>
  <c r="L91" i="70"/>
  <c r="M37" i="70"/>
  <c r="M300" i="70"/>
  <c r="L284" i="70"/>
  <c r="M196" i="70"/>
  <c r="J143" i="70"/>
  <c r="M159" i="70"/>
  <c r="L154" i="70"/>
  <c r="M245" i="70"/>
  <c r="M272" i="70"/>
  <c r="L247" i="70"/>
  <c r="M231" i="70"/>
  <c r="L6" i="70"/>
  <c r="M221" i="70"/>
  <c r="L218" i="70"/>
  <c r="M216" i="70"/>
  <c r="L215" i="70"/>
  <c r="M175" i="70"/>
  <c r="M23" i="70"/>
  <c r="M195" i="70"/>
  <c r="L293" i="70"/>
  <c r="L9" i="70"/>
  <c r="M19" i="70"/>
  <c r="M50" i="70"/>
  <c r="L43" i="70"/>
  <c r="L27" i="70"/>
  <c r="I6" i="70"/>
  <c r="I150" i="70"/>
  <c r="J22" i="70"/>
  <c r="J193" i="70"/>
  <c r="J43" i="70"/>
  <c r="I42" i="70"/>
  <c r="J9" i="70"/>
  <c r="J91" i="70"/>
  <c r="J130" i="70"/>
  <c r="G43" i="70"/>
  <c r="F42" i="70"/>
  <c r="D58" i="128" l="1"/>
  <c r="AA98" i="70"/>
  <c r="AB98" i="70" s="1"/>
  <c r="AB95" i="70"/>
  <c r="AD132" i="70"/>
  <c r="AH132" i="70" s="1"/>
  <c r="AE106" i="70"/>
  <c r="AH106" i="70"/>
  <c r="AE159" i="70"/>
  <c r="AH159" i="70"/>
  <c r="B14" i="128"/>
  <c r="E14" i="128" s="1"/>
  <c r="AD41" i="70"/>
  <c r="AH41" i="70" s="1"/>
  <c r="AE104" i="70"/>
  <c r="AH104" i="70"/>
  <c r="B21" i="128"/>
  <c r="E21" i="128" s="1"/>
  <c r="AE46" i="70"/>
  <c r="AH46" i="70"/>
  <c r="B55" i="128"/>
  <c r="AD138" i="70"/>
  <c r="AH138" i="70" s="1"/>
  <c r="B62" i="128"/>
  <c r="AD177" i="70"/>
  <c r="AH177" i="70" s="1"/>
  <c r="AE78" i="70"/>
  <c r="AD230" i="70"/>
  <c r="AH230" i="70" s="1"/>
  <c r="B68" i="128"/>
  <c r="E68" i="128" s="1"/>
  <c r="AE95" i="70"/>
  <c r="AH95" i="70"/>
  <c r="AE105" i="70"/>
  <c r="AB25" i="70"/>
  <c r="AD25" i="70"/>
  <c r="AB147" i="70"/>
  <c r="AD147" i="70"/>
  <c r="AB58" i="70"/>
  <c r="AD58" i="70"/>
  <c r="AE20" i="70"/>
  <c r="AD19" i="70"/>
  <c r="AH19" i="70" s="1"/>
  <c r="AB32" i="70"/>
  <c r="AD32" i="70"/>
  <c r="AE109" i="70"/>
  <c r="AB80" i="70"/>
  <c r="AD80" i="70"/>
  <c r="AB36" i="70"/>
  <c r="AD36" i="70"/>
  <c r="AH36" i="70" s="1"/>
  <c r="AB57" i="70"/>
  <c r="AE57" i="70"/>
  <c r="AE211" i="70"/>
  <c r="AB40" i="70"/>
  <c r="AD40" i="70"/>
  <c r="AH40" i="70" s="1"/>
  <c r="AB29" i="70"/>
  <c r="AD29" i="70"/>
  <c r="AE103" i="70"/>
  <c r="AD102" i="70"/>
  <c r="AH102" i="70" s="1"/>
  <c r="AB18" i="70"/>
  <c r="AD18" i="70"/>
  <c r="AB94" i="70"/>
  <c r="AD94" i="70"/>
  <c r="AH94" i="70" s="1"/>
  <c r="AE231" i="70"/>
  <c r="AB79" i="70"/>
  <c r="AD79" i="70"/>
  <c r="AB26" i="70"/>
  <c r="AD26" i="70"/>
  <c r="AD23" i="70" s="1"/>
  <c r="AH23" i="70" s="1"/>
  <c r="AE248" i="70"/>
  <c r="AE11" i="70"/>
  <c r="AE28" i="70"/>
  <c r="AE285" i="70"/>
  <c r="AB33" i="70"/>
  <c r="AD33" i="70"/>
  <c r="AB60" i="70"/>
  <c r="AD60" i="70"/>
  <c r="AA92" i="70"/>
  <c r="AB92" i="70" s="1"/>
  <c r="AB15" i="70"/>
  <c r="AD15" i="70"/>
  <c r="AE132" i="70"/>
  <c r="AE194" i="70"/>
  <c r="AE278" i="70"/>
  <c r="AE24" i="70"/>
  <c r="AB200" i="70"/>
  <c r="AD200" i="70"/>
  <c r="AB138" i="70"/>
  <c r="AE138" i="70"/>
  <c r="AE17" i="70"/>
  <c r="AD16" i="70"/>
  <c r="AH16" i="70" s="1"/>
  <c r="AB77" i="70"/>
  <c r="AD77" i="70"/>
  <c r="AB31" i="70"/>
  <c r="AD31" i="70"/>
  <c r="AB101" i="70"/>
  <c r="AD101" i="70"/>
  <c r="AB100" i="70"/>
  <c r="AD100" i="70"/>
  <c r="AH100" i="70" s="1"/>
  <c r="AE67" i="70"/>
  <c r="AB81" i="70"/>
  <c r="AD81" i="70"/>
  <c r="Y286" i="70"/>
  <c r="AA286" i="70"/>
  <c r="Y30" i="70"/>
  <c r="AA30" i="70"/>
  <c r="AB285" i="70"/>
  <c r="Y249" i="70"/>
  <c r="AA249" i="70"/>
  <c r="AB194" i="70"/>
  <c r="AB278" i="70"/>
  <c r="AB24" i="70"/>
  <c r="AA23" i="70"/>
  <c r="Y136" i="70"/>
  <c r="AA136" i="70"/>
  <c r="Y177" i="70"/>
  <c r="AB177" i="70"/>
  <c r="AA16" i="70"/>
  <c r="AB17" i="70"/>
  <c r="AA37" i="70"/>
  <c r="B13" i="128" s="1"/>
  <c r="E13" i="128" s="1"/>
  <c r="Y160" i="70"/>
  <c r="AA160" i="70"/>
  <c r="AB67" i="70"/>
  <c r="Y82" i="70"/>
  <c r="AA82" i="70"/>
  <c r="Y54" i="70"/>
  <c r="AA54" i="70"/>
  <c r="Y61" i="70"/>
  <c r="AA61" i="70"/>
  <c r="Y222" i="70"/>
  <c r="AA222" i="70"/>
  <c r="Y199" i="70"/>
  <c r="AA199" i="70"/>
  <c r="Y272" i="70"/>
  <c r="AA272" i="70"/>
  <c r="Y206" i="70"/>
  <c r="AA206" i="70"/>
  <c r="Y201" i="70"/>
  <c r="AA201" i="70"/>
  <c r="AB230" i="70"/>
  <c r="Y45" i="70"/>
  <c r="AA45" i="70"/>
  <c r="Y279" i="70"/>
  <c r="AA279" i="70"/>
  <c r="AA277" i="70" s="1"/>
  <c r="AB20" i="70"/>
  <c r="AA19" i="70"/>
  <c r="B10" i="128" s="1"/>
  <c r="E10" i="128" s="1"/>
  <c r="Y53" i="70"/>
  <c r="AA53" i="70"/>
  <c r="Y290" i="70"/>
  <c r="AA290" i="70"/>
  <c r="Y291" i="70"/>
  <c r="AA291" i="70"/>
  <c r="AB109" i="70"/>
  <c r="Y104" i="70"/>
  <c r="AB104" i="70"/>
  <c r="AA34" i="70"/>
  <c r="B12" i="128" s="1"/>
  <c r="E12" i="128" s="1"/>
  <c r="Y69" i="70"/>
  <c r="AA69" i="70"/>
  <c r="AB132" i="70"/>
  <c r="AB211" i="70"/>
  <c r="Y46" i="70"/>
  <c r="AB46" i="70"/>
  <c r="Y76" i="70"/>
  <c r="AA76" i="70"/>
  <c r="Y295" i="70"/>
  <c r="AA295" i="70"/>
  <c r="Y137" i="70"/>
  <c r="AA137" i="70"/>
  <c r="B54" i="128" s="1"/>
  <c r="E54" i="128" s="1"/>
  <c r="AB103" i="70"/>
  <c r="AA102" i="70"/>
  <c r="AA91" i="70" s="1"/>
  <c r="B19" i="128" s="1"/>
  <c r="AB11" i="70"/>
  <c r="Y198" i="70"/>
  <c r="AA198" i="70"/>
  <c r="AB28" i="70"/>
  <c r="Y212" i="70"/>
  <c r="AA212" i="70"/>
  <c r="AD212" i="70" s="1"/>
  <c r="AH212" i="70" s="1"/>
  <c r="Y134" i="70"/>
  <c r="AA134" i="70"/>
  <c r="Y135" i="70"/>
  <c r="AA135" i="70"/>
  <c r="Y196" i="70"/>
  <c r="AA196" i="70"/>
  <c r="Y223" i="70"/>
  <c r="AA223" i="70"/>
  <c r="AD223" i="70" s="1"/>
  <c r="AH223" i="70" s="1"/>
  <c r="Y217" i="70"/>
  <c r="AA217" i="70"/>
  <c r="Y41" i="70"/>
  <c r="AB41" i="70"/>
  <c r="AB248" i="70"/>
  <c r="X195" i="70"/>
  <c r="X193" i="70" s="1"/>
  <c r="X276" i="70"/>
  <c r="AA276" i="70" s="1"/>
  <c r="AD276" i="70" s="1"/>
  <c r="X274" i="70"/>
  <c r="AA274" i="70" s="1"/>
  <c r="X205" i="70"/>
  <c r="AA205" i="70" s="1"/>
  <c r="AD205" i="70" s="1"/>
  <c r="AH205" i="70" s="1"/>
  <c r="Y103" i="70"/>
  <c r="X102" i="70"/>
  <c r="Y102" i="70" s="1"/>
  <c r="X231" i="70"/>
  <c r="Y231" i="70" s="1"/>
  <c r="Y232" i="70"/>
  <c r="X174" i="70"/>
  <c r="AA174" i="70" s="1"/>
  <c r="AD174" i="70" s="1"/>
  <c r="AH174" i="70" s="1"/>
  <c r="Y11" i="70"/>
  <c r="Y20" i="70"/>
  <c r="X19" i="70"/>
  <c r="Y19" i="70" s="1"/>
  <c r="X149" i="70"/>
  <c r="AA149" i="70" s="1"/>
  <c r="AD149" i="70" s="1"/>
  <c r="AH149" i="70" s="1"/>
  <c r="V141" i="70"/>
  <c r="X141" i="70"/>
  <c r="Y98" i="70"/>
  <c r="Y194" i="70"/>
  <c r="X145" i="70"/>
  <c r="AA145" i="70" s="1"/>
  <c r="AD145" i="70" s="1"/>
  <c r="AH145" i="70" s="1"/>
  <c r="X14" i="70"/>
  <c r="AA14" i="70" s="1"/>
  <c r="AD14" i="70" s="1"/>
  <c r="AH14" i="70" s="1"/>
  <c r="Y17" i="70"/>
  <c r="X16" i="70"/>
  <c r="Y16" i="70" s="1"/>
  <c r="X34" i="70"/>
  <c r="Y34" i="70" s="1"/>
  <c r="Y35" i="70"/>
  <c r="X27" i="70"/>
  <c r="Y28" i="70"/>
  <c r="Y230" i="70"/>
  <c r="Y92" i="70"/>
  <c r="Y67" i="70"/>
  <c r="Y39" i="70"/>
  <c r="X37" i="70"/>
  <c r="Y37" i="70" s="1"/>
  <c r="X294" i="70"/>
  <c r="AA294" i="70" s="1"/>
  <c r="AD294" i="70" s="1"/>
  <c r="AH294" i="70" s="1"/>
  <c r="Y109" i="70"/>
  <c r="Y24" i="70"/>
  <c r="X23" i="70"/>
  <c r="X250" i="70"/>
  <c r="Y132" i="70"/>
  <c r="X130" i="70"/>
  <c r="Y211" i="70"/>
  <c r="U240" i="70"/>
  <c r="X240" i="70" s="1"/>
  <c r="AA240" i="70" s="1"/>
  <c r="AD240" i="70" s="1"/>
  <c r="AH240" i="70" s="1"/>
  <c r="S41" i="70"/>
  <c r="U51" i="70"/>
  <c r="X51" i="70" s="1"/>
  <c r="AA51" i="70" s="1"/>
  <c r="AD51" i="70" s="1"/>
  <c r="AH51" i="70" s="1"/>
  <c r="D68" i="128"/>
  <c r="V295" i="70"/>
  <c r="V276" i="70"/>
  <c r="V290" i="70"/>
  <c r="V198" i="70"/>
  <c r="V274" i="70"/>
  <c r="V231" i="70"/>
  <c r="D69" i="128"/>
  <c r="V134" i="70"/>
  <c r="V291" i="70"/>
  <c r="V102" i="70"/>
  <c r="V201" i="70"/>
  <c r="V212" i="70"/>
  <c r="V223" i="70"/>
  <c r="V19" i="70"/>
  <c r="D10" i="128"/>
  <c r="V286" i="70"/>
  <c r="V217" i="70"/>
  <c r="V135" i="70"/>
  <c r="V76" i="70"/>
  <c r="V69" i="70"/>
  <c r="V136" i="70"/>
  <c r="V195" i="70"/>
  <c r="D14" i="128"/>
  <c r="V160" i="70"/>
  <c r="V61" i="70"/>
  <c r="V222" i="70"/>
  <c r="V177" i="70"/>
  <c r="V30" i="70"/>
  <c r="V45" i="70"/>
  <c r="V199" i="70"/>
  <c r="V272" i="70"/>
  <c r="V206" i="70"/>
  <c r="U214" i="70"/>
  <c r="X214" i="70" s="1"/>
  <c r="U68" i="70"/>
  <c r="V294" i="70"/>
  <c r="U293" i="70"/>
  <c r="U156" i="70"/>
  <c r="V149" i="70"/>
  <c r="U148" i="70"/>
  <c r="V211" i="70"/>
  <c r="V248" i="70"/>
  <c r="U247" i="70"/>
  <c r="V16" i="70"/>
  <c r="V23" i="70"/>
  <c r="O193" i="70"/>
  <c r="O192" i="70" s="1"/>
  <c r="V174" i="70"/>
  <c r="V137" i="70"/>
  <c r="U12" i="70"/>
  <c r="U277" i="70"/>
  <c r="V278" i="70"/>
  <c r="V34" i="70"/>
  <c r="V205" i="70"/>
  <c r="V14" i="70"/>
  <c r="U13" i="70"/>
  <c r="S16" i="70"/>
  <c r="V98" i="70"/>
  <c r="V37" i="70"/>
  <c r="V145" i="70"/>
  <c r="U144" i="70"/>
  <c r="V250" i="70"/>
  <c r="U245" i="70"/>
  <c r="V41" i="70"/>
  <c r="U27" i="70"/>
  <c r="U22" i="70" s="1"/>
  <c r="U284" i="70"/>
  <c r="V285" i="70"/>
  <c r="U110" i="70"/>
  <c r="U91" i="70"/>
  <c r="V92" i="70"/>
  <c r="U90" i="70"/>
  <c r="U221" i="70"/>
  <c r="U216" i="70"/>
  <c r="U161" i="70"/>
  <c r="X161" i="70" s="1"/>
  <c r="S136" i="70"/>
  <c r="S137" i="70"/>
  <c r="S160" i="70"/>
  <c r="P66" i="70"/>
  <c r="S61" i="70"/>
  <c r="S222" i="70"/>
  <c r="S195" i="70"/>
  <c r="S231" i="70"/>
  <c r="S199" i="70"/>
  <c r="S272" i="70"/>
  <c r="S206" i="70"/>
  <c r="S177" i="70"/>
  <c r="S134" i="70"/>
  <c r="S76" i="70"/>
  <c r="S276" i="70"/>
  <c r="S69" i="70"/>
  <c r="S212" i="70"/>
  <c r="S290" i="70"/>
  <c r="S291" i="70"/>
  <c r="S201" i="70"/>
  <c r="S295" i="70"/>
  <c r="S141" i="70"/>
  <c r="P88" i="70"/>
  <c r="S198" i="70"/>
  <c r="S274" i="70"/>
  <c r="S223" i="70"/>
  <c r="S286" i="70"/>
  <c r="S217" i="70"/>
  <c r="S135" i="70"/>
  <c r="S98" i="70"/>
  <c r="R91" i="70"/>
  <c r="S37" i="70"/>
  <c r="S34" i="70"/>
  <c r="R154" i="70"/>
  <c r="R284" i="70"/>
  <c r="P194" i="70"/>
  <c r="S132" i="70"/>
  <c r="R130" i="70"/>
  <c r="S68" i="70"/>
  <c r="R66" i="70"/>
  <c r="P50" i="70"/>
  <c r="S110" i="70"/>
  <c r="R108" i="70"/>
  <c r="O172" i="70"/>
  <c r="P172" i="70" s="1"/>
  <c r="R175" i="70"/>
  <c r="P250" i="70"/>
  <c r="P153" i="70"/>
  <c r="R153" i="70"/>
  <c r="R293" i="70"/>
  <c r="S221" i="70"/>
  <c r="R218" i="70"/>
  <c r="S240" i="70"/>
  <c r="R239" i="70"/>
  <c r="O208" i="70"/>
  <c r="P208" i="70" s="1"/>
  <c r="S214" i="70"/>
  <c r="P270" i="70"/>
  <c r="R270" i="70"/>
  <c r="P161" i="70"/>
  <c r="S161" i="70"/>
  <c r="R22" i="70"/>
  <c r="S23" i="70"/>
  <c r="S27" i="70"/>
  <c r="S245" i="70"/>
  <c r="R243" i="70"/>
  <c r="S90" i="70"/>
  <c r="R88" i="70"/>
  <c r="S216" i="70"/>
  <c r="R215" i="70"/>
  <c r="S51" i="70"/>
  <c r="R50" i="70"/>
  <c r="S12" i="70"/>
  <c r="R10" i="70"/>
  <c r="S92" i="70"/>
  <c r="S156" i="70"/>
  <c r="S148" i="70"/>
  <c r="S174" i="70"/>
  <c r="P300" i="70"/>
  <c r="R300" i="70"/>
  <c r="U300" i="70" s="1"/>
  <c r="X300" i="70" s="1"/>
  <c r="AA300" i="70" s="1"/>
  <c r="R143" i="70"/>
  <c r="S144" i="70"/>
  <c r="S230" i="70"/>
  <c r="S13" i="70"/>
  <c r="L207" i="70"/>
  <c r="J207" i="70"/>
  <c r="P214" i="70"/>
  <c r="P144" i="70"/>
  <c r="L150" i="70"/>
  <c r="P148" i="70"/>
  <c r="O277" i="70"/>
  <c r="O263" i="70" s="1"/>
  <c r="L229" i="70"/>
  <c r="O143" i="70"/>
  <c r="P143" i="70" s="1"/>
  <c r="J192" i="70"/>
  <c r="J150" i="70"/>
  <c r="I107" i="70"/>
  <c r="M144" i="70"/>
  <c r="J6" i="70"/>
  <c r="O247" i="70"/>
  <c r="P175" i="70"/>
  <c r="P195" i="70"/>
  <c r="O42" i="70"/>
  <c r="P43" i="70"/>
  <c r="P221" i="70"/>
  <c r="O218" i="70"/>
  <c r="P218" i="70" s="1"/>
  <c r="P293" i="70"/>
  <c r="O215" i="70"/>
  <c r="P215" i="70" s="1"/>
  <c r="P216" i="70"/>
  <c r="P231" i="70"/>
  <c r="P159" i="70"/>
  <c r="O154" i="70"/>
  <c r="O6" i="70"/>
  <c r="P91" i="70"/>
  <c r="P243" i="70"/>
  <c r="O9" i="70"/>
  <c r="P27" i="70"/>
  <c r="P134" i="70"/>
  <c r="O130" i="70"/>
  <c r="P284" i="70"/>
  <c r="M218" i="70"/>
  <c r="M293" i="70"/>
  <c r="M143" i="70"/>
  <c r="M284" i="70"/>
  <c r="M247" i="70"/>
  <c r="M9" i="70"/>
  <c r="M172" i="70"/>
  <c r="M91" i="70"/>
  <c r="M6" i="70"/>
  <c r="M277" i="70"/>
  <c r="M27" i="70"/>
  <c r="M130" i="70"/>
  <c r="M215" i="70"/>
  <c r="M208" i="70"/>
  <c r="M154" i="70"/>
  <c r="M193" i="70"/>
  <c r="M43" i="70"/>
  <c r="L42" i="70"/>
  <c r="M243" i="70"/>
  <c r="L22" i="70"/>
  <c r="P22" i="70" s="1"/>
  <c r="J42" i="70"/>
  <c r="J263" i="70"/>
  <c r="J229" i="70"/>
  <c r="F107" i="70"/>
  <c r="D12" i="128" l="1"/>
  <c r="B53" i="128"/>
  <c r="E53" i="128" s="1"/>
  <c r="D21" i="128"/>
  <c r="D13" i="128"/>
  <c r="D54" i="128"/>
  <c r="AB231" i="70"/>
  <c r="AE15" i="70"/>
  <c r="AH15" i="70"/>
  <c r="AE79" i="70"/>
  <c r="AH79" i="70"/>
  <c r="AE81" i="70"/>
  <c r="AH81" i="70"/>
  <c r="AE58" i="70"/>
  <c r="AH58" i="70"/>
  <c r="AE60" i="70"/>
  <c r="AH60" i="70"/>
  <c r="B80" i="128"/>
  <c r="E80" i="128" s="1"/>
  <c r="AD300" i="70"/>
  <c r="AH300" i="70" s="1"/>
  <c r="AE147" i="70"/>
  <c r="AH147" i="70"/>
  <c r="E62" i="128"/>
  <c r="D62" i="128"/>
  <c r="AE41" i="70"/>
  <c r="B20" i="128"/>
  <c r="E20" i="128" s="1"/>
  <c r="E19" i="128"/>
  <c r="AE200" i="70"/>
  <c r="AH200" i="70"/>
  <c r="AE33" i="70"/>
  <c r="AH33" i="70"/>
  <c r="AE177" i="70"/>
  <c r="AD274" i="70"/>
  <c r="AH274" i="70" s="1"/>
  <c r="AE18" i="70"/>
  <c r="AH18" i="70"/>
  <c r="AE25" i="70"/>
  <c r="AH25" i="70"/>
  <c r="AE77" i="70"/>
  <c r="AH77" i="70"/>
  <c r="AE101" i="70"/>
  <c r="AH101" i="70"/>
  <c r="AE80" i="70"/>
  <c r="AH80" i="70"/>
  <c r="E55" i="128"/>
  <c r="D55" i="128"/>
  <c r="AE26" i="70"/>
  <c r="AH26" i="70"/>
  <c r="AE230" i="70"/>
  <c r="AE276" i="70"/>
  <c r="AH276" i="70"/>
  <c r="AE31" i="70"/>
  <c r="AH31" i="70"/>
  <c r="AE29" i="70"/>
  <c r="AH29" i="70"/>
  <c r="AE32" i="70"/>
  <c r="AH32" i="70"/>
  <c r="AE174" i="70"/>
  <c r="AB295" i="70"/>
  <c r="AD295" i="70"/>
  <c r="AD293" i="70" s="1"/>
  <c r="AH293" i="70" s="1"/>
  <c r="AB45" i="70"/>
  <c r="AD45" i="70"/>
  <c r="AE23" i="70"/>
  <c r="AE40" i="70"/>
  <c r="AD37" i="70"/>
  <c r="AB212" i="70"/>
  <c r="AB61" i="70"/>
  <c r="AD61" i="70"/>
  <c r="AB217" i="70"/>
  <c r="AD217" i="70"/>
  <c r="AB76" i="70"/>
  <c r="AD76" i="70"/>
  <c r="AB291" i="70"/>
  <c r="AD291" i="70"/>
  <c r="AB30" i="70"/>
  <c r="AD30" i="70"/>
  <c r="AH30" i="70" s="1"/>
  <c r="AE19" i="70"/>
  <c r="AB201" i="70"/>
  <c r="AD201" i="70"/>
  <c r="AB54" i="70"/>
  <c r="AD54" i="70"/>
  <c r="AB136" i="70"/>
  <c r="AD136" i="70"/>
  <c r="AB223" i="70"/>
  <c r="AE223" i="70"/>
  <c r="AA27" i="70"/>
  <c r="AA22" i="70" s="1"/>
  <c r="B11" i="128" s="1"/>
  <c r="E11" i="128" s="1"/>
  <c r="AB290" i="70"/>
  <c r="AD290" i="70"/>
  <c r="AB286" i="70"/>
  <c r="AD286" i="70"/>
  <c r="AH286" i="70" s="1"/>
  <c r="AE94" i="70"/>
  <c r="AD92" i="70"/>
  <c r="AH92" i="70" s="1"/>
  <c r="AB198" i="70"/>
  <c r="AD198" i="70"/>
  <c r="AB206" i="70"/>
  <c r="AD206" i="70"/>
  <c r="AB82" i="70"/>
  <c r="AD82" i="70"/>
  <c r="AE294" i="70"/>
  <c r="AE205" i="70"/>
  <c r="AB53" i="70"/>
  <c r="AD53" i="70"/>
  <c r="AD50" i="70" s="1"/>
  <c r="AH50" i="70" s="1"/>
  <c r="AE16" i="70"/>
  <c r="AE36" i="70"/>
  <c r="AD34" i="70"/>
  <c r="AE51" i="70"/>
  <c r="AE14" i="70"/>
  <c r="AD13" i="70"/>
  <c r="AH13" i="70" s="1"/>
  <c r="AE149" i="70"/>
  <c r="AD148" i="70"/>
  <c r="AB196" i="70"/>
  <c r="AD196" i="70"/>
  <c r="AB272" i="70"/>
  <c r="AD272" i="70"/>
  <c r="AB69" i="70"/>
  <c r="AD69" i="70"/>
  <c r="AB160" i="70"/>
  <c r="AD160" i="70"/>
  <c r="AE102" i="70"/>
  <c r="AE240" i="70"/>
  <c r="AD239" i="70"/>
  <c r="AH239" i="70" s="1"/>
  <c r="AE145" i="70"/>
  <c r="AD144" i="70"/>
  <c r="AH144" i="70" s="1"/>
  <c r="AB135" i="70"/>
  <c r="AD135" i="70"/>
  <c r="AB199" i="70"/>
  <c r="AD199" i="70"/>
  <c r="AB137" i="70"/>
  <c r="AD137" i="70"/>
  <c r="AB279" i="70"/>
  <c r="AD279" i="70"/>
  <c r="AH279" i="70" s="1"/>
  <c r="AE100" i="70"/>
  <c r="AD98" i="70"/>
  <c r="AB134" i="70"/>
  <c r="AD134" i="70"/>
  <c r="AH134" i="70" s="1"/>
  <c r="AB222" i="70"/>
  <c r="AD222" i="70"/>
  <c r="AB249" i="70"/>
  <c r="AD249" i="70"/>
  <c r="AH249" i="70" s="1"/>
  <c r="Y141" i="70"/>
  <c r="AA141" i="70"/>
  <c r="AB37" i="70"/>
  <c r="Y274" i="70"/>
  <c r="AB274" i="70"/>
  <c r="AB294" i="70"/>
  <c r="AA293" i="70"/>
  <c r="AB205" i="70"/>
  <c r="Y214" i="70"/>
  <c r="AA214" i="70"/>
  <c r="AD214" i="70" s="1"/>
  <c r="AA50" i="70"/>
  <c r="AB51" i="70"/>
  <c r="AB14" i="70"/>
  <c r="AA13" i="70"/>
  <c r="AB149" i="70"/>
  <c r="AA148" i="70"/>
  <c r="B59" i="128" s="1"/>
  <c r="E59" i="128" s="1"/>
  <c r="AB16" i="70"/>
  <c r="Y300" i="70"/>
  <c r="AB300" i="70"/>
  <c r="AB240" i="70"/>
  <c r="AA239" i="70"/>
  <c r="B71" i="128" s="1"/>
  <c r="E71" i="128" s="1"/>
  <c r="AB145" i="70"/>
  <c r="AA144" i="70"/>
  <c r="B57" i="128" s="1"/>
  <c r="E57" i="128" s="1"/>
  <c r="Y276" i="70"/>
  <c r="AB276" i="70"/>
  <c r="Y195" i="70"/>
  <c r="AA195" i="70"/>
  <c r="AD195" i="70" s="1"/>
  <c r="AH195" i="70" s="1"/>
  <c r="AB102" i="70"/>
  <c r="AA130" i="70"/>
  <c r="B52" i="128" s="1"/>
  <c r="E52" i="128" s="1"/>
  <c r="AA247" i="70"/>
  <c r="AA284" i="70"/>
  <c r="B77" i="128" s="1"/>
  <c r="E77" i="128" s="1"/>
  <c r="AB174" i="70"/>
  <c r="AB23" i="70"/>
  <c r="Y250" i="70"/>
  <c r="AA250" i="70"/>
  <c r="AB19" i="70"/>
  <c r="Y27" i="70"/>
  <c r="AB34" i="70"/>
  <c r="Y161" i="70"/>
  <c r="AA161" i="70"/>
  <c r="X91" i="70"/>
  <c r="AB91" i="70" s="1"/>
  <c r="X68" i="70"/>
  <c r="AA68" i="70" s="1"/>
  <c r="AD68" i="70" s="1"/>
  <c r="AH68" i="70" s="1"/>
  <c r="X110" i="70"/>
  <c r="AA110" i="70" s="1"/>
  <c r="AD110" i="70" s="1"/>
  <c r="AH110" i="70" s="1"/>
  <c r="Y294" i="70"/>
  <c r="X293" i="70"/>
  <c r="Y293" i="70" s="1"/>
  <c r="X284" i="70"/>
  <c r="Y284" i="70" s="1"/>
  <c r="Y285" i="70"/>
  <c r="Y174" i="70"/>
  <c r="X208" i="70"/>
  <c r="Y14" i="70"/>
  <c r="X13" i="70"/>
  <c r="Y13" i="70" s="1"/>
  <c r="X245" i="70"/>
  <c r="AA245" i="70" s="1"/>
  <c r="AD245" i="70" s="1"/>
  <c r="AH245" i="70" s="1"/>
  <c r="Y248" i="70"/>
  <c r="X247" i="70"/>
  <c r="Y247" i="70" s="1"/>
  <c r="X12" i="70"/>
  <c r="AA12" i="70" s="1"/>
  <c r="AD12" i="70" s="1"/>
  <c r="AH12" i="70" s="1"/>
  <c r="Y145" i="70"/>
  <c r="X144" i="70"/>
  <c r="X216" i="70"/>
  <c r="AA216" i="70" s="1"/>
  <c r="AD216" i="70" s="1"/>
  <c r="AH216" i="70" s="1"/>
  <c r="X156" i="70"/>
  <c r="AA156" i="70" s="1"/>
  <c r="AD156" i="70" s="1"/>
  <c r="AH156" i="70" s="1"/>
  <c r="Y149" i="70"/>
  <c r="X148" i="70"/>
  <c r="Y148" i="70" s="1"/>
  <c r="Y205" i="70"/>
  <c r="X192" i="70"/>
  <c r="X90" i="70"/>
  <c r="AA90" i="70" s="1"/>
  <c r="AD90" i="70" s="1"/>
  <c r="AH90" i="70" s="1"/>
  <c r="X221" i="70"/>
  <c r="AA221" i="70" s="1"/>
  <c r="AD221" i="70" s="1"/>
  <c r="AH221" i="70" s="1"/>
  <c r="Y23" i="70"/>
  <c r="X22" i="70"/>
  <c r="Y22" i="70" s="1"/>
  <c r="Y278" i="70"/>
  <c r="X277" i="70"/>
  <c r="Y277" i="70" s="1"/>
  <c r="V277" i="70"/>
  <c r="V148" i="70"/>
  <c r="V161" i="70"/>
  <c r="V300" i="70"/>
  <c r="V214" i="70"/>
  <c r="V13" i="70"/>
  <c r="D53" i="128"/>
  <c r="V27" i="70"/>
  <c r="V245" i="70"/>
  <c r="U243" i="70"/>
  <c r="V156" i="70"/>
  <c r="U154" i="70"/>
  <c r="V91" i="70"/>
  <c r="V293" i="70"/>
  <c r="V110" i="70"/>
  <c r="U108" i="70"/>
  <c r="V22" i="70"/>
  <c r="U143" i="70"/>
  <c r="V144" i="70"/>
  <c r="V68" i="70"/>
  <c r="U66" i="70"/>
  <c r="V51" i="70"/>
  <c r="U50" i="70"/>
  <c r="V12" i="70"/>
  <c r="U10" i="70"/>
  <c r="V216" i="70"/>
  <c r="U215" i="70"/>
  <c r="U153" i="70"/>
  <c r="V284" i="70"/>
  <c r="V230" i="70"/>
  <c r="V194" i="70"/>
  <c r="U193" i="70"/>
  <c r="U208" i="70"/>
  <c r="V240" i="70"/>
  <c r="U239" i="70"/>
  <c r="U270" i="70"/>
  <c r="R172" i="70"/>
  <c r="S172" i="70" s="1"/>
  <c r="U175" i="70"/>
  <c r="V221" i="70"/>
  <c r="U218" i="70"/>
  <c r="V132" i="70"/>
  <c r="U130" i="70"/>
  <c r="Y130" i="70" s="1"/>
  <c r="V90" i="70"/>
  <c r="U88" i="70"/>
  <c r="S108" i="70"/>
  <c r="S300" i="70"/>
  <c r="P9" i="70"/>
  <c r="S175" i="70"/>
  <c r="P6" i="70"/>
  <c r="P247" i="70"/>
  <c r="S243" i="70"/>
  <c r="S293" i="70"/>
  <c r="S22" i="70"/>
  <c r="S284" i="70"/>
  <c r="S66" i="70"/>
  <c r="S239" i="70"/>
  <c r="S91" i="70"/>
  <c r="S88" i="70"/>
  <c r="S143" i="70"/>
  <c r="S154" i="70"/>
  <c r="S218" i="70"/>
  <c r="S130" i="70"/>
  <c r="S10" i="70"/>
  <c r="R9" i="70"/>
  <c r="R6" i="70"/>
  <c r="S153" i="70"/>
  <c r="R43" i="70"/>
  <c r="S50" i="70"/>
  <c r="S250" i="70"/>
  <c r="R247" i="70"/>
  <c r="V247" i="70" s="1"/>
  <c r="R193" i="70"/>
  <c r="S194" i="70"/>
  <c r="R208" i="70"/>
  <c r="S270" i="70"/>
  <c r="R263" i="70"/>
  <c r="S215" i="70"/>
  <c r="S277" i="70"/>
  <c r="O207" i="70"/>
  <c r="P277" i="70"/>
  <c r="I124" i="70"/>
  <c r="O229" i="70"/>
  <c r="F124" i="70"/>
  <c r="P42" i="70"/>
  <c r="O107" i="70"/>
  <c r="P154" i="70"/>
  <c r="O150" i="70"/>
  <c r="P263" i="70"/>
  <c r="P130" i="70"/>
  <c r="P193" i="70"/>
  <c r="P192" i="70"/>
  <c r="M42" i="70"/>
  <c r="M263" i="70"/>
  <c r="M192" i="70"/>
  <c r="M150" i="70"/>
  <c r="M207" i="70"/>
  <c r="M22" i="70"/>
  <c r="L107" i="70"/>
  <c r="J107" i="70"/>
  <c r="D57" i="128" l="1"/>
  <c r="AE300" i="70"/>
  <c r="D77" i="128"/>
  <c r="AE135" i="70"/>
  <c r="AH135" i="70"/>
  <c r="AE196" i="70"/>
  <c r="AH196" i="70"/>
  <c r="AE214" i="70"/>
  <c r="AH214" i="70"/>
  <c r="AE37" i="70"/>
  <c r="AH37" i="70"/>
  <c r="AE148" i="70"/>
  <c r="AH148" i="70"/>
  <c r="AE290" i="70"/>
  <c r="AH290" i="70"/>
  <c r="AB247" i="70"/>
  <c r="B73" i="128"/>
  <c r="AE98" i="70"/>
  <c r="AH98" i="70"/>
  <c r="AE201" i="70"/>
  <c r="AH201" i="70"/>
  <c r="AE82" i="70"/>
  <c r="AH82" i="70"/>
  <c r="AE291" i="70"/>
  <c r="AH291" i="70"/>
  <c r="AE45" i="70"/>
  <c r="AH45" i="70"/>
  <c r="AE222" i="70"/>
  <c r="AH222" i="70"/>
  <c r="AE160" i="70"/>
  <c r="AH160" i="70"/>
  <c r="AE206" i="70"/>
  <c r="AH206" i="70"/>
  <c r="AE76" i="70"/>
  <c r="AH76" i="70"/>
  <c r="AE295" i="70"/>
  <c r="AH295" i="70"/>
  <c r="AE137" i="70"/>
  <c r="AH137" i="70"/>
  <c r="AE136" i="70"/>
  <c r="AH136" i="70"/>
  <c r="AE69" i="70"/>
  <c r="AH69" i="70"/>
  <c r="AE34" i="70"/>
  <c r="AH34" i="70"/>
  <c r="AE198" i="70"/>
  <c r="AH198" i="70"/>
  <c r="AE217" i="70"/>
  <c r="AH217" i="70"/>
  <c r="AE199" i="70"/>
  <c r="AH199" i="70"/>
  <c r="AE54" i="70"/>
  <c r="AH54" i="70"/>
  <c r="AE274" i="70"/>
  <c r="AE53" i="70"/>
  <c r="AH53" i="70"/>
  <c r="D59" i="128"/>
  <c r="AE272" i="70"/>
  <c r="AH272" i="70"/>
  <c r="AE61" i="70"/>
  <c r="AH61" i="70"/>
  <c r="AE216" i="70"/>
  <c r="AD215" i="70"/>
  <c r="AH215" i="70" s="1"/>
  <c r="AB284" i="70"/>
  <c r="AE134" i="70"/>
  <c r="AD130" i="70"/>
  <c r="AH130" i="70" s="1"/>
  <c r="AE144" i="70"/>
  <c r="AD143" i="70"/>
  <c r="AH143" i="70" s="1"/>
  <c r="AE286" i="70"/>
  <c r="AD284" i="70"/>
  <c r="AE212" i="70"/>
  <c r="AD208" i="70"/>
  <c r="AH208" i="70" s="1"/>
  <c r="AB161" i="70"/>
  <c r="AD161" i="70"/>
  <c r="AE221" i="70"/>
  <c r="AD218" i="70"/>
  <c r="AH218" i="70" s="1"/>
  <c r="AE239" i="70"/>
  <c r="AE293" i="70"/>
  <c r="AE30" i="70"/>
  <c r="AD27" i="70"/>
  <c r="AH27" i="70" s="1"/>
  <c r="AB277" i="70"/>
  <c r="AE13" i="70"/>
  <c r="AE90" i="70"/>
  <c r="AD88" i="70"/>
  <c r="AH88" i="70" s="1"/>
  <c r="AE12" i="70"/>
  <c r="AD10" i="70"/>
  <c r="AH10" i="70" s="1"/>
  <c r="AE195" i="70"/>
  <c r="AD193" i="70"/>
  <c r="AH193" i="70" s="1"/>
  <c r="AE279" i="70"/>
  <c r="AD277" i="70"/>
  <c r="AB13" i="70"/>
  <c r="AB27" i="70"/>
  <c r="AE50" i="70"/>
  <c r="AD43" i="70"/>
  <c r="AH43" i="70" s="1"/>
  <c r="AB141" i="70"/>
  <c r="AD141" i="70"/>
  <c r="AE110" i="70"/>
  <c r="AD108" i="70"/>
  <c r="AH108" i="70" s="1"/>
  <c r="AB250" i="70"/>
  <c r="AD250" i="70"/>
  <c r="AD247" i="70" s="1"/>
  <c r="AE245" i="70"/>
  <c r="AD243" i="70"/>
  <c r="AH243" i="70" s="1"/>
  <c r="AE249" i="70"/>
  <c r="AE156" i="70"/>
  <c r="AE68" i="70"/>
  <c r="AD66" i="70"/>
  <c r="AE92" i="70"/>
  <c r="AD91" i="70"/>
  <c r="AB216" i="70"/>
  <c r="AA215" i="70"/>
  <c r="AB221" i="70"/>
  <c r="AA218" i="70"/>
  <c r="AB293" i="70"/>
  <c r="AB90" i="70"/>
  <c r="AA88" i="70"/>
  <c r="B18" i="128" s="1"/>
  <c r="E18" i="128" s="1"/>
  <c r="AB130" i="70"/>
  <c r="AB12" i="70"/>
  <c r="AA10" i="70"/>
  <c r="AB148" i="70"/>
  <c r="AB195" i="70"/>
  <c r="AA193" i="70"/>
  <c r="AB110" i="70"/>
  <c r="AA108" i="70"/>
  <c r="AB245" i="70"/>
  <c r="AA243" i="70"/>
  <c r="B72" i="128" s="1"/>
  <c r="E72" i="128" s="1"/>
  <c r="Y91" i="70"/>
  <c r="AB144" i="70"/>
  <c r="AA143" i="70"/>
  <c r="AA43" i="70"/>
  <c r="B16" i="128" s="1"/>
  <c r="E16" i="128" s="1"/>
  <c r="AB156" i="70"/>
  <c r="AA154" i="70"/>
  <c r="AB68" i="70"/>
  <c r="AA66" i="70"/>
  <c r="B17" i="128" s="1"/>
  <c r="E17" i="128" s="1"/>
  <c r="AB22" i="70"/>
  <c r="AB214" i="70"/>
  <c r="AA208" i="70"/>
  <c r="Y240" i="70"/>
  <c r="X239" i="70"/>
  <c r="AB239" i="70" s="1"/>
  <c r="Y245" i="70"/>
  <c r="X243" i="70"/>
  <c r="Y243" i="70" s="1"/>
  <c r="X153" i="70"/>
  <c r="AA153" i="70" s="1"/>
  <c r="Y156" i="70"/>
  <c r="X154" i="70"/>
  <c r="Y154" i="70" s="1"/>
  <c r="X175" i="70"/>
  <c r="AA175" i="70" s="1"/>
  <c r="AD175" i="70" s="1"/>
  <c r="AH175" i="70" s="1"/>
  <c r="Y110" i="70"/>
  <c r="X108" i="70"/>
  <c r="Y108" i="70" s="1"/>
  <c r="X215" i="70"/>
  <c r="Y215" i="70" s="1"/>
  <c r="Y216" i="70"/>
  <c r="X270" i="70"/>
  <c r="AA270" i="70" s="1"/>
  <c r="AD270" i="70" s="1"/>
  <c r="AH270" i="70" s="1"/>
  <c r="Y221" i="70"/>
  <c r="X218" i="70"/>
  <c r="Y218" i="70" s="1"/>
  <c r="Y51" i="70"/>
  <c r="X50" i="70"/>
  <c r="AB50" i="70" s="1"/>
  <c r="X143" i="70"/>
  <c r="Y143" i="70" s="1"/>
  <c r="Y144" i="70"/>
  <c r="Y208" i="70"/>
  <c r="Y90" i="70"/>
  <c r="X88" i="70"/>
  <c r="Y88" i="70" s="1"/>
  <c r="Y193" i="70"/>
  <c r="Y12" i="70"/>
  <c r="X10" i="70"/>
  <c r="Y68" i="70"/>
  <c r="X66" i="70"/>
  <c r="Y66" i="70" s="1"/>
  <c r="V215" i="70"/>
  <c r="B151" i="128"/>
  <c r="D80" i="128"/>
  <c r="V154" i="70"/>
  <c r="V218" i="70"/>
  <c r="R150" i="70"/>
  <c r="S150" i="70" s="1"/>
  <c r="V239" i="70"/>
  <c r="D71" i="128"/>
  <c r="V243" i="70"/>
  <c r="V66" i="70"/>
  <c r="V108" i="70"/>
  <c r="V88" i="70"/>
  <c r="D52" i="128"/>
  <c r="V143" i="70"/>
  <c r="D19" i="128"/>
  <c r="D20" i="128"/>
  <c r="V175" i="70"/>
  <c r="U172" i="70"/>
  <c r="V153" i="70"/>
  <c r="V270" i="70"/>
  <c r="U263" i="70"/>
  <c r="V10" i="70"/>
  <c r="U9" i="70"/>
  <c r="U6" i="70"/>
  <c r="U207" i="70"/>
  <c r="V208" i="70"/>
  <c r="V193" i="70"/>
  <c r="U192" i="70"/>
  <c r="Y192" i="70" s="1"/>
  <c r="V50" i="70"/>
  <c r="U43" i="70"/>
  <c r="V130" i="70"/>
  <c r="S9" i="70"/>
  <c r="P207" i="70"/>
  <c r="S6" i="70"/>
  <c r="S263" i="70"/>
  <c r="S247" i="70"/>
  <c r="R207" i="70"/>
  <c r="S208" i="70"/>
  <c r="S193" i="70"/>
  <c r="R192" i="70"/>
  <c r="R229" i="70"/>
  <c r="S43" i="70"/>
  <c r="R42" i="70"/>
  <c r="P150" i="70"/>
  <c r="J124" i="70"/>
  <c r="P229" i="70"/>
  <c r="O124" i="70"/>
  <c r="P107" i="70"/>
  <c r="D11" i="128"/>
  <c r="M229" i="70"/>
  <c r="L124" i="70"/>
  <c r="M107" i="70"/>
  <c r="D72" i="128" l="1"/>
  <c r="D18" i="128"/>
  <c r="AE91" i="70"/>
  <c r="AH91" i="70"/>
  <c r="AE161" i="70"/>
  <c r="AH161" i="70"/>
  <c r="AE66" i="70"/>
  <c r="AH66" i="70"/>
  <c r="AE141" i="70"/>
  <c r="AH141" i="70"/>
  <c r="AD154" i="70"/>
  <c r="AE284" i="70"/>
  <c r="AH284" i="70"/>
  <c r="AD153" i="70"/>
  <c r="AH153" i="70" s="1"/>
  <c r="B61" i="128"/>
  <c r="AE247" i="70"/>
  <c r="AH247" i="70"/>
  <c r="D17" i="128"/>
  <c r="AE277" i="70"/>
  <c r="AH277" i="70"/>
  <c r="E73" i="128"/>
  <c r="D73" i="128"/>
  <c r="AE250" i="70"/>
  <c r="AH250" i="70"/>
  <c r="AE88" i="70"/>
  <c r="AD207" i="70"/>
  <c r="AH207" i="70" s="1"/>
  <c r="AE208" i="70"/>
  <c r="AE270" i="70"/>
  <c r="AD263" i="70"/>
  <c r="AH263" i="70" s="1"/>
  <c r="AD42" i="70"/>
  <c r="AH42" i="70" s="1"/>
  <c r="AE43" i="70"/>
  <c r="AE27" i="70"/>
  <c r="AD22" i="70"/>
  <c r="AE143" i="70"/>
  <c r="AB218" i="70"/>
  <c r="AE243" i="70"/>
  <c r="AE130" i="70"/>
  <c r="AE175" i="70"/>
  <c r="AD172" i="70"/>
  <c r="AE193" i="70"/>
  <c r="AD192" i="70"/>
  <c r="AB66" i="70"/>
  <c r="AE218" i="70"/>
  <c r="AE108" i="70"/>
  <c r="AD9" i="70"/>
  <c r="AH9" i="70" s="1"/>
  <c r="AE10" i="70"/>
  <c r="AD6" i="70"/>
  <c r="AH6" i="70" s="1"/>
  <c r="AE215" i="70"/>
  <c r="AB270" i="70"/>
  <c r="AA263" i="70"/>
  <c r="AB143" i="70"/>
  <c r="AB88" i="70"/>
  <c r="AB208" i="70"/>
  <c r="AA207" i="70"/>
  <c r="B66" i="128" s="1"/>
  <c r="E66" i="128" s="1"/>
  <c r="AB243" i="70"/>
  <c r="AB175" i="70"/>
  <c r="AA172" i="70"/>
  <c r="AB108" i="70"/>
  <c r="AB193" i="70"/>
  <c r="AA192" i="70"/>
  <c r="AB215" i="70"/>
  <c r="AB154" i="70"/>
  <c r="AB153" i="70"/>
  <c r="AA42" i="70"/>
  <c r="AB10" i="70"/>
  <c r="AA9" i="70"/>
  <c r="AA6" i="70"/>
  <c r="B7" i="128" s="1"/>
  <c r="X207" i="70"/>
  <c r="Y207" i="70" s="1"/>
  <c r="Y175" i="70"/>
  <c r="X172" i="70"/>
  <c r="Y172" i="70" s="1"/>
  <c r="Y50" i="70"/>
  <c r="X43" i="70"/>
  <c r="AB43" i="70" s="1"/>
  <c r="Y153" i="70"/>
  <c r="X9" i="70"/>
  <c r="Y9" i="70" s="1"/>
  <c r="Y10" i="70"/>
  <c r="X6" i="70"/>
  <c r="Y6" i="70" s="1"/>
  <c r="Y270" i="70"/>
  <c r="X263" i="70"/>
  <c r="Y263" i="70" s="1"/>
  <c r="Y239" i="70"/>
  <c r="D16" i="128"/>
  <c r="V172" i="70"/>
  <c r="V263" i="70"/>
  <c r="D66" i="128"/>
  <c r="V6" i="70"/>
  <c r="V9" i="70"/>
  <c r="U229" i="70"/>
  <c r="U150" i="70"/>
  <c r="V207" i="70"/>
  <c r="V192" i="70"/>
  <c r="U42" i="70"/>
  <c r="V43" i="70"/>
  <c r="S207" i="70"/>
  <c r="S192" i="70"/>
  <c r="S229" i="70"/>
  <c r="S42" i="70"/>
  <c r="R107" i="70"/>
  <c r="P124" i="70"/>
  <c r="M124" i="70"/>
  <c r="AB192" i="70" l="1"/>
  <c r="B65" i="128"/>
  <c r="AE153" i="70"/>
  <c r="AE154" i="70"/>
  <c r="AH154" i="70"/>
  <c r="E7" i="128"/>
  <c r="AB9" i="70"/>
  <c r="B9" i="128"/>
  <c r="AA107" i="70"/>
  <c r="AA124" i="70" s="1"/>
  <c r="B15" i="128"/>
  <c r="E15" i="128" s="1"/>
  <c r="AE192" i="70"/>
  <c r="AH192" i="70"/>
  <c r="AE172" i="70"/>
  <c r="AH172" i="70"/>
  <c r="AE22" i="70"/>
  <c r="AH22" i="70"/>
  <c r="AA229" i="70"/>
  <c r="B67" i="128" s="1"/>
  <c r="E67" i="128" s="1"/>
  <c r="B75" i="128"/>
  <c r="E61" i="128"/>
  <c r="D61" i="128"/>
  <c r="AB6" i="70"/>
  <c r="AE42" i="70"/>
  <c r="AE263" i="70"/>
  <c r="AE6" i="70"/>
  <c r="AE207" i="70"/>
  <c r="AD107" i="70"/>
  <c r="AH107" i="70" s="1"/>
  <c r="AD229" i="70"/>
  <c r="AB172" i="70"/>
  <c r="AD150" i="70"/>
  <c r="AE9" i="70"/>
  <c r="AB207" i="70"/>
  <c r="AA150" i="70"/>
  <c r="B60" i="128" s="1"/>
  <c r="AB263" i="70"/>
  <c r="X150" i="70"/>
  <c r="Y150" i="70" s="1"/>
  <c r="X42" i="70"/>
  <c r="AB42" i="70" s="1"/>
  <c r="Y43" i="70"/>
  <c r="X229" i="70"/>
  <c r="Y229" i="70" s="1"/>
  <c r="V150" i="70"/>
  <c r="V229" i="70"/>
  <c r="D7" i="128"/>
  <c r="V42" i="70"/>
  <c r="U107" i="70"/>
  <c r="S107" i="70"/>
  <c r="R124" i="70"/>
  <c r="B6" i="128" l="1"/>
  <c r="B25" i="128" s="1"/>
  <c r="E9" i="128"/>
  <c r="D9" i="128"/>
  <c r="B64" i="128"/>
  <c r="E64" i="128" s="1"/>
  <c r="E60" i="128"/>
  <c r="E75" i="128"/>
  <c r="D75" i="128"/>
  <c r="AE229" i="70"/>
  <c r="AH229" i="70"/>
  <c r="AE150" i="70"/>
  <c r="AH150" i="70"/>
  <c r="E65" i="128"/>
  <c r="D65" i="128"/>
  <c r="D15" i="128"/>
  <c r="AD124" i="70"/>
  <c r="AH124" i="70" s="1"/>
  <c r="AE107" i="70"/>
  <c r="AB150" i="70"/>
  <c r="AB229" i="70"/>
  <c r="Y42" i="70"/>
  <c r="X107" i="70"/>
  <c r="AB107" i="70" s="1"/>
  <c r="D6" i="128"/>
  <c r="D67" i="128"/>
  <c r="B79" i="128"/>
  <c r="D60" i="128"/>
  <c r="B51" i="128"/>
  <c r="V107" i="70"/>
  <c r="U124" i="70"/>
  <c r="S124" i="70"/>
  <c r="E6" i="128" l="1"/>
  <c r="D64" i="128"/>
  <c r="D79" i="128"/>
  <c r="E79" i="128"/>
  <c r="E51" i="128"/>
  <c r="B147" i="128"/>
  <c r="AE124" i="70"/>
  <c r="X124" i="70"/>
  <c r="AB124" i="70" s="1"/>
  <c r="Y107" i="70"/>
  <c r="B150" i="128"/>
  <c r="D51" i="128"/>
  <c r="V124" i="70"/>
  <c r="B152" i="128" l="1"/>
  <c r="Y124" i="70"/>
  <c r="G172" i="70" l="1"/>
  <c r="G243" i="70"/>
  <c r="G293" i="70"/>
  <c r="G281" i="70"/>
  <c r="G251" i="70"/>
  <c r="G247" i="70"/>
  <c r="G229" i="70" l="1"/>
  <c r="G284" i="70"/>
  <c r="G235" i="70"/>
  <c r="G37" i="70" l="1"/>
  <c r="G88" i="70"/>
  <c r="G95" i="70"/>
  <c r="G34" i="70"/>
  <c r="G22" i="70" l="1"/>
  <c r="G148" i="70" l="1"/>
  <c r="G296" i="70" l="1"/>
  <c r="G42" i="70" l="1"/>
  <c r="G92" i="70" l="1"/>
  <c r="G98" i="70" l="1"/>
  <c r="G91" i="70" l="1"/>
  <c r="G10" i="70" l="1"/>
  <c r="G215" i="70" l="1"/>
  <c r="G207" i="70" s="1"/>
  <c r="G231" i="70" l="1"/>
  <c r="F140" i="70" l="1"/>
  <c r="I140" i="70" l="1"/>
  <c r="F299" i="70"/>
  <c r="F301" i="70" s="1"/>
  <c r="F302" i="70" s="1"/>
  <c r="G140" i="70"/>
  <c r="G143" i="70"/>
  <c r="L140" i="70" l="1"/>
  <c r="I299" i="70"/>
  <c r="J140" i="70"/>
  <c r="O140" i="70" l="1"/>
  <c r="R140" i="70" s="1"/>
  <c r="L299" i="70"/>
  <c r="L301" i="70" s="1"/>
  <c r="L302" i="70" s="1"/>
  <c r="I301" i="70"/>
  <c r="J301" i="70" s="1"/>
  <c r="J299" i="70"/>
  <c r="M140" i="70"/>
  <c r="G150" i="70"/>
  <c r="U140" i="70" l="1"/>
  <c r="X140" i="70" s="1"/>
  <c r="AA140" i="70" s="1"/>
  <c r="AD140" i="70" s="1"/>
  <c r="AH140" i="70" s="1"/>
  <c r="P140" i="70"/>
  <c r="S140" i="70"/>
  <c r="R299" i="70"/>
  <c r="O299" i="70"/>
  <c r="O301" i="70" s="1"/>
  <c r="I302" i="70"/>
  <c r="M301" i="70"/>
  <c r="M299" i="70"/>
  <c r="B154" i="128"/>
  <c r="AE140" i="70" l="1"/>
  <c r="AD299" i="70"/>
  <c r="AH299" i="70" s="1"/>
  <c r="AB140" i="70"/>
  <c r="AA299" i="70"/>
  <c r="Y140" i="70"/>
  <c r="X299" i="70"/>
  <c r="V140" i="70"/>
  <c r="U299" i="70"/>
  <c r="R301" i="70"/>
  <c r="S299" i="70"/>
  <c r="P299" i="70"/>
  <c r="O302" i="70"/>
  <c r="P301" i="70"/>
  <c r="J302" i="70"/>
  <c r="M302" i="70"/>
  <c r="AD301" i="70" l="1"/>
  <c r="AH301" i="70" s="1"/>
  <c r="AE299" i="70"/>
  <c r="AA301" i="70"/>
  <c r="B82" i="128" s="1"/>
  <c r="AB299" i="70"/>
  <c r="X301" i="70"/>
  <c r="Y299" i="70"/>
  <c r="U301" i="70"/>
  <c r="V299" i="70"/>
  <c r="S301" i="70"/>
  <c r="R302" i="70"/>
  <c r="P302" i="70"/>
  <c r="G130" i="70"/>
  <c r="G299" i="70" s="1"/>
  <c r="AE301" i="70" l="1"/>
  <c r="AD302" i="70"/>
  <c r="AH302" i="70" s="1"/>
  <c r="AB301" i="70"/>
  <c r="AA302" i="70"/>
  <c r="Y301" i="70"/>
  <c r="X302" i="70"/>
  <c r="V301" i="70"/>
  <c r="U302" i="70"/>
  <c r="S302" i="70"/>
  <c r="AE302" i="70" l="1"/>
  <c r="AB302" i="70"/>
  <c r="Y302" i="70"/>
  <c r="V302" i="70"/>
  <c r="G16" i="70" l="1"/>
  <c r="G13" i="70" l="1"/>
  <c r="G9" i="70"/>
  <c r="G6" i="70"/>
  <c r="G107" i="70" l="1"/>
  <c r="G124" i="70"/>
  <c r="G301" i="70" l="1"/>
  <c r="G302"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AG181" authorId="0" shapeId="0" xr:uid="{C0143836-E46C-4F99-B8A5-69C0B83FDD69}">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E291" authorId="0" shapeId="0" xr:uid="{00000000-0006-0000-0A00-00000E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F291" authorId="0" shapeId="0" xr:uid="{00000000-0006-0000-0A00-00000F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I291" authorId="0" shapeId="0" xr:uid="{70FF6BFE-CBFA-4806-8E64-555052F8CA0B}">
      <text>
        <r>
          <rPr>
            <b/>
            <sz val="9"/>
            <color indexed="81"/>
            <rFont val="Tahoma"/>
            <family val="2"/>
            <charset val="186"/>
          </rPr>
          <t>Sarmīte Mūze:</t>
        </r>
        <r>
          <rPr>
            <sz val="9"/>
            <color indexed="81"/>
            <rFont val="Tahoma"/>
            <family val="2"/>
            <charset val="186"/>
          </rPr>
          <t xml:space="preserve">
Šis ir jāizņem no 0930 un jāliek 0982 algā.
</t>
        </r>
      </text>
    </comment>
    <comment ref="L291" authorId="0" shapeId="0" xr:uid="{282F8E9F-1C9C-4EC9-BFF4-5C2D885728CE}">
      <text>
        <r>
          <rPr>
            <b/>
            <sz val="9"/>
            <color indexed="81"/>
            <rFont val="Tahoma"/>
            <family val="2"/>
            <charset val="186"/>
          </rPr>
          <t>Sarmīte Mūze:</t>
        </r>
        <r>
          <rPr>
            <sz val="9"/>
            <color indexed="81"/>
            <rFont val="Tahoma"/>
            <family val="2"/>
            <charset val="186"/>
          </rPr>
          <t xml:space="preserve">
Šis ir jāizņem no 0930 un jāliek 0982 algā.
</t>
        </r>
      </text>
    </comment>
    <comment ref="O291" authorId="0" shapeId="0" xr:uid="{81293606-0E41-434F-9E0A-344195318263}">
      <text>
        <r>
          <rPr>
            <b/>
            <sz val="9"/>
            <color indexed="81"/>
            <rFont val="Tahoma"/>
            <family val="2"/>
            <charset val="186"/>
          </rPr>
          <t>Sarmīte Mūze:</t>
        </r>
        <r>
          <rPr>
            <sz val="9"/>
            <color indexed="81"/>
            <rFont val="Tahoma"/>
            <family val="2"/>
            <charset val="186"/>
          </rPr>
          <t xml:space="preserve">
Šis ir jāizņem no 0930 un jāliek 0982 algā.
</t>
        </r>
      </text>
    </comment>
    <comment ref="R291" authorId="0" shapeId="0" xr:uid="{1DC12053-312E-444A-A852-16A1C93E6587}">
      <text>
        <r>
          <rPr>
            <b/>
            <sz val="9"/>
            <color indexed="81"/>
            <rFont val="Tahoma"/>
            <family val="2"/>
            <charset val="186"/>
          </rPr>
          <t>Sarmīte Mūze:</t>
        </r>
        <r>
          <rPr>
            <sz val="9"/>
            <color indexed="81"/>
            <rFont val="Tahoma"/>
            <family val="2"/>
            <charset val="186"/>
          </rPr>
          <t xml:space="preserve">
Šis ir jāizņem no 0930 un jāliek 0982 algā.
</t>
        </r>
      </text>
    </comment>
    <comment ref="U291" authorId="0" shapeId="0" xr:uid="{846AA49C-FF82-4069-BE28-16A73053FA73}">
      <text>
        <r>
          <rPr>
            <b/>
            <sz val="9"/>
            <color indexed="81"/>
            <rFont val="Tahoma"/>
            <family val="2"/>
            <charset val="186"/>
          </rPr>
          <t>Sarmīte Mūze:</t>
        </r>
        <r>
          <rPr>
            <sz val="9"/>
            <color indexed="81"/>
            <rFont val="Tahoma"/>
            <family val="2"/>
            <charset val="186"/>
          </rPr>
          <t xml:space="preserve">
Šis ir jāizņem no 0930 un jāliek 0982 algā.
</t>
        </r>
      </text>
    </comment>
    <comment ref="X291" authorId="0" shapeId="0" xr:uid="{6B6BBC24-50D4-44C5-823A-ECD8568B1E62}">
      <text>
        <r>
          <rPr>
            <b/>
            <sz val="9"/>
            <color indexed="81"/>
            <rFont val="Tahoma"/>
            <family val="2"/>
            <charset val="186"/>
          </rPr>
          <t>Sarmīte Mūze:</t>
        </r>
        <r>
          <rPr>
            <sz val="9"/>
            <color indexed="81"/>
            <rFont val="Tahoma"/>
            <family val="2"/>
            <charset val="186"/>
          </rPr>
          <t xml:space="preserve">
Šis ir jāizņem no 0930 un jāliek 0982 algā.
</t>
        </r>
      </text>
    </comment>
    <comment ref="AA291" authorId="0" shapeId="0" xr:uid="{668DF008-AD52-4F46-8CF5-3BFF83C34758}">
      <text>
        <r>
          <rPr>
            <b/>
            <sz val="9"/>
            <color indexed="81"/>
            <rFont val="Tahoma"/>
            <family val="2"/>
            <charset val="186"/>
          </rPr>
          <t>Sarmīte Mūze:</t>
        </r>
        <r>
          <rPr>
            <sz val="9"/>
            <color indexed="81"/>
            <rFont val="Tahoma"/>
            <family val="2"/>
            <charset val="186"/>
          </rPr>
          <t xml:space="preserve">
Šis ir jāizņem no 0930 un jāliek 0982 algā.
</t>
        </r>
      </text>
    </comment>
    <comment ref="AD291" authorId="0" shapeId="0" xr:uid="{BEE46A73-DA88-4863-8814-A68600082855}">
      <text>
        <r>
          <rPr>
            <b/>
            <sz val="9"/>
            <color indexed="81"/>
            <rFont val="Tahoma"/>
            <family val="2"/>
            <charset val="186"/>
          </rPr>
          <t>Sarmīte Mūze:</t>
        </r>
        <r>
          <rPr>
            <sz val="9"/>
            <color indexed="81"/>
            <rFont val="Tahoma"/>
            <family val="2"/>
            <charset val="186"/>
          </rPr>
          <t xml:space="preserve">
Šis ir jāizņem no 0930 un jāliek 0982 algā.
</t>
        </r>
      </text>
    </comment>
    <comment ref="AG291" authorId="0" shapeId="0" xr:uid="{E851798F-1597-4D7B-A3B7-40BA5FED72B6}">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<sst xmlns="http://schemas.openxmlformats.org/spreadsheetml/2006/main" count="1318" uniqueCount="1026">
  <si>
    <t xml:space="preserve">Ieņēmumu daļa </t>
  </si>
  <si>
    <t xml:space="preserve">N.p.k. </t>
  </si>
  <si>
    <t>Sadaļa</t>
  </si>
  <si>
    <t>Komentāri</t>
  </si>
  <si>
    <t>Komentāri par izpildi</t>
  </si>
  <si>
    <t>Nodokļu ieņēmumi</t>
  </si>
  <si>
    <t>1.1.1.0.</t>
  </si>
  <si>
    <t>1.</t>
  </si>
  <si>
    <t>Iedzīvotāju ienākuma nodoklis</t>
  </si>
  <si>
    <t>PB</t>
  </si>
  <si>
    <t>1.1.</t>
  </si>
  <si>
    <t>01.1.1.2.</t>
  </si>
  <si>
    <t>1.2.</t>
  </si>
  <si>
    <t>pārskata gada</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</si>
  <si>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</si>
  <si>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</si>
  <si>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</si>
  <si>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</si>
  <si>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</si>
  <si>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</si>
  <si>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</si>
  <si>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</si>
  <si>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</si>
  <si>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</si>
  <si>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</si>
  <si>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</si>
  <si>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</si>
  <si>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</si>
  <si>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</si>
  <si>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</si>
  <si>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</si>
  <si>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</si>
  <si>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</si>
  <si>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</si>
  <si>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</si>
  <si>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</si>
  <si>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</si>
  <si>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</si>
  <si>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Azartspēļu nodoklis</t>
  </si>
  <si>
    <t>9.0.0.0.</t>
  </si>
  <si>
    <t>6.</t>
  </si>
  <si>
    <t>Valsts (pašvaldību) un kancelejas nodevas</t>
  </si>
  <si>
    <t>9.4.0.0.</t>
  </si>
  <si>
    <t>6.1.</t>
  </si>
  <si>
    <t>valsts nodevas</t>
  </si>
  <si>
    <t>09.4.2.0.</t>
  </si>
  <si>
    <t>6.1.1.</t>
  </si>
  <si>
    <t>t.sk.: - par apliecinājumiem un citu funkciju pildīšanu bāriņtiesā</t>
  </si>
  <si>
    <t>09.4.5.0.</t>
  </si>
  <si>
    <t>6.1.2.</t>
  </si>
  <si>
    <t>09.4.9.0.</t>
  </si>
  <si>
    <t>6.1.3.</t>
  </si>
  <si>
    <t>9.5.0.0.</t>
  </si>
  <si>
    <t>6.2.</t>
  </si>
  <si>
    <t>pašvaldību nodevas</t>
  </si>
  <si>
    <t>09.5.1.1.</t>
  </si>
  <si>
    <t>6.2.1.</t>
  </si>
  <si>
    <t>09.5.1.4.</t>
  </si>
  <si>
    <t>6.2.2.</t>
  </si>
  <si>
    <t>6.2.3.</t>
  </si>
  <si>
    <t>09.5.1.7.</t>
  </si>
  <si>
    <t>6.2.4.</t>
  </si>
  <si>
    <t>09.5.2.1.</t>
  </si>
  <si>
    <t>6.2.5.</t>
  </si>
  <si>
    <t>09.5.2.9.</t>
  </si>
  <si>
    <t>6.2.6.</t>
  </si>
  <si>
    <t>10.0.0.0.</t>
  </si>
  <si>
    <t>7.</t>
  </si>
  <si>
    <t>Naudas sodi un sankcijas</t>
  </si>
  <si>
    <t>10.1.4.0.</t>
  </si>
  <si>
    <t>7.1.</t>
  </si>
  <si>
    <t>10.1.5.0.</t>
  </si>
  <si>
    <t>7.2.</t>
  </si>
  <si>
    <t>Naudas sodi, ko uzliek par pārkāpumiem ceļu satiksmē</t>
  </si>
  <si>
    <t>12.0.0.0.</t>
  </si>
  <si>
    <t>8.</t>
  </si>
  <si>
    <t>Pārējie nenodokļu ieņēmumi</t>
  </si>
  <si>
    <t>8.1.</t>
  </si>
  <si>
    <t>citi nenodokļu ieņēmumi</t>
  </si>
  <si>
    <t>8.2.</t>
  </si>
  <si>
    <t>8.3.</t>
  </si>
  <si>
    <t>9.</t>
  </si>
  <si>
    <t>Ieņēmumi no pašvaldības īpašuma pārdošana</t>
  </si>
  <si>
    <t>9.1.</t>
  </si>
  <si>
    <t>9.2.</t>
  </si>
  <si>
    <t>10.</t>
  </si>
  <si>
    <t>Valsts budžeta transferti</t>
  </si>
  <si>
    <t>mērķdotācija</t>
  </si>
  <si>
    <t>18.6.2.3.</t>
  </si>
  <si>
    <t>10.1.</t>
  </si>
  <si>
    <t>dotācija mākslas skolas algām</t>
  </si>
  <si>
    <t>18.6.2.4.</t>
  </si>
  <si>
    <t>10.2.</t>
  </si>
  <si>
    <t>dotācija sporta skolai</t>
  </si>
  <si>
    <t>dotācija skolēnu ēdināšanai</t>
  </si>
  <si>
    <t>18.6.2.5.</t>
  </si>
  <si>
    <t>18.6.2.0.</t>
  </si>
  <si>
    <t>dotācijas pedagogu algām (vsk., PII)</t>
  </si>
  <si>
    <t>18.6.2.2.</t>
  </si>
  <si>
    <t>t.sk.: - piecgadīgo bērnu apmācība</t>
  </si>
  <si>
    <t>18.6.2.1.</t>
  </si>
  <si>
    <t>18.6.2.9.</t>
  </si>
  <si>
    <t>18.6.3.1.</t>
  </si>
  <si>
    <t>18.6.2.7.</t>
  </si>
  <si>
    <t>dotācija asistenta pakalpojumu nodrošināšanai</t>
  </si>
  <si>
    <t>pārējās dotācijas</t>
  </si>
  <si>
    <t>18.6.3.6.</t>
  </si>
  <si>
    <t>11.</t>
  </si>
  <si>
    <t>Pašvaldību budžeta transferti</t>
  </si>
  <si>
    <t>19.2.1.0.</t>
  </si>
  <si>
    <t>11.1.</t>
  </si>
  <si>
    <t>no citām pašvaldībām izglītības funkciju nodrošināšanai</t>
  </si>
  <si>
    <t>11.2.</t>
  </si>
  <si>
    <t>12.</t>
  </si>
  <si>
    <t>Budžeta iestāžu ieņēmumi</t>
  </si>
  <si>
    <t>21.3.5.0.</t>
  </si>
  <si>
    <t>12.1.</t>
  </si>
  <si>
    <t>12.1.1.</t>
  </si>
  <si>
    <t>21.3.5.2.</t>
  </si>
  <si>
    <t>12.1.2.</t>
  </si>
  <si>
    <t>21.3.5.9.</t>
  </si>
  <si>
    <t>21.3.8.0.</t>
  </si>
  <si>
    <t>12.2.</t>
  </si>
  <si>
    <t>ieņēmumi par nomu un īri</t>
  </si>
  <si>
    <t>21.3.8.1.</t>
  </si>
  <si>
    <t>12.2.1.</t>
  </si>
  <si>
    <t>21.3.8.4.</t>
  </si>
  <si>
    <t>12.2.2.</t>
  </si>
  <si>
    <t>21.3.9.0.</t>
  </si>
  <si>
    <t>12.3.</t>
  </si>
  <si>
    <t>budžeta iestāžu maksas pakalpojumi</t>
  </si>
  <si>
    <t>12.4.</t>
  </si>
  <si>
    <t>KOPĀ IEŅĒMUMI:</t>
  </si>
  <si>
    <t>13.</t>
  </si>
  <si>
    <t>Naudas līdzekļu atlikums gada sākumā</t>
  </si>
  <si>
    <t>13.1.</t>
  </si>
  <si>
    <t>Naudas atlikums iezīmētiem mērķiem</t>
  </si>
  <si>
    <t>13.2.</t>
  </si>
  <si>
    <t>Naudas atlikums pašvaldības līdzekļi</t>
  </si>
  <si>
    <t xml:space="preserve">14. </t>
  </si>
  <si>
    <t>Valsts Kases kredīti</t>
  </si>
  <si>
    <t>PAVISAM KOPĀ IEŅĒMUMI:</t>
  </si>
  <si>
    <t xml:space="preserve">Izdevumu daļa </t>
  </si>
  <si>
    <t>Vispārējie valdības dienesti</t>
  </si>
  <si>
    <t>pārvalde</t>
  </si>
  <si>
    <t>deputāti</t>
  </si>
  <si>
    <t>1.3.</t>
  </si>
  <si>
    <t>administratīvā komisija</t>
  </si>
  <si>
    <t>1.4.</t>
  </si>
  <si>
    <t>iepirkumu komisija</t>
  </si>
  <si>
    <t>1.5.</t>
  </si>
  <si>
    <t>vēlēšanu komisija</t>
  </si>
  <si>
    <t>1.6.</t>
  </si>
  <si>
    <t>1.7.</t>
  </si>
  <si>
    <t>1.8.</t>
  </si>
  <si>
    <t>aizņēmumu procentu maksājumi</t>
  </si>
  <si>
    <t>Iemaksas PFIF</t>
  </si>
  <si>
    <t>Pārējie vispārēja rakstura transferti</t>
  </si>
  <si>
    <t>Izdevumi neparedzētiem gadījumiem</t>
  </si>
  <si>
    <t>Sabiedriskā kārtība un drošība</t>
  </si>
  <si>
    <t>Sabiedriskās attiecības, laikraksts</t>
  </si>
  <si>
    <t>Pašvaldības teritoriju un mājokļu apsaimniekošana</t>
  </si>
  <si>
    <t>5.1.</t>
  </si>
  <si>
    <t>Būvvalde</t>
  </si>
  <si>
    <t>nodaļa</t>
  </si>
  <si>
    <t>Objektu un teritorijas apsaimniekošana un uzturēšana</t>
  </si>
  <si>
    <t>Atpūta, kultūra un reliģija</t>
  </si>
  <si>
    <t>6.3.</t>
  </si>
  <si>
    <t>Sporta daļa</t>
  </si>
  <si>
    <t>6.4.</t>
  </si>
  <si>
    <t>Evaņģēliski luteriskās draudzes</t>
  </si>
  <si>
    <t>6.5.</t>
  </si>
  <si>
    <t>Sociālā aizsardzība</t>
  </si>
  <si>
    <t>Sociālais dienests</t>
  </si>
  <si>
    <t>Stipendiāti / bezdarbnieki</t>
  </si>
  <si>
    <t>7.3.</t>
  </si>
  <si>
    <t>Bāriņtiesa</t>
  </si>
  <si>
    <t>Izglītība</t>
  </si>
  <si>
    <t>7210 (0940; 0970)</t>
  </si>
  <si>
    <t>Norēķini ar pašvaldību budžetiem par izglītības iestāžu pakalpojumiem</t>
  </si>
  <si>
    <t>Ādažu Pirmsskolas izglītības iestāde</t>
  </si>
  <si>
    <t>8.2.1.</t>
  </si>
  <si>
    <t>pedagogu algas (mērķdotācija)</t>
  </si>
  <si>
    <t>8.2.2.</t>
  </si>
  <si>
    <t>pārējās izmaksas</t>
  </si>
  <si>
    <t>Kadagas PII</t>
  </si>
  <si>
    <t>8.3.1.</t>
  </si>
  <si>
    <t>8.3.2.</t>
  </si>
  <si>
    <t>8.4.</t>
  </si>
  <si>
    <t>Privātās izglītības iestādes</t>
  </si>
  <si>
    <t>ĀBVS</t>
  </si>
  <si>
    <t>8.5.</t>
  </si>
  <si>
    <t>Ādažu vidusskola</t>
  </si>
  <si>
    <t>8.6.</t>
  </si>
  <si>
    <t>8.7.</t>
  </si>
  <si>
    <t>Sporta skola</t>
  </si>
  <si>
    <t>8.8.</t>
  </si>
  <si>
    <t>Ieguldījumi uzņēmumu pamatkapitālā</t>
  </si>
  <si>
    <t>SIA "Ādažu ūdens"</t>
  </si>
  <si>
    <t>SIA "Garkalnes ūdens"</t>
  </si>
  <si>
    <t>KOPĀ IZDEVUMI:</t>
  </si>
  <si>
    <t>Kredītu pamatsummas atmaksa</t>
  </si>
  <si>
    <t>PAVISAM KOPĀ IZDEVUMI:</t>
  </si>
  <si>
    <t>-</t>
  </si>
  <si>
    <t>Naudas līdzekļu atlikums uz gada beigām</t>
  </si>
  <si>
    <t>0110</t>
  </si>
  <si>
    <t>0111</t>
  </si>
  <si>
    <t>0120</t>
  </si>
  <si>
    <t>0130</t>
  </si>
  <si>
    <t>0140</t>
  </si>
  <si>
    <t>0150</t>
  </si>
  <si>
    <t>0490</t>
  </si>
  <si>
    <t>0340</t>
  </si>
  <si>
    <t>0610</t>
  </si>
  <si>
    <t>0630</t>
  </si>
  <si>
    <t>0812</t>
  </si>
  <si>
    <t>0830</t>
  </si>
  <si>
    <t>0880</t>
  </si>
  <si>
    <t>0910</t>
  </si>
  <si>
    <t>0950</t>
  </si>
  <si>
    <t>0965</t>
  </si>
  <si>
    <t>0970</t>
  </si>
  <si>
    <t>Ieņēmumi</t>
  </si>
  <si>
    <t>Mērķdotācija</t>
  </si>
  <si>
    <t>Pašvaldības finansējums</t>
  </si>
  <si>
    <t>Pabalsti</t>
  </si>
  <si>
    <t>7.1.1.</t>
  </si>
  <si>
    <t>Asistentu pakalpojumi</t>
  </si>
  <si>
    <t>7.1.2.</t>
  </si>
  <si>
    <t>Domes finansējums</t>
  </si>
  <si>
    <t>NVA finansējums</t>
  </si>
  <si>
    <t>0930</t>
  </si>
  <si>
    <t>Izdevumi</t>
  </si>
  <si>
    <t>pārējās komisijas</t>
  </si>
  <si>
    <t>projekts Erasmus+</t>
  </si>
  <si>
    <t>pedagogu algas, grāmatas (mērķdotācija)</t>
  </si>
  <si>
    <t>13.1.0.0.</t>
  </si>
  <si>
    <t>SAM 9.2.4.2. projekts "Pasākumi vietējās sabiedrības veselības veicināšanai Ādažu novadā"</t>
  </si>
  <si>
    <t>Multihalle</t>
  </si>
  <si>
    <t>0981</t>
  </si>
  <si>
    <t>līgumsodi un procentu maksājumi par saistību neizpildi</t>
  </si>
  <si>
    <t>12.3.9.5.</t>
  </si>
  <si>
    <t>19.2.2.0.</t>
  </si>
  <si>
    <t>citi ieņēmumi no citām pašvaldībam</t>
  </si>
  <si>
    <t>ES struktūrfondu līdzekļi un aktivitāšu līdzfinansējumi</t>
  </si>
  <si>
    <t>Valsts budžeta transferti un projektu finansējums</t>
  </si>
  <si>
    <t>VISA projekts "Atbalsts izglītojamo individuālo kompetenču attīstībai"</t>
  </si>
  <si>
    <t>SAM 9311 Deinstitucionalizācija - Dienas centrs</t>
  </si>
  <si>
    <t>0956</t>
  </si>
  <si>
    <t>7.4.</t>
  </si>
  <si>
    <t>dotācija sociālajiem darbiniekiem, kuri strādā ar ģimenēm un bērniem</t>
  </si>
  <si>
    <t>18.6.3.4</t>
  </si>
  <si>
    <t xml:space="preserve">18.6.3.13. </t>
  </si>
  <si>
    <t xml:space="preserve">18.6.3.14.  </t>
  </si>
  <si>
    <t>sākumskolas uzturēšanas izmaksas</t>
  </si>
  <si>
    <t xml:space="preserve">Komentāri </t>
  </si>
  <si>
    <t>projekts "Skolas soma"</t>
  </si>
  <si>
    <t>dotācija māksliniecisko kolektīvu vadītāju atalgojumam</t>
  </si>
  <si>
    <t>18.6.2.6.1.</t>
  </si>
  <si>
    <t>Pārējās privātās vidējās izglītības iestādes</t>
  </si>
  <si>
    <t>ēdināšana (mērķdotācija)</t>
  </si>
  <si>
    <t>sākumskolas ēdināšana (mērķdotācija)</t>
  </si>
  <si>
    <t>18.6.2.10.; 18.6.2.11</t>
  </si>
  <si>
    <t>0911</t>
  </si>
  <si>
    <t>0921</t>
  </si>
  <si>
    <t>valsts dotācija ceļu uzturēšanai</t>
  </si>
  <si>
    <t>18.6.2.9.;</t>
  </si>
  <si>
    <t>0951</t>
  </si>
  <si>
    <t>0952</t>
  </si>
  <si>
    <t xml:space="preserve">PII </t>
  </si>
  <si>
    <t>-  uzturēšana</t>
  </si>
  <si>
    <t>t.sk.: - par civilstāvokļa aktu reģistrēšanu, grozīšanu un papildināšanu</t>
  </si>
  <si>
    <t>t.sk.: - pārējās valsts nodevas, kuras ieskaita pašvaldību budžetā</t>
  </si>
  <si>
    <t>t.sk.: - nodeva par domes izstrādāto oficiālo dokumentu saņemšanu</t>
  </si>
  <si>
    <t>t.sk.: - nodeva par tirdzniecību publiskās vietās</t>
  </si>
  <si>
    <t>t.sk.: - nodeva par reklāmas, afišu un sludinājumu izvietošanu publiskās vietās</t>
  </si>
  <si>
    <t>t.sk.: - nodeva par būvatļaujas saņemšanu</t>
  </si>
  <si>
    <t>t.sk.: - pārējās nodevas</t>
  </si>
  <si>
    <t>t.sk.: - skolotāju algām</t>
  </si>
  <si>
    <t>t.sk.: - interešu izglītība</t>
  </si>
  <si>
    <t>t.sk.: - nodeva par izklaidējoša rakstura pasākumu sarīkošanu publiskās vietās</t>
  </si>
  <si>
    <t>12.4.1.</t>
  </si>
  <si>
    <t>12.4.2.</t>
  </si>
  <si>
    <t>12.4.3.</t>
  </si>
  <si>
    <t>12.5.</t>
  </si>
  <si>
    <t>1.9.</t>
  </si>
  <si>
    <t>Autoceļu fonds</t>
  </si>
  <si>
    <t>CKS</t>
  </si>
  <si>
    <t>Pašvaldības aģentūra "Carnikavas Komunālserviss"</t>
  </si>
  <si>
    <t>Projekts "Sabiedrība ar dvēseli"</t>
  </si>
  <si>
    <t>Pirmsskolas izglītības iestāde "Riekstiņš"</t>
  </si>
  <si>
    <t>Sociālā centra "Kadiķis" uzturēšana</t>
  </si>
  <si>
    <t>Carnikava</t>
  </si>
  <si>
    <t>Kultūra</t>
  </si>
  <si>
    <t>Pirmsskolas izglītības iestādes "Piejūra"</t>
  </si>
  <si>
    <t>7.1.3.</t>
  </si>
  <si>
    <t>Projekts "Skolas soma" Ādaži</t>
  </si>
  <si>
    <t>ESF projekts Karjeras atbalsts vispārējās un profesionālās izglītības iestādēs ©</t>
  </si>
  <si>
    <t>ES Padomes projekts LIFE COHABIT ©</t>
  </si>
  <si>
    <t>ESF projekts Atbalsts priekšlaicīgas mācību pārtraukšanas samazināšanai ©</t>
  </si>
  <si>
    <t>SAM 5.5.1. Kultūras objektu būvniecība ©</t>
  </si>
  <si>
    <t>pārrobežu EST-LAT projekts "Militārais mantojums</t>
  </si>
  <si>
    <t>pārrobežu projektu ieņēmumi ©</t>
  </si>
  <si>
    <t>12.3.1.</t>
  </si>
  <si>
    <t>12.3.2.</t>
  </si>
  <si>
    <t>ieņēmumi par telpu nomu</t>
  </si>
  <si>
    <t>ieņēmumi par zemes nomu</t>
  </si>
  <si>
    <t>12.3.3.</t>
  </si>
  <si>
    <t>pārējie ieņēmumi par nomu ©</t>
  </si>
  <si>
    <t>ieņēmumi no dzīvokļu un komunālajiem pakalpojumiem ©</t>
  </si>
  <si>
    <t>ieņēmumi no zvejas tiesību nomas</t>
  </si>
  <si>
    <t>Informācijas tehnoloģiju nodaļa, vispārējas nozīmes dienestu darbība un pakalpojumi - datortīkla uzturēšana ©</t>
  </si>
  <si>
    <t>Pārrobežu EST-LAT projekts "Militārais mantojums ©</t>
  </si>
  <si>
    <t>Tautas nams "Ozolaine" ©</t>
  </si>
  <si>
    <t>SAM 5.5.1. Kultūras objektu būvniecība (maksājumi projekta partneriem) ©</t>
  </si>
  <si>
    <t>ES projekts Eiropa pilsoņiem (diskriminētām personām) ©</t>
  </si>
  <si>
    <t>Ādažu pašvaldības apvienotais budžets</t>
  </si>
  <si>
    <t>Ādaži</t>
  </si>
  <si>
    <t>ERASMUS + projekti</t>
  </si>
  <si>
    <t>0952.1</t>
  </si>
  <si>
    <t>0954</t>
  </si>
  <si>
    <t>0957</t>
  </si>
  <si>
    <t>09824</t>
  </si>
  <si>
    <t>09011</t>
  </si>
  <si>
    <t>0901; 650_0901</t>
  </si>
  <si>
    <t>0902; 650_0902</t>
  </si>
  <si>
    <t>09021</t>
  </si>
  <si>
    <t>0982</t>
  </si>
  <si>
    <t>09821</t>
  </si>
  <si>
    <t>09822</t>
  </si>
  <si>
    <t>0982; 0650_0982</t>
  </si>
  <si>
    <t>0932</t>
  </si>
  <si>
    <t>0931</t>
  </si>
  <si>
    <t>7.5.</t>
  </si>
  <si>
    <t>0831</t>
  </si>
  <si>
    <t>0170</t>
  </si>
  <si>
    <t>0670</t>
  </si>
  <si>
    <t>Projekts "Skolas soma" Carnikava</t>
  </si>
  <si>
    <t>Teritorijas plānošanas nodaļa</t>
  </si>
  <si>
    <t>Attīstības un projektu nodaļa</t>
  </si>
  <si>
    <t>P/A "Carnikavas komunālserviss" teritorijas un īpašumu apsaimniekošana</t>
  </si>
  <si>
    <t xml:space="preserve">Ādažu kultūras centrs </t>
  </si>
  <si>
    <t xml:space="preserve">Ādažu bibliotēka </t>
  </si>
  <si>
    <t xml:space="preserve">Carnikavas bibliotēka </t>
  </si>
  <si>
    <t xml:space="preserve">Sociālās funkcijas nodrošināšana </t>
  </si>
  <si>
    <t>”Mobilitātes punkta infrastruktūras izveidošana Rīgas metropoles areālā – “Carnikava””</t>
  </si>
  <si>
    <t>Maģistrālā  veloceļa izbūve Rīga-Carnikava</t>
  </si>
  <si>
    <t>mācību vides labiekārtošana</t>
  </si>
  <si>
    <t>Nodokļi un maksājumi par tiesībām lietot atsevišķas preces</t>
  </si>
  <si>
    <t>Ekonomiskā darbība</t>
  </si>
  <si>
    <t>Dabas resursu nodokļa izlietojums</t>
  </si>
  <si>
    <t>Vides aizsardzība</t>
  </si>
  <si>
    <t>6.4.1.</t>
  </si>
  <si>
    <t>6.4.2.</t>
  </si>
  <si>
    <t>6.4.6.</t>
  </si>
  <si>
    <t>6.4.7.</t>
  </si>
  <si>
    <t>6.4.8.</t>
  </si>
  <si>
    <t>6.4.9.</t>
  </si>
  <si>
    <t>7.6.</t>
  </si>
  <si>
    <t>7.8.</t>
  </si>
  <si>
    <t>7.9.</t>
  </si>
  <si>
    <t>8.1.1.</t>
  </si>
  <si>
    <t>8.1.2.</t>
  </si>
  <si>
    <t>8.1.3.</t>
  </si>
  <si>
    <t>8.1.5.</t>
  </si>
  <si>
    <t>8.1.6.</t>
  </si>
  <si>
    <t>8.3.3.</t>
  </si>
  <si>
    <t>9.2.1.</t>
  </si>
  <si>
    <t>9.2.2.</t>
  </si>
  <si>
    <t>9.3.</t>
  </si>
  <si>
    <t>9.3.1.</t>
  </si>
  <si>
    <t>9.3.2.</t>
  </si>
  <si>
    <t>9.4.</t>
  </si>
  <si>
    <t>9.4.1.</t>
  </si>
  <si>
    <t>9.4.2.</t>
  </si>
  <si>
    <t>9.5.</t>
  </si>
  <si>
    <t>9.5.1.</t>
  </si>
  <si>
    <t>9.5.2.</t>
  </si>
  <si>
    <t>9.6.</t>
  </si>
  <si>
    <t>9.6.1.</t>
  </si>
  <si>
    <t>9.6.2.</t>
  </si>
  <si>
    <t>9.6.3.</t>
  </si>
  <si>
    <t>9.7.</t>
  </si>
  <si>
    <t>9.7.1.</t>
  </si>
  <si>
    <t>9.7.2.</t>
  </si>
  <si>
    <t>9.7.3.</t>
  </si>
  <si>
    <t>9.7.4.</t>
  </si>
  <si>
    <t>9.7.5.</t>
  </si>
  <si>
    <t>9.7.6.</t>
  </si>
  <si>
    <t>9.9.</t>
  </si>
  <si>
    <t>9.9.1.</t>
  </si>
  <si>
    <t>9.9.2.</t>
  </si>
  <si>
    <t>9.9.3.</t>
  </si>
  <si>
    <t>9.9.4.</t>
  </si>
  <si>
    <t>9.9.5.</t>
  </si>
  <si>
    <t>9.9.6.</t>
  </si>
  <si>
    <t>9.9.7.</t>
  </si>
  <si>
    <t>9.9.8.</t>
  </si>
  <si>
    <t>9.10.</t>
  </si>
  <si>
    <t>9.10.1.</t>
  </si>
  <si>
    <t>9.10.2.</t>
  </si>
  <si>
    <t>9.11.</t>
  </si>
  <si>
    <t>9.11.1.</t>
  </si>
  <si>
    <t>9.11.2.</t>
  </si>
  <si>
    <t>9.12.</t>
  </si>
  <si>
    <t>9.13.</t>
  </si>
  <si>
    <t>9.14.</t>
  </si>
  <si>
    <t>9.15.</t>
  </si>
  <si>
    <t>9.16.</t>
  </si>
  <si>
    <t>9.17.</t>
  </si>
  <si>
    <t>Sabiedrisko attiecību nodaļa</t>
  </si>
  <si>
    <t>0841.3</t>
  </si>
  <si>
    <t>0841.2</t>
  </si>
  <si>
    <t>1014.1</t>
  </si>
  <si>
    <t>0510</t>
  </si>
  <si>
    <t>0420</t>
  </si>
  <si>
    <t>0633.1</t>
  </si>
  <si>
    <t>0633.2</t>
  </si>
  <si>
    <t>0841.1</t>
  </si>
  <si>
    <t>1013.1</t>
  </si>
  <si>
    <t>1., 2., 3., 4., 5.1.</t>
  </si>
  <si>
    <t>1., 2., 3., 4.</t>
  </si>
  <si>
    <t>Nekustamā īpašuma nodokļu ieņēmumi</t>
  </si>
  <si>
    <t>Dabas resursu nodoklis</t>
  </si>
  <si>
    <t>5.5.3.1.</t>
  </si>
  <si>
    <t>5.4.1.0.</t>
  </si>
  <si>
    <t>10.1.1.</t>
  </si>
  <si>
    <t>10.1.2.</t>
  </si>
  <si>
    <t>10.1.3.</t>
  </si>
  <si>
    <t>10.1.4.</t>
  </si>
  <si>
    <t>10.1.5.</t>
  </si>
  <si>
    <t xml:space="preserve">  10.1.5.1.</t>
  </si>
  <si>
    <t xml:space="preserve">  10.1.5.2.</t>
  </si>
  <si>
    <t xml:space="preserve">  10.1.5.3.</t>
  </si>
  <si>
    <t>10.1.6.</t>
  </si>
  <si>
    <t>10.1.7.</t>
  </si>
  <si>
    <t>10.1.8.</t>
  </si>
  <si>
    <t>10.1.9.</t>
  </si>
  <si>
    <t>10.1.10.</t>
  </si>
  <si>
    <t>10.1.11.</t>
  </si>
  <si>
    <t>10.2.1.</t>
  </si>
  <si>
    <t>10.2.2.</t>
  </si>
  <si>
    <t>10.2.3.</t>
  </si>
  <si>
    <t>10.2.4.</t>
  </si>
  <si>
    <t>10.2.5.</t>
  </si>
  <si>
    <t>10.2.6.</t>
  </si>
  <si>
    <t>10.2.8.</t>
  </si>
  <si>
    <t>10.2.10.</t>
  </si>
  <si>
    <t>10.2.11.</t>
  </si>
  <si>
    <t>18.6.4.0.</t>
  </si>
  <si>
    <t>IIN budžeta dotācija</t>
  </si>
  <si>
    <t>10.3.</t>
  </si>
  <si>
    <t>0620</t>
  </si>
  <si>
    <t>0633.4</t>
  </si>
  <si>
    <t>0634</t>
  </si>
  <si>
    <t>0844.1</t>
  </si>
  <si>
    <t>0844.2</t>
  </si>
  <si>
    <t>0420 (18.6.2.9.)</t>
  </si>
  <si>
    <t>F40321210</t>
  </si>
  <si>
    <t>0933</t>
  </si>
  <si>
    <t>09651</t>
  </si>
  <si>
    <t>0920</t>
  </si>
  <si>
    <t>09825</t>
  </si>
  <si>
    <t>0660</t>
  </si>
  <si>
    <t>Ādažu vēstis</t>
  </si>
  <si>
    <t>4.1.1.</t>
  </si>
  <si>
    <t>4.1.2.</t>
  </si>
  <si>
    <t>Iedzīvotāju iniciatīvas un konkursi.</t>
  </si>
  <si>
    <t>10.2.13.</t>
  </si>
  <si>
    <t>10.2.14.</t>
  </si>
  <si>
    <t>10.2.15.</t>
  </si>
  <si>
    <t>0630.2</t>
  </si>
  <si>
    <t>0630.1</t>
  </si>
  <si>
    <t>9.7.7.</t>
  </si>
  <si>
    <t>Carnikavas stadiona rekonstrukcija</t>
  </si>
  <si>
    <t>09823</t>
  </si>
  <si>
    <t>Dotācijas Ukrainas pilsoņu atbalstam</t>
  </si>
  <si>
    <t xml:space="preserve">  10.1.4.1.</t>
  </si>
  <si>
    <t xml:space="preserve">  10.1.4.2.</t>
  </si>
  <si>
    <t>t.sk.: - dotācija mācību grāmatām</t>
  </si>
  <si>
    <t>dotācija mācību līdzekļiem</t>
  </si>
  <si>
    <t>t.sk.: - dotācija digitālajiem mācību līdzekļiem</t>
  </si>
  <si>
    <t>10.2.16.</t>
  </si>
  <si>
    <t>21.3.8.9.</t>
  </si>
  <si>
    <t>7.10.</t>
  </si>
  <si>
    <t xml:space="preserve"> ”Mobilitātes punkta infrastruktūras izveidošana Rīgas metropoles areālā – “Carnikava””</t>
  </si>
  <si>
    <t>SAM 9.2.4.2. projekts "Pasākumi vietējās sabiedrības veselības veicināšanai Ādažu novada pašvaldības Ādažu pagastā"</t>
  </si>
  <si>
    <t>1013.2</t>
  </si>
  <si>
    <t>SAM 9.2.4.2. projekts "Pasākumi vietējās sabiedrības veselības veicināšanai Ādažu novada pašvaldības Carnikavas pagastā"</t>
  </si>
  <si>
    <t>Ādažu vidusskolas ēkas B korpusa un savienojuma daļas starp korpusiem (C un B) fasādes atjaunošana</t>
  </si>
  <si>
    <t>Ķiršu ielas III kārta no Saules ielas līdz Attekas ielai 0.17km</t>
  </si>
  <si>
    <t>Projekts "Eiropas pilsētu iniciatīva"</t>
  </si>
  <si>
    <t>Dotācijas "Energoresursu atbalsts"</t>
  </si>
  <si>
    <t>10</t>
  </si>
  <si>
    <t>Valsts finansējums projektu konkursā "Atbalsts jaunatnes politikas īstenošanai vietējā līmenī"  projekts "Mobilais darbs ar jaunatni Ādažu novadā"</t>
  </si>
  <si>
    <t>TEP “Atjaunojamo energoresursu izmantošana Ādažu novadā” (EUCF)</t>
  </si>
  <si>
    <t>SAM 5.1.1. Pretplūdu pasākumi Ādažu centra polderī, Ādažu novadā</t>
  </si>
  <si>
    <t>0632.5</t>
  </si>
  <si>
    <t>14.1.</t>
  </si>
  <si>
    <t>14.2.</t>
  </si>
  <si>
    <t>14.3.</t>
  </si>
  <si>
    <t>14.4.</t>
  </si>
  <si>
    <t>14.5.</t>
  </si>
  <si>
    <t>14.6.</t>
  </si>
  <si>
    <t>Plūdu risku projekts</t>
  </si>
  <si>
    <t>Dotācija nodarbinātības pasākumiem</t>
  </si>
  <si>
    <t>SAM 9311 Deinstitucionalizācija - Dienas centrs - specializētās darbnīcas</t>
  </si>
  <si>
    <t>Dienas centrs - pakalpojumi (Ā)</t>
  </si>
  <si>
    <t>10.2.9.</t>
  </si>
  <si>
    <t>10.2.12.</t>
  </si>
  <si>
    <t>10.2.17.</t>
  </si>
  <si>
    <t>10.2.18.</t>
  </si>
  <si>
    <t>10.2.19.</t>
  </si>
  <si>
    <t>DI centra uzturēšanas izdevumi</t>
  </si>
  <si>
    <t>DI centra pakalpojumi (projekts)</t>
  </si>
  <si>
    <t>Ādažu novada  Mākslu skola</t>
  </si>
  <si>
    <t>DI projekts- specializētās darbnīcas</t>
  </si>
  <si>
    <t>0633.5</t>
  </si>
  <si>
    <t>Ģimenes ārsta prakses izveide_Garā iela 20 (ERAF, SAM 9.3.2. 4.kārta)</t>
  </si>
  <si>
    <t>ieņēmumi no vecāku maksām (PII)</t>
  </si>
  <si>
    <t>ieņēmumi no vecāku maksām (ĀMMS; BJSS)</t>
  </si>
  <si>
    <t>21.3.9.3.</t>
  </si>
  <si>
    <t>ieņēmumi no biļešu realizācijas</t>
  </si>
  <si>
    <t>maksa par izglītības pakalpojumiem</t>
  </si>
  <si>
    <t>pārējie ieņēmumi/stāvvietu ieņēmumi</t>
  </si>
  <si>
    <t>09.5.1.2.</t>
  </si>
  <si>
    <t>KA</t>
  </si>
  <si>
    <t>9.4.3.</t>
  </si>
  <si>
    <t>uzturēšanas izmaksas (CKS)</t>
  </si>
  <si>
    <t>9.5.3.</t>
  </si>
  <si>
    <t>CKS_apsaimniek</t>
  </si>
  <si>
    <t>Muzejs un Carnikavas novadpētniecības centrs</t>
  </si>
  <si>
    <t>0843</t>
  </si>
  <si>
    <t>1014.3</t>
  </si>
  <si>
    <t>6.4.3.</t>
  </si>
  <si>
    <t>6.4.4.</t>
  </si>
  <si>
    <t>6.4.5.</t>
  </si>
  <si>
    <t>6.4.10.</t>
  </si>
  <si>
    <t xml:space="preserve">Nekustamā īpašumas nodaļa </t>
  </si>
  <si>
    <t>10.2.20.</t>
  </si>
  <si>
    <t>14.10.</t>
  </si>
  <si>
    <t>14.11.</t>
  </si>
  <si>
    <t>14.12.</t>
  </si>
  <si>
    <t>EKII projekts</t>
  </si>
  <si>
    <t>Katlu mājas pārbūve Carnikavā, Tulpju iela 5</t>
  </si>
  <si>
    <t>Draudzības iela posmā no Saules ielai līdz Podnieku ielai ar ietvi 0.35km</t>
  </si>
  <si>
    <t>9.8.</t>
  </si>
  <si>
    <t>Dotācija CKS teritorijas uzturēšanai</t>
  </si>
  <si>
    <t>Dotācija CKS ceļu uzturēšanai</t>
  </si>
  <si>
    <t>Teritorijas uzturēšana (Dome)</t>
  </si>
  <si>
    <t>10.1.12.</t>
  </si>
  <si>
    <t>10.1.13.</t>
  </si>
  <si>
    <t>10.1.14.</t>
  </si>
  <si>
    <t>Izmaiņa 23.03.2023. - 26.01.2023.</t>
  </si>
  <si>
    <t>Saskaņā ar projekta NP</t>
  </si>
  <si>
    <t>Tiek ieskaitīts reizi ceturksnī.</t>
  </si>
  <si>
    <t>Realizē CKS</t>
  </si>
  <si>
    <t>6.5.1.</t>
  </si>
  <si>
    <t>6.5.2.</t>
  </si>
  <si>
    <t>6.5.3.</t>
  </si>
  <si>
    <t>6.5.4.</t>
  </si>
  <si>
    <t>6.5.5.</t>
  </si>
  <si>
    <t>6.5.6.</t>
  </si>
  <si>
    <t>6.5.7.</t>
  </si>
  <si>
    <t>6.5.8.</t>
  </si>
  <si>
    <t>6.5.9.</t>
  </si>
  <si>
    <t>6.5.10.</t>
  </si>
  <si>
    <t>6.5.11.</t>
  </si>
  <si>
    <t>6.5.12.</t>
  </si>
  <si>
    <t>6.5.13.</t>
  </si>
  <si>
    <t>6.5.14.</t>
  </si>
  <si>
    <t>Par projekta gaitu ziņo izpilddirektors.</t>
  </si>
  <si>
    <t>Par projekta gaitu ziņo CKS.</t>
  </si>
  <si>
    <t>Lielākās izmaksas maijā - Gaujas svētki, pasākumi siltajā sezonā.</t>
  </si>
  <si>
    <t>Lielākās izmaksas - Nēģu svētki, pasākumi siltajā sezonā.</t>
  </si>
  <si>
    <t>Pedagogiem atvaļinājumi vasarā.</t>
  </si>
  <si>
    <t>Precizēta projekta NP</t>
  </si>
  <si>
    <t>08412</t>
  </si>
  <si>
    <t>18.6.3.20.</t>
  </si>
  <si>
    <t>Periods:</t>
  </si>
  <si>
    <t>IEŅĒMUMI</t>
  </si>
  <si>
    <t>IEŅĒMUMI kopā</t>
  </si>
  <si>
    <t>1. Nodokļu ieņēmumi</t>
  </si>
  <si>
    <t>1.1. Iedzīvotāju ienākuma nodoklis</t>
  </si>
  <si>
    <t>1.2. Nekustamā īpašuma nodokļu ieņēmumi</t>
  </si>
  <si>
    <t>1.3. Dabas resursu nodoklis</t>
  </si>
  <si>
    <t>2. Valsts (pašvaldību) un kancelejas nodevas</t>
  </si>
  <si>
    <t>3. Naudas sodi un sankcijas</t>
  </si>
  <si>
    <t>4. Pārējie nenodokļu ieņēmumi</t>
  </si>
  <si>
    <t>5. Ieņēmumi no pašvaldības īpašuma pārdošanas</t>
  </si>
  <si>
    <t>6. Valsts budžeta transferti un projektu finansējums</t>
  </si>
  <si>
    <t>6.1. Valsts budžeta transferti</t>
  </si>
  <si>
    <t>7. Pašvaldību budžeta transferti</t>
  </si>
  <si>
    <t>8. Budžeta iestāžu ieņēmumi</t>
  </si>
  <si>
    <t>AIZŅĒMUMI</t>
  </si>
  <si>
    <t>AIZŅĒMUMI kopā</t>
  </si>
  <si>
    <t>1. ”Mobilitātes punkta infrastruktūras izveidošana Rīgas metropoles areālā – “Carnikava””</t>
  </si>
  <si>
    <t>2. Maģistrālā  veloceļa izbūve Rīga-Carnikava</t>
  </si>
  <si>
    <t>3. "Auto stāvlaukuma Lilastē paplašināšana, atpūtas vietu, labiekārtojuma, labierīcību, kempinga iespēju projektēšana un izbūve" ©</t>
  </si>
  <si>
    <t>4. SAM 5.1.1. Pretplūdu pasākumi Ādažu centra polderī, Ādažu novadā</t>
  </si>
  <si>
    <t>5. Apgaismojuma izbūve uz Salas aizsargdamja D-2 posmā, Carnikavas pagastā</t>
  </si>
  <si>
    <t>6. Carnikavas stadiona rekonstrukcija</t>
  </si>
  <si>
    <t>7. Ādažu vidusskolas ēkas B korpusa un savienojuma daļas starp korpusiem (C un B) fasādes atjaunošana</t>
  </si>
  <si>
    <t>8. Kalngales NAI pārbūve</t>
  </si>
  <si>
    <t>9. EKII projekts</t>
  </si>
  <si>
    <t>10. Katlu mājas pārbūve Carnikavā, Tulpju iela 5</t>
  </si>
  <si>
    <t>11. Ķiršu ielas III kārta no Saules ielas līdz Attekas ielai 0.17km</t>
  </si>
  <si>
    <t>12. Draudzības iela posmā no Saules ielai līdz Podnieku ielai ar ietvi 0.35km</t>
  </si>
  <si>
    <t>13. Liepu aleja</t>
  </si>
  <si>
    <t>IZDEVUMI</t>
  </si>
  <si>
    <t>IZDEVUMI kopā</t>
  </si>
  <si>
    <t>1. Vispārējie valdības dienesti</t>
  </si>
  <si>
    <t>2. Sabiedriskā kārtība un drošība (bāze)</t>
  </si>
  <si>
    <t>3. Sabiedriskās attiecības, laikraksts</t>
  </si>
  <si>
    <t>4. Autoceļu fonds</t>
  </si>
  <si>
    <t>5. Vides aizsardzība (DRN izlietojums)</t>
  </si>
  <si>
    <t>6. Pašv. teritoriju un mājokļu apsaimniekošana</t>
  </si>
  <si>
    <t>7. Atpūta, kultūra un reliģija</t>
  </si>
  <si>
    <t>8. Sociālā aizsardzība</t>
  </si>
  <si>
    <t>9. Izglītība</t>
  </si>
  <si>
    <t>10. Kredītu pamatsummas atmaksa</t>
  </si>
  <si>
    <t>Rēķins par visu gadu gada sākumā, var nomaksāt 4os maksājumos.</t>
  </si>
  <si>
    <t>Pēc faktiskās izpildes.</t>
  </si>
  <si>
    <t>Šīs apkures sezonas kompensācijas beigušās.</t>
  </si>
  <si>
    <t>Par projektiem ziņo IDR</t>
  </si>
  <si>
    <t>Ziņo CKS</t>
  </si>
  <si>
    <t>Atlikums uz 30.06.2023</t>
  </si>
  <si>
    <t>Lielākās plāna pozīcijas bērnu radošās nometnes vasarā.</t>
  </si>
  <si>
    <t>1.1. Pārvalde, deputāti, komisijas</t>
  </si>
  <si>
    <t>1.2. Aizņēmumu procentu maksājumi</t>
  </si>
  <si>
    <t>1.3. Iemaksas PFIF</t>
  </si>
  <si>
    <t>6.2. CKS komunālie pakalpojumi</t>
  </si>
  <si>
    <t>6.3. Teritorijas uzturēšana</t>
  </si>
  <si>
    <t>6.4. Projekti</t>
  </si>
  <si>
    <t>Apkure (2221; 2321)</t>
  </si>
  <si>
    <t>Ūdens (2222)</t>
  </si>
  <si>
    <t>Elektrība (2223)</t>
  </si>
  <si>
    <t>Degviela (2322)</t>
  </si>
  <si>
    <t>KOMUNĀLIE MAKSĀJUMI, DEGVIELA</t>
  </si>
  <si>
    <t>Nosaukums, EKK</t>
  </si>
  <si>
    <t>Budžeta plāns ar grozījumiem</t>
  </si>
  <si>
    <t>Izpilde 2023.g. 1.pusgads (EUR)</t>
  </si>
  <si>
    <t>Izpilde 2023.g. 1.pusgads (%)</t>
  </si>
  <si>
    <t>Apkure (2221;2321)</t>
  </si>
  <si>
    <t>Ūdens, kanalizācija (2222)</t>
  </si>
  <si>
    <t>Ādažu pašvaldība</t>
  </si>
  <si>
    <t xml:space="preserve">(neskaitot iedzīvotājiem sniegtos komunālos pakalpojumus) </t>
  </si>
  <si>
    <t>6.2. ES struktūrfondu līdzekļi un aktivitāšu līdzfin.</t>
  </si>
  <si>
    <t xml:space="preserve">Carnikavas komunālserviss </t>
  </si>
  <si>
    <t>Rezerve/ iztrūkums EUR</t>
  </si>
  <si>
    <t>8.2. Ieņēmumi par nomu un īri</t>
  </si>
  <si>
    <t>6.1. APN, NĪN, TPN, Būvvalde</t>
  </si>
  <si>
    <t>6.2. Ziņo CKS.  Šī pozīcija atspoguļojas gan ieņēmumos, gan izdevumos.</t>
  </si>
  <si>
    <t>6.4.  Atbilstoši projektu NP. Par projektu gaitu sīkāk ziņos izpilddirektors.</t>
  </si>
  <si>
    <t>9.6. Privātās izglītības iestādes</t>
  </si>
  <si>
    <t>9.8. Ādažu vidusskola</t>
  </si>
  <si>
    <t>9.9. Ādažu novada  Mākslu skola</t>
  </si>
  <si>
    <t>9.10. Sporta skola</t>
  </si>
  <si>
    <t xml:space="preserve">9.11. Izglītības un jauniešu lietu pārvalde </t>
  </si>
  <si>
    <t>9.12. Projekti</t>
  </si>
  <si>
    <t>9.2. Ādažu PII "Strautiņš"</t>
  </si>
  <si>
    <t>9.3. Kadagas PII "Mežavēji"</t>
  </si>
  <si>
    <t>9.4. Carnikavas PII "Riekstiņš"</t>
  </si>
  <si>
    <t>9.5. Siguļu PII "Piejūra"</t>
  </si>
  <si>
    <t>9.1. Norēķini ar pašvaldībām par izglītības iestāžu pakalp.</t>
  </si>
  <si>
    <t>Ādažu novada pašvaldības iestāžu un CKS konsolidētie komunālie izdevumi</t>
  </si>
  <si>
    <t>5. Pašvaldības DRN maksājums. Parasti tiek novirzīts kapitālieguldījumiem nevis uzturēšanas izdevumiem.</t>
  </si>
  <si>
    <t>Līdzfinansējums skolēnu dalībai konkursos</t>
  </si>
  <si>
    <t>Izglītības un jaunatnes nodaļa</t>
  </si>
  <si>
    <t>0633.6</t>
  </si>
  <si>
    <t>Tūrisms</t>
  </si>
  <si>
    <t>ANM pasākuma "Atbalsta pasākumi cilvēkiem ar invaliditāti mājokļu vides pieejamības nodrošināšanai" projekts</t>
  </si>
  <si>
    <t>Ādažu vidusskolas ēkas A korpusa, savienojuma daļas starp korpusiem (A un B), kā arī, vidusskolas centrālās daļas, tai skaitā torņa fasādes atjaunošana.</t>
  </si>
  <si>
    <t>Pastaigu taka gar Baltezera kanālu</t>
  </si>
  <si>
    <t>0632.6</t>
  </si>
  <si>
    <t>LIFE NewBauhaus projekts</t>
  </si>
  <si>
    <t>Krastupes ielas projekts</t>
  </si>
  <si>
    <t>Tirgus laukuma lietus kanalizācijas izbūve Ādažos</t>
  </si>
  <si>
    <t>Dzirnupes ielas tilta projekts, Carnikava</t>
  </si>
  <si>
    <t xml:space="preserve">Pārējās privātās PII </t>
  </si>
  <si>
    <t>LAD, Jūras Zeme projekts, Mākslu skolas ārtelpas projekts Garā iela 20, Carnikavā</t>
  </si>
  <si>
    <t>Publiskās ārtelpas izveide Gaujas ielā 31 Ādažos</t>
  </si>
  <si>
    <t>0648</t>
  </si>
  <si>
    <t>Attekas ielas turpinājums 0,5 km - projektēšana</t>
  </si>
  <si>
    <t>Valsts finansējums projektu konkursā "Atbalsts jaunatnes politikas īstenošanai vietējā līmenī" Projekts "Mobilais darbs ar jaunatni Ādažu novadā"</t>
  </si>
  <si>
    <t>Projekts par energokopienām. Magliano Alpi pašvaldības Itālijā CERV Town Twinning programmas projektsa ietvaros</t>
  </si>
  <si>
    <t>Projekts jauniešu asociāciju federācija Eiropas mobilitātei. CERV programmas projekts "YOUTth and democracy: empowering Europe's next generation"</t>
  </si>
  <si>
    <t>21.3.9.4.</t>
  </si>
  <si>
    <t>21.3.9.9.; CKS</t>
  </si>
  <si>
    <t>AM līdzfinansējums Vecštāles ceļa rekonstrukcijai</t>
  </si>
  <si>
    <t>7.1.4.</t>
  </si>
  <si>
    <t>9.18.</t>
  </si>
  <si>
    <t>9.18.1.</t>
  </si>
  <si>
    <t>9.18.2.</t>
  </si>
  <si>
    <t>Jaunas pirmsskolas izglītības iestādes Podniekos</t>
  </si>
  <si>
    <t>9.9.9.</t>
  </si>
  <si>
    <t xml:space="preserve">ESF projekts Atbalsts priekšlaicīgas mācību pārtraukšanas samazināšanai © </t>
  </si>
  <si>
    <t>10.1.15.</t>
  </si>
  <si>
    <t>2024. gada budžets</t>
  </si>
  <si>
    <t>projekti Erasmus+; NordPlus</t>
  </si>
  <si>
    <t>Viršu ielas/atzars uz Sproģu ielu asfaltbetona seguma atjaunošana posmā no Dzērveņu ielas līdz Serģu iela (980 m)</t>
  </si>
  <si>
    <t>Vecštāles ceļa rekonstrukcija</t>
  </si>
  <si>
    <t xml:space="preserve">Apgaismes stabi Attekas ielas savienojumā no Ķiršu līdz Draudzības ielai. </t>
  </si>
  <si>
    <t>6.4.11.</t>
  </si>
  <si>
    <t>6.4.12.</t>
  </si>
  <si>
    <t>6.4.13.</t>
  </si>
  <si>
    <t>6.4.14.</t>
  </si>
  <si>
    <t>25.01.2024. grozījumi</t>
  </si>
  <si>
    <t>Izmaiņa 25.01.2024. - 28.12.2023.</t>
  </si>
  <si>
    <t>10.2.7.</t>
  </si>
  <si>
    <t>Finansējums Piekrastes apsaimniekošanai ieskaitīts 2023.gada beigās (stāv KA)</t>
  </si>
  <si>
    <t>Mērķdotācijas KA</t>
  </si>
  <si>
    <t>2024. gads</t>
  </si>
  <si>
    <t>- uzturēšanas izmaksas (CKS)</t>
  </si>
  <si>
    <t>Atalgojums, kas pāriet uz CKS</t>
  </si>
  <si>
    <t>9.9.10.</t>
  </si>
  <si>
    <t>9.9.11.</t>
  </si>
  <si>
    <t>9.9.11.1.</t>
  </si>
  <si>
    <t>9.9.11.2.</t>
  </si>
  <si>
    <t>9.9.11.3.</t>
  </si>
  <si>
    <t>sākumskolas uzturēšanas izmaksas (CKS)</t>
  </si>
  <si>
    <t>9.3.3.</t>
  </si>
  <si>
    <t>9.2.3.</t>
  </si>
  <si>
    <t>7.8.1.</t>
  </si>
  <si>
    <t>7.8.2.</t>
  </si>
  <si>
    <t>-  sporta funkcijas nodrošināšana</t>
  </si>
  <si>
    <t>Decembra rēķins izrakstīts 30.12., samaksa pārceļas uz 2024.gadu</t>
  </si>
  <si>
    <t>Decembra rēķins izrakstīts 30.12., samaksa pārceļas uz 2024.gadu, pārcelts 2023.gada aizņēmuma neizņemtais atlikums.</t>
  </si>
  <si>
    <t>DI projekta KA</t>
  </si>
  <si>
    <t>Uzkopšanas gada maksa ielikta CKS, bet janvāra maksājums vēl jāveic caur policijas budžetu</t>
  </si>
  <si>
    <t>Precizēts sadalījums starp pašvaldību un MD</t>
  </si>
  <si>
    <t>Precizēta aizņēmumu summa pēc līguma summas pārcelšanas no 2023.gada</t>
  </si>
  <si>
    <t>precizēts KA, VK aizņēmuma summa un atlikušais ienākošais ERAF finansējums</t>
  </si>
  <si>
    <t>Atalgojums, kas pāriet uz CKS un algas korekcija, precizējot MD</t>
  </si>
  <si>
    <t>Atalgojums, kas pāriet uz CKS; atalgojuma korekcija, dalot likes MD</t>
  </si>
  <si>
    <t>Precizēta dotācija +59'292, papildus dotācija par pārņemtajiem ceļiem EUR 1'248</t>
  </si>
  <si>
    <t>Atalgojuma pieaugums pēc MD apstiprināšanas un algu tarifikācijas</t>
  </si>
  <si>
    <t>KA, precizēta MD</t>
  </si>
  <si>
    <t>Precizēta MD</t>
  </si>
  <si>
    <t>Atalgojums, kas pāriet uz CKS; atalgojuma korekcija, dalot likmes MD</t>
  </si>
  <si>
    <t>KA EUR 1'093, precizēta dotācija +59'292, papildus dotācija par pārņemtajiem ceļiem EUR 1'248</t>
  </si>
  <si>
    <t>EUR 104'970 DRN; 
EUR 230 Nodarbinātība; 
EUR - 1 Plūdi; 
EUR 750 ind. komp. att.; 
EUR - 1'034 DI soc. pakalp.; 
EUR - 1'841 Atbalsts priekšlaicīgas māc. Pārtraukš. Samaz.; 
EUR 19'357 Carn. Stad (VK aizņēmums); 
EUR 1'832 Mākslas skolas dotāc; 
EUR 41 ĀBJSS dotāc.; 
EUR 1'093 Aotoceļu MD; 
EUR 13'000 drošības nauda CKS (jāatmaksā); 
EUR 168'382 CKS Saimnieciskā darbība; 
EUR 10'621 Piekrastes apsaimn.; 
EUR 3'808 5-6 gad. MD; 
EUR 904 māc. līdz. MD; 
EUR 17'685 MD pedag.+interešu izgl; 
EUR 76'439 MD ēdināš; 
EUR 38'150 DI darbnīcas;
EUR 31'285 Atskaitīts LAD finansējums Salas dambim (jāatgriež kredīts)
EUR 133'640 Atskaitīts LAD finansējums Lilastes stāvlaukumam (jāatgriež kredīts)</t>
  </si>
  <si>
    <t>Dalība atveseļošanas un noturības mehānisma pasākumā “Atbalsta pasākumi cilvēkiem ar invaliditāti mājokļu vides pieejamības nodrošināšanai”</t>
  </si>
  <si>
    <t>AND trūkstošais finansējums uz, ko jāatmaksā citām pašv.</t>
  </si>
  <si>
    <t>Saskaņā ar projekta nosacījumiem, tiks ieskaitīts avanss EUR 18'299</t>
  </si>
  <si>
    <t>Valsts finansējums parakstu vākšanai tautas nobalsošanas ierosināšanai par apturēto likumu “Grozījumi Notariāta likumā”</t>
  </si>
  <si>
    <t>EUR 37'335 Atskaitīts LAD finansējums Salas dambim (jāatgriež kredīts)
EUR 133'640 Atskaitīts LAD finansējums Lilastes stāvlaukumam (jāatgriež kredīts) + 67, lai nosegtu 2024. visu pamatsummu</t>
  </si>
  <si>
    <t>0630; 0903</t>
  </si>
  <si>
    <t>Jaunas pirmsskolas izglītības iestādes Podniekos būvniecība</t>
  </si>
  <si>
    <t>0903</t>
  </si>
  <si>
    <t>I.cet. 21%, II.cet.23%. III.cet.28%, IV.cet. 28%</t>
  </si>
  <si>
    <t>KA nepalielina izdevumus, bet samazina plānotos ieņēmumsu</t>
  </si>
  <si>
    <t>KA nepalielina izdevumus, bet samazina plānotos ieņēmumus</t>
  </si>
  <si>
    <t>Grīdas kopšanas ierīces iegādi un Nosūces uzstādīšanu realizēs CKS</t>
  </si>
  <si>
    <t>Prezizēta MD un Mērķdotācijas KA</t>
  </si>
  <si>
    <t>1) KA - EUR 13'000 drošības nauda CKS (jāatmaksā).
2) Uzkopšanas gada maksa ielikta CKS, bet janvāra maksājums vēl jāveic caur policijas budžetu. (EUR 645).
3) Noslēdzies iepirkums remontam Garā iela 20 ārsta prakse. Summa par EUR 1'835 lielāka.</t>
  </si>
  <si>
    <t>9.7.1.2.</t>
  </si>
  <si>
    <t>9.7.1.3.</t>
  </si>
  <si>
    <t>9.7.1.1.</t>
  </si>
  <si>
    <t>MD pedagogiem</t>
  </si>
  <si>
    <t>MD interešu izglītība</t>
  </si>
  <si>
    <t>MD mācību līdzekļiem</t>
  </si>
  <si>
    <t>9.9.1.1.</t>
  </si>
  <si>
    <t>9.9.1.2.</t>
  </si>
  <si>
    <t>9.9.1.3.</t>
  </si>
  <si>
    <t>MD mācību līdzekļiem 2024.gadam</t>
  </si>
  <si>
    <t>KA (VK aizņēmums) un uz 2024.gadu pārceļamā summa, jo būvnieks navarēja pabeigt projektu, saskaņā ar līguma termiņiem</t>
  </si>
  <si>
    <t>0631.1</t>
  </si>
  <si>
    <t>Precizēta MD un pašvaldības finansējums atalgojumam</t>
  </si>
  <si>
    <t xml:space="preserve">Precizēta MD </t>
  </si>
  <si>
    <r>
      <rPr>
        <b/>
        <u/>
        <sz val="11"/>
        <rFont val="Times New Roman"/>
        <family val="1"/>
        <charset val="186"/>
      </rPr>
      <t>Protokoll. Iekš groz.:</t>
    </r>
    <r>
      <rPr>
        <sz val="11"/>
        <rFont val="Times New Roman"/>
        <family val="1"/>
        <charset val="186"/>
      </rPr>
      <t xml:space="preserve"> EUR 7'250 no EKK 2264 (multifunkcionālā printera noma uz EKK 5238 printeru iegādei)</t>
    </r>
  </si>
  <si>
    <t>Avīzes drukai noslēdzies iepirkums, papildus iebudžetētajam nepieciešami EUR 3283, jo pirmos mēnešus vēl lielā cena. Nepieciešamā summa pārcelta no nodaļas sadaļas datotehnika un informatīvie baneri. EUR 544 papildus nepieciešami avīzes izplatīšanai, no drukas, vizualizācijas un publ. aptaujām.</t>
  </si>
  <si>
    <t>Jauns līgums 2024.gadam.</t>
  </si>
  <si>
    <t>Izmaiņa 27.03.2024. -25.01.2024.</t>
  </si>
  <si>
    <t>Koriģēts interešu izgl. finansējuma sadalījums EUR 49'310 no privātajiem īstenotājiem uz pašvald. Iestādēm un ĀBVS. (uz ĀVS EUR 22'060; uz CPS EUR 18425; uz ĀBVS EUR 8'825)</t>
  </si>
  <si>
    <t>Precizēta dotācija par papildus pārņemtajiem ceļiem EUR 3966</t>
  </si>
  <si>
    <t>12.3.9.9.; 8.3.9.0.; 8.6.1.2.</t>
  </si>
  <si>
    <t>Konta atlikuma nakts depozīta ieņēmumi.</t>
  </si>
  <si>
    <t>Uz 06.03. IIN izpilde lielāka par plānoto šajā periodā.</t>
  </si>
  <si>
    <t>Uz 06.03. IIN izpilde lielāka par plānoto šajā periodā, līdz ar to arī palielinās iemaksas izlīdzināšanas fondā.</t>
  </si>
  <si>
    <r>
      <rPr>
        <u/>
        <sz val="11"/>
        <rFont val="Times New Roman"/>
        <family val="1"/>
        <charset val="186"/>
      </rPr>
      <t>1) EUR 2'000 no konta atlikuma apmeklētāju skaitītāja nomaiņai Atpūtas takā dabas parkā “Piejūra”
2)</t>
    </r>
    <r>
      <rPr>
        <b/>
        <u/>
        <sz val="11"/>
        <rFont val="Times New Roman"/>
        <family val="1"/>
        <charset val="186"/>
      </rPr>
      <t xml:space="preserve"> Iekš. groz.:</t>
    </r>
    <r>
      <rPr>
        <sz val="11"/>
        <rFont val="Times New Roman"/>
        <family val="1"/>
        <charset val="186"/>
      </rPr>
      <t xml:space="preserve"> EUR 13'541 no Z-svētku rotājumu finansējuma CoHabit finansējuma atmaksai no EKK 2239 uz EKK 7246</t>
    </r>
  </si>
  <si>
    <t>EUR 13'315 no dotācijas ceļu uzturēšanai uz Pašvaldības policiju ātruma kontroles mērierīces iegādei.</t>
  </si>
  <si>
    <t>Liepu alejas rekonstrukcija</t>
  </si>
  <si>
    <t>Viršu ielas prognozētās palielinātās izmaksas</t>
  </si>
  <si>
    <t>MD mācību līdzekļiem 2024.gadam (sadalās starp izgl. iestādēm)</t>
  </si>
  <si>
    <t>MD 2024.gadam māc. līdz.iegāde</t>
  </si>
  <si>
    <t>- pedagogu algas, māc. līdzekļi (mērķdotācija)</t>
  </si>
  <si>
    <t>1) EUR 10'919 no CKS teritorijas kopšanas nodaļas uz CKS AVS uzturēšanas nodaļu.
2) EUR 146'203 ĀVS uzturēšana, ko veic CKS</t>
  </si>
  <si>
    <t>EUR 146'203 ĀVS uzturēšana, ko veic CKS</t>
  </si>
  <si>
    <t>1) EUR 6'705 no CKS teritorijas kopšanas nodaļas uz CKS AVS PII uzturēšanas nodaļu.
2) EUR 6'000 ĀVS uzturēšana, ko veic CKS</t>
  </si>
  <si>
    <t>EUR 6'000 ĀVS uzturēšana, ko veic CKS</t>
  </si>
  <si>
    <t>CKS iekšējā pārstrukturēšana:
1) EUR 10'919 no CKS teritorijas kopšanas nodaļas uz CKS AVS uzturēšanas nodaļu.
2) EUR 6'705 no CKS teritorijas kopšanas nodaļas uz CKS AVS PII uzturēšanas nodaļu.
3) EUR 19'453 no CKS teritorijas kopšanas nodaļas uz CKS AVS sākumskolas uzturēšanas nodaļu.</t>
  </si>
  <si>
    <t>1) EUR 19'453 no CKS teritorijas kopšanas nodaļas uz CKS AVS sākumskolas uzturēšanas nodaļu.
2) EUR 58'159 ĀVS sākumskolas uzturēšana, ko veic CKS</t>
  </si>
  <si>
    <t>EUR 58'159 ĀVS sākumskolas uzturēšana, ko veic CKS</t>
  </si>
  <si>
    <t>EUR 43'878 Sporta centra uzturēšana, ko veic CKS</t>
  </si>
  <si>
    <t>EUR 145'959 ĀPII uzturēšana, ko veic CKS</t>
  </si>
  <si>
    <t>EUR 64'977 KPII uzturēšana, ko veic CKS</t>
  </si>
  <si>
    <t>EUR 27'100 Erasmus, NordPlus finansējums attiecināms uz Carnikavas pamatskolu nevis Ādažu vidusskolu</t>
  </si>
  <si>
    <t>28.03.2024. grozījumi</t>
  </si>
  <si>
    <t>Izmaiņa 28.03.2024. -25.01.2024.</t>
  </si>
  <si>
    <t>Pēc lēmuma precizēta naudas plūsma.</t>
  </si>
  <si>
    <t>Saņemts gala maksājums, kas tiks izmantots kā priekšfinansējums jaunajiem Veselības projektiem</t>
  </si>
  <si>
    <t>Saņemts pozitīvs FM lēmums aizdevuma piešķiršanai.</t>
  </si>
  <si>
    <t>NĪ daļas kompetencē. Nav vēl ienākusi nauda par izsolēm lētas īres mājokļu būvniecībai EUR….. apmērā.</t>
  </si>
  <si>
    <t>Pašvaldības DRN maksājums</t>
  </si>
  <si>
    <t>EUR 1 037 000 nekustamā īpašuma Liepnieki iegāde</t>
  </si>
  <si>
    <t>Projekts noslēdzies, konta atlikums.</t>
  </si>
  <si>
    <t>Ziņo IDR.</t>
  </si>
  <si>
    <t>Soda nauda trenažieru iepirkumam EUR 2'509; CKS EUR 4'104</t>
  </si>
  <si>
    <t>Atņemts EKK 7230, jo tā izpilde nāk no CKS</t>
  </si>
  <si>
    <t>8. Lielāko daļu sastāda CKS Ieņēmumi no dzīvokļu un komunālajiem pakalpojumiem. Šī pozīcija atspoguļojas gan ieņēmumos, gan izdevumos.</t>
  </si>
  <si>
    <t>1. Kopumā izpilde tuvu plānotajam.</t>
  </si>
  <si>
    <t>1.2. Atbilstoši plānam.</t>
  </si>
  <si>
    <t>4. Realizē CKS. Atbilstoši plānam.</t>
  </si>
  <si>
    <t>6.3. Ziņo CKS.</t>
  </si>
  <si>
    <t>Ekonomija uz neaizpildītajām vakancēm</t>
  </si>
  <si>
    <t>Saņemta nauda no izsolēm. Kopsummā izpilde par EUR 23'095 lielāka kā gada plāns.</t>
  </si>
  <si>
    <t>25.04.2024. grozījumi</t>
  </si>
  <si>
    <t>Izmaiņa 25.04.2024. -28.03.2024.</t>
  </si>
  <si>
    <t>Latvijas Jaunatnes Olimpiāde Valmierā - NENOTIKS</t>
  </si>
  <si>
    <t>CVK finansējums Eiropas parlamenta vēlēšanu nodrošināšanai</t>
  </si>
  <si>
    <t>EUR 660 no finansējuma publiskajām apspriešanām, reklāmām uz sadaļu"Ādažu vēstis" izplatīšanas izmaksu pieaugumam.</t>
  </si>
  <si>
    <t>Pēc naudas plūsmas 2024.gadā mazāks finansējuma apjoms. No mobilitātes punkta proejekta EUR 5'000 uzņēmējdarbības konkuram izmaksu iegumu analīzes veikšanai un EUR 26'640 tehniskā projekta izstrādāšanai.</t>
  </si>
  <si>
    <t>1) - EUR 7'349 ekonomija uz neaizpildītajām vakancēm;
2) No mobilitātes punkta projekta EUR 5'000 uzņēmējdarbības konkuram izmaksu iegumu analīzes veikšanai un EUR 26'640 tehniskā projekta izstrādāšanai.</t>
  </si>
  <si>
    <t>Procentu ieņēmumi no nakts depozīta (šobrīd + EUR 9'309 pret plānoto).</t>
  </si>
  <si>
    <t>Kļavu ielā divkārtas virsmas apstrāde 0.35km</t>
  </si>
  <si>
    <t>Atbalstīts zemsvītras projekts</t>
  </si>
  <si>
    <t>+ EUR 8'500 atbalstīts zemsv. aktivit. - Lielās zāles grīdas seguma remonts</t>
  </si>
  <si>
    <t>Mežmalas ielas seguma vienkāršotā atjaunošana, 0.22km, Alderi</t>
  </si>
  <si>
    <t>+ EUR 21'000 atbalstīts zemsv. aktivit. - 3 uzlādes skapju iegāde; 16 datoru iegāde obligātā mācību procesa nodrošināšanai</t>
  </si>
  <si>
    <t>1) - EUR 9'076 Ekonomija uz neaizpildītajām vakancēm;
2) + EUR 3'500 atbalstīts zemsv. aktivit. - VW LT 46 hidromanipulatora kapitālais remonts;
3) + EUR 11'000 atbalstīts zemsv. aktivit. - (Mākslu skolas starpsienu izbūve)</t>
  </si>
  <si>
    <t>+ EUR 4'000 atbalstīts zemsv. aktivit. - (EUR 11'000 sienu un durvju aiļu izbūve ar durvju uzst. Garā 20 (pie CKS), EUR 4'000 mēbeļu un aprīkojuma iegāde</t>
  </si>
  <si>
    <t>27.06.2024. grozījumi</t>
  </si>
  <si>
    <t>Izmaiņa 27.06.2024. -25.04.2024.</t>
  </si>
  <si>
    <t>EUR 926 Sporta centra uzturēšana, ko veic CKS</t>
  </si>
  <si>
    <r>
      <t>1) Automātiskās laistīšanas sistēmas ierīkošana Ādažu stadionā sadarbībā ar Latvijas futbola federāciju. EUR 6'370 no ieņēmumu palielinājuma par pakalpojumiem un</t>
    </r>
    <r>
      <rPr>
        <b/>
        <u/>
        <sz val="11"/>
        <rFont val="Times New Roman"/>
        <family val="1"/>
        <charset val="186"/>
      </rPr>
      <t xml:space="preserve"> iekš. groz.:</t>
    </r>
    <r>
      <rPr>
        <sz val="11"/>
        <rFont val="Times New Roman"/>
        <family val="1"/>
        <charset val="186"/>
      </rPr>
      <t xml:space="preserve"> EUR 4'752 no ekonomijas algu fondā; EUR 8'061 no plānotā āra trenažieriem.
2) EUR 926 Sporta centra uzturēšana, ko veic CKS</t>
    </r>
  </si>
  <si>
    <t>8.3.4.</t>
  </si>
  <si>
    <t>DI centra uzturēšanas izdevumi (CKS)</t>
  </si>
  <si>
    <t>EUR 3'745 DI centra uzturēšana, ko veic CKS</t>
  </si>
  <si>
    <t>8.1.7.</t>
  </si>
  <si>
    <t>Uzturēšanas izdevumi (CKS)</t>
  </si>
  <si>
    <t>EUR 1'186 Soc. dienesta uzturēšana, ko veic CKS</t>
  </si>
  <si>
    <t>EUR 276 Ādažu bibliotēkas uzturēšana, ko veic CKS</t>
  </si>
  <si>
    <t>EUR 62 Carnikavas bibliotēkas uzturēšana, ko veic CKS</t>
  </si>
  <si>
    <t>EUR 102 uzturēšana, ko veic CKS</t>
  </si>
  <si>
    <t>EUR 28 Kadiķis uzturēšana, ko veic CKS</t>
  </si>
  <si>
    <t>EUR 165 t/n Ozolaine uzturēšana, ko veic CKS</t>
  </si>
  <si>
    <t>Stadiona labiekārtošanas darbi veikti caur CKS, pārcelts EUR 6'629 uz CKS teritorijas labiekārtošanas sadaļu.</t>
  </si>
  <si>
    <t>8.9.</t>
  </si>
  <si>
    <t>EUR 44'284 - ANM pasākuma "Atbalsta pasākumi cilvēkiem ar invaliditāti mājokļu vides pieejamības nodrošināšanai" projekts - Pārcelts uz jaunu struktūru 1018</t>
  </si>
  <si>
    <t xml:space="preserve">Saskaņā ar 28.03.2024. lēmumu Nr. 119, ieņēmumu palielinājums pārcelts arī uz izdevumu sadaļu GS rīkošanai. (EUR 21'000 (EUR 7'000 tirdzniecības nodevas; EUR 9'000 ieņēmumi par telpu nomu; 5'000 pārējie ieņēmumi)). </t>
  </si>
  <si>
    <t xml:space="preserve">1) Balstoties uz faktisko izpildi, prognoze, ka līdz gada beigām būs lielāki ieņēmumi kā plānots (Sporta daļa)
2) Saskaņā ar 28.03.2024. lēmumu Nr. 119, ieņēmumu palielinājums pārcelts arī uz izdevumu sadaļu GS rīkošanai. (EUR 21'000 (EUR 7'000 tirdzniecības nodevas; EUR 9'000 ieņēmumi par telpu nomu; 5'000 pārējie ieņēmumi)). </t>
  </si>
  <si>
    <t>Atlikta saimnieciskās darbības nodalīšana no CKS EUR 680'342 (ieņēmumu un izdevumu sadaļā)</t>
  </si>
  <si>
    <r>
      <t>1) EUR 276 Ādažu bibliotēkas uzturēšana, ko veic CKS;
2) EUR 62 Carnikavas bibliotēkas uzturēšana, ko veic CKS;
3) EUR 102 Policijas uzturēšana, ko veic CKS;
4) EUR 28 Kadiķis uzturēšana, ko veic CKS;
5) EUR 165 t/n Ozolaine uzturēšana, ko veic CKS.
6) Stadiona labiekārtošanas darbi veikti caur CKS, pārcelts EUR 6'629 uz CKS teritorijas labiekārtošanas sadaļu.
7)</t>
    </r>
    <r>
      <rPr>
        <u/>
        <sz val="11"/>
        <rFont val="Times New Roman"/>
        <family val="1"/>
        <charset val="186"/>
      </rPr>
      <t xml:space="preserve"> Iekš. groz.:</t>
    </r>
    <r>
      <rPr>
        <sz val="11"/>
        <rFont val="Times New Roman"/>
        <family val="1"/>
        <charset val="186"/>
      </rPr>
      <t xml:space="preserve"> EUR 10'000 no atalgojuma pārcelt siltummezgla rekonstrukcijai Stacijas ielā 5 un 7.
8) </t>
    </r>
    <r>
      <rPr>
        <u/>
        <sz val="11"/>
        <rFont val="Times New Roman"/>
        <family val="1"/>
        <charset val="186"/>
      </rPr>
      <t>Iekš. groz.:</t>
    </r>
    <r>
      <rPr>
        <sz val="11"/>
        <rFont val="Times New Roman"/>
        <family val="1"/>
        <charset val="186"/>
      </rPr>
      <t xml:space="preserve"> EUR 7'865 no ietaupījumu no elektroenerģijas patēriņa samazinājuma novirzīt caurtekas renovācijai Viršu ielā</t>
    </r>
  </si>
  <si>
    <t>EUR 7'811 ĀPII uzturēšana, ko veic CKS</t>
  </si>
  <si>
    <t>Noslēdzies iepirkums uzņēmējdarbības konkursa tehniskā projekta izstrādāšanai par summu EUR 23'293 (aprīļa grozījumos šim mērķim tika pārcelti EUR 26'640 no mobilitātes punkta projekta). Starpība EUR 3'347 atgriezts mobilitātes projektam.</t>
  </si>
  <si>
    <t>EUR 50'687 aizņēmumu % maksājumu plānotās kopsummas samazinājums uz projekta Pastaigu taka gar Baltezera kanālu budžetu (30.05.2024. ĀND lēmums # 185)</t>
  </si>
  <si>
    <t>EUR 22'000 no ieņēmumu palielinājuma (KA % ieņēmumu palielinājums). (30.05.2024. ĀND lēmums # 185)
EUR 50'687 no aizņēmumu % maksājumu plānotās kopsummas.</t>
  </si>
  <si>
    <t>1) EUR 5'801 no Attīstības nodaļas (ekonomija uz vakancēm) uz projektu Mākslu skolas ārtelpas labiekārtošana. (30.05.2024. ĀND lēmums # 223)
2) EUR 44'284 - ANM pasākuma "Atbalsta pasākumi cilvēkiem ar invaliditāti mājokļu vides pieejamības nodrošināšanai" projekts - Pārcelts uz jaunu struktūru 1018; 
3) Noslēdzies iepirkums uzņēmējdarbības konkursa tehniskā projekta izstrādāšanai par summu EUR 23'293 (aprīļa grozījumos šim mērķim tika pārcelti EUR 26'640 no mobilitātes punkta projekta). Starpība EUR 3'347 atgriezts mobilitātes projektam.</t>
  </si>
  <si>
    <t>EUR 5'801 no Attīstības nodaļas (ekonomija uz vakancēm) uz projektu Mākslu skolas ārtelpas labiekārtošana (30.05.2024. ĀND lēmums # 223)</t>
  </si>
  <si>
    <t>Procentu ieņēmumi no nakts depozīta. (Saskaņā ar 30.05.2024. lēmumu Nr. 185 novirzīts projektam pastaigu celiņa izbūve gar Gaujas-Baltezera kanālu)</t>
  </si>
  <si>
    <t>EUR 3'150 no Ādažu vidusskolas PII uz PII Riekstiņš izglītojamo skaita palielinājumam. Saskaņā ar 30.05.2024. lēmumu Nr. 216 "Par izglītojamo skaita palielināšanu PII "Riekstiņš"</t>
  </si>
  <si>
    <t>Iespējams šeit veidojas ~ 200'000 euro rezerve (Aprūpe mājās bērniem invalīdiem (kaut ko MK nepieņēma) un uz skolēnu ēdināšanu, bet to tad būtu prātīgāk novirzīt pašvaldību savst norēķ par audzēkņiem (30.06.75% izpilde)līdzfinansējumam PPII</t>
  </si>
  <si>
    <t xml:space="preserve">EUR 44'284 - ANM pasākuma "Atbalsta pasākumi cilvēkiem ar invaliditāti mājokļu vides pieejamības nodrošināšanai" projekts - jūnijā pārcelts uz jaunu struktūru 1018 - jāceļ no izceltā projekta nevis attīst. daļas. 
</t>
  </si>
  <si>
    <t>6.4.15.</t>
  </si>
  <si>
    <t>6.4.16.</t>
  </si>
  <si>
    <t>0631.2</t>
  </si>
  <si>
    <t>6.5.6.1</t>
  </si>
  <si>
    <t>6.5.6.2.</t>
  </si>
  <si>
    <t>6.5.6.3.</t>
  </si>
  <si>
    <t>6.5.15.</t>
  </si>
  <si>
    <t>0634.1</t>
  </si>
  <si>
    <t>Jaunais plūdu projekts - 2.1.3.2. "Nacionālas nozīmes plūdu un krasta erozijas pasākumi" 1.daļa</t>
  </si>
  <si>
    <t xml:space="preserve">EUR 120'000 - Jaunais plūdu projekts - Pārcelts uz atsevišķu struktūru 0634.1; 
</t>
  </si>
  <si>
    <t xml:space="preserve">EUR 85'085 - Krastupes ielas projekts - Pārcelts uz atsevišķu struktūru 0631.2; 
</t>
  </si>
  <si>
    <t>Par projekta gaitu ziņo IDR (LAD saņemtais finansējums iesaldēts )</t>
  </si>
  <si>
    <t>Maksājumi tiek veikti 3x gadā.</t>
  </si>
  <si>
    <t xml:space="preserve">Par projekta gaitu ziņo izpilddirektors. </t>
  </si>
  <si>
    <t>8.1. Maksa par izglītības pakalpojumiem u.c. ieņēmumi</t>
  </si>
  <si>
    <t>8.3. CKS ieņēmumi no dzīvokļu un komunālajiem pakalpojumiem</t>
  </si>
  <si>
    <t>29.08.2024. grozījumi</t>
  </si>
  <si>
    <t>Izmaiņa 29.08.2024. -27.06.2024.</t>
  </si>
  <si>
    <t>Palielinājums, balstoties uz faktisko izpildi.</t>
  </si>
  <si>
    <t>Balstoties uz precizētajiem aprēķiniem.</t>
  </si>
  <si>
    <t>Balstoties uz faktisko izpildi un precizētajiem aprēķiniem.</t>
  </si>
  <si>
    <t>EUR 2400 uzlādes stacijām piedāvāto nekustamo īpašumu novētēšanai (25.07.2024. domes lēmums)</t>
  </si>
  <si>
    <t>Papildus līdzekļi klaiņojošo dzīvnieku veterinājajai aprūpei.</t>
  </si>
  <si>
    <t>Papildus EUR 2'300 no Ādažu vidusskolas PII uz PII Riekstiņš izglītojamo skaita palielinājumam. Saskaņā ar 25.07. grozījumiem 30.05.2024. lēmumu Nr. 216 "Par izglītojamo skaita palielināšanu PII "Riekstiņš". Amatu pārcelšanai EUR 9'536 no Ādažu PII uz PII Riekstiņš</t>
  </si>
  <si>
    <t>0940.2</t>
  </si>
  <si>
    <t>0940.3</t>
  </si>
  <si>
    <t>EUR 5'600 tualešu remontam uz CKS uzturēšanas izmaksu pozīciju</t>
  </si>
  <si>
    <t>Līgums ar CFLA nav noslēgts, līdz ar to zināms, ka projektēšana pilnā apmērā jāmaksā no pašvaldības.</t>
  </si>
  <si>
    <t>EUR 15'000 no plānotajiem līdzekļiem Draudzības ielas rekonstrukcijai uz Kļavu ielas divkāršās virsmas apstrādes veikšanu. (08.08.2024. protokollēmums)</t>
  </si>
  <si>
    <t>Kļavu ielas divkāršās virsmas apstrādes veikšanai (08.08.2024. protokollēmums):
1) EUR 6'508 no plānotajiem līdzekļiem elektroenerģijas iegādei;
2) EUR 15'000 no plānotajiem līdzekļiem Draudzības ielas rekonstrukcijai;
3) EUR 328 no gājēju pārejas Siguļos izmaksām;
4) EUR 7'000 no pašizgāzēja pakalpojumu apmaksai paredzētajiem līdzekļiem;
5) EUR 3'130 no lietuskanalizācijas uzturēšanas izmaksām;
6) EUR 18'034 no tiltu uzturēšanai plānotajām izmaksām.</t>
  </si>
  <si>
    <t>1) Iedzīvotāju līdzfinansējums Mežmalas ielas atjaunošanai EUR 31'000.
2) No Attekas ielas projektēšanas EUR 10'022 Mežmalas ielas atjaunošanai pašvaldības līdzfinansējums.</t>
  </si>
  <si>
    <t>EUR 4'600 no tāmēšanas darbiem paredzētā finansējuma uz PII "Mežavēji" ēkas un telpu remontdarbiem.</t>
  </si>
  <si>
    <t>Strautiņš terases sienu remontam EUR 2'978 no Garās ielas 20 remontiem paredzētajiem līdzekļiem uz PII "Strautiņš" terases balsta sienu remontdarbiem un EUR 11'222 (iekš. groz.) no plānotā piekļuves sisitēmas automatizācijas izmaksām.</t>
  </si>
  <si>
    <t>1. No Attekas ielas projektēšanas EUR 10'757 Ķiršu ielas III kārtas projekta nobeigumam.
2. No Attekas ielas projektēšanas EUR 10'022 Mežmalas ielas atjaunošanai pašvaldības līdzfinansējums.
3. No Attekas ielas projektēšanas EUR 19'000 Gāzes katla remontam.</t>
  </si>
  <si>
    <t>1) Energoefektivitātes pasākumu daudzdzīvokļu mājām un pagalmu labiekārtošanai - līdzfinansējums papildus EUR 13'000.
2) Tā kā Gaujas 16 netiek vēl pieslēgta centrālai apkurei, tad atlikušie EUR 6'000 uz apkures apmaksu, ko maksā dome nevis CKS.</t>
  </si>
  <si>
    <t>Precizēta projektu naudas plūsma, balstoties uz noslēgtajiem līgumiem - izdevumos zem Carnikavas vidusskolas</t>
  </si>
  <si>
    <t>1) Procentu ieņēmumi no nakts depozīta (šobrīd + EUR 26'000 pret plānoto).
2) Iedzīvotāju līdzfinansējums Mežmalas ielas atjaunošanai EUR 31'000. (0645)</t>
  </si>
  <si>
    <t>Carnikavas vidusskola</t>
  </si>
  <si>
    <t>Balstoties uz prognozēm, ka IIN gada griezumā varētu būt lielāks kā sākotnēji plānots. Saskaņā ar lēmumu par finanšu un ekonomisko aprēķinu jaunās skolas būvniecībai tiks novirzīts šim mērķim.</t>
  </si>
  <si>
    <t>Balstoties uz faktisko izpildi veidojas ekonomija, kas tiks novirzīts katlu mājas remontam.</t>
  </si>
  <si>
    <r>
      <rPr>
        <b/>
        <u/>
        <sz val="11"/>
        <rFont val="Times New Roman"/>
        <family val="1"/>
        <charset val="186"/>
      </rPr>
      <t>Iekš. groz.:</t>
    </r>
    <r>
      <rPr>
        <sz val="11"/>
        <rFont val="Times New Roman"/>
        <family val="1"/>
        <charset val="186"/>
      </rPr>
      <t xml:space="preserve"> EUR 12'100 no plānotā LPS biedra naudai EKK 2239 uz EKK 2232 iekšējā audita pakalpojuma apmaksai.</t>
    </r>
  </si>
  <si>
    <t>Precizēta naudas plūsma</t>
  </si>
  <si>
    <t>Precizēts CFLA avansa apjoms.</t>
  </si>
  <si>
    <t>EUR 8'000 Blusu kroga tehniskajai apsekošanai. (EUR 5'000 no AP nodaļas talgojuma ekonomijas, EUR 1'500 no Novadpētniecības centra un EUR 1'500 no tūrisma sadaļas).</t>
  </si>
  <si>
    <t>1) EUR 44'284 - ANM pasākuma "Atbalsta pasākumi cilvēkiem ar invaliditāti mājokļu vides pieejamības nodrošināšanai" projekts - jūnijā pārcelts uz jaunu struktūru 1018 - jāceļ no izceltā projekta nevis attīst. daļas;
2)  EUR 85'085 - Krastupes ielas projekts - Pārcelts uz atsevišķu struktūru 0631.2; 
3) EUR 120'000 - Jaunais plūdu projekts - Pārcelts uz atsevišķu struktūru 0634.1;
4) EUR 19'840 Saskaņā ar lēmumu par finanšu un ekonomisko aprēķinu jaunās skolas būvniecībai;
5) EUR 8'000 Blusu kroga tehniskajai apsekošanai. (EUR 5'000 no AP nodaļas talgojuma ekonomijas, EUR 1'500 no Novadpētniecības centra un EUR 1'500 no tūrisma sadaļas).</t>
  </si>
  <si>
    <r>
      <t xml:space="preserve">1. </t>
    </r>
    <r>
      <rPr>
        <b/>
        <i/>
        <u/>
        <sz val="11"/>
        <rFont val="Times New Roman"/>
        <family val="1"/>
        <charset val="186"/>
      </rPr>
      <t>Iekš. groz.:</t>
    </r>
    <r>
      <rPr>
        <i/>
        <sz val="11"/>
        <rFont val="Times New Roman"/>
        <family val="1"/>
        <charset val="186"/>
      </rPr>
      <t xml:space="preserve"> EUR 8'466 no 0649/2244 (tiltu uzturēšana) uz 0649/2246 nogāzes izskalojuma remonts Baltezerā. (08.08.2024. protokollēmums)
2. Kļavu ielas divkāršās virsmas apstrādes veikšanai (08.08.2024. protokollēmums):
2.1. EUR 7'000 no pašizgāzēja pakalpojumu apmaksai paredzētajiem līdzekļiem;
2.2. EUR 3'130 no lietus kanalizācijas uzturēšanas izmaksām;
2.3. EUR 18'034 no tiltu uzturēšanai plānotajām izmaksām.</t>
    </r>
  </si>
  <si>
    <t>1. Kļavu ielas divkāršās virsmas apstrādes veikšanai (08.08.2024. protokollēmums):
1.1. EUR 6'508 no plānotajiem līdzekļiem elektroenerģijas iegādei;
1.2. EUR 328 no gājēju pārejas Siguļos izmaksām.
2. EUR 4'600 no tāmēšanas darbiem paredzētā finansējuma uz PII "Mežavēji" ēkas un telpu remontdarbiem.
3. No Attekas ielas projektēšanas EUR 10'757 Ķiršu ielas III kārtas projekta nobeigumam.
4. EUR 2'978 no Garās ielas 20 remontiem paredzētajiem līdzekļiem uz PII "Strautiņš" terases balsta sienu remontdarbiem.
5. EUR 40'000 katlu mājas remontam (no aizņēmuma % samazinājuma).
6. No Attekas ielas projektēšanas EUR 19'000 Gāzes katla remontam.
7. Tā kā Gaujas 16 netiek vēl pieslēgta centrālai apkurei, tad atlikušie EUR 6'000 uz apkures apmaksu, ko maksā dome nevis CKS.</t>
  </si>
  <si>
    <t>Noslēgts aizņēmuma līgums ar VK</t>
  </si>
  <si>
    <t>Norēķini notiek 3x gadā.</t>
  </si>
  <si>
    <t>Pabeigts.</t>
  </si>
  <si>
    <t>24.10.2024. grozījumi</t>
  </si>
  <si>
    <t>Izmaiņa 24.10.2024. -29.08.2024.</t>
  </si>
  <si>
    <t>Precizēts mērķdotācijas apjoms sept.-dec.</t>
  </si>
  <si>
    <t>MD pedagogiem, māc. grāmatām</t>
  </si>
  <si>
    <t>2) EUR 2'300 paskaidrojuma raksts siltināšanai (līgums ar CKS) no EKK 5250 uz EKK 7230.</t>
  </si>
  <si>
    <r>
      <rPr>
        <b/>
        <u/>
        <sz val="11"/>
        <rFont val="Times New Roman"/>
        <family val="1"/>
        <charset val="186"/>
      </rPr>
      <t>Iekš. groz.:</t>
    </r>
    <r>
      <rPr>
        <sz val="11"/>
        <rFont val="Times New Roman"/>
        <family val="1"/>
        <charset val="186"/>
      </rPr>
      <t xml:space="preserve"> EKK korekcija EUR 30'000 no EKK 6411 "Samaksa par aprūpi mājās"uz EKK 6419 "Samaksa par pārējiem sociālajiem pakalpojumiem saskaņā ar pašvaldību saistošajiem noteikumiem"</t>
    </r>
  </si>
  <si>
    <r>
      <rPr>
        <b/>
        <sz val="11"/>
        <rFont val="Times New Roman"/>
        <family val="1"/>
        <charset val="186"/>
      </rPr>
      <t>Iekš. groz.:</t>
    </r>
    <r>
      <rPr>
        <sz val="11"/>
        <rFont val="Times New Roman"/>
        <family val="1"/>
        <charset val="186"/>
      </rPr>
      <t xml:space="preserve"> EKK korekcija 1) “Ādažu novada ainavu plāns, tematiskais plānojums” - Tas ir ilgtspējas dokuments kas ir jau pabeigts. Tāpēc šim mērķim 2024.gadā plānotie EUR 38’526 jāpārceļ no EKK 2239 uz EKK ir 5110 “Attīstības pasākumi un programmas”.
2)  “Ādažu novada transporta attīstības plans” - Tas ir ilgtspējas dokuments līdz 2037.gadam, kas norādīts iepirkuma tehniskajā specifikācijā. Tāpēc šim mērķim 2024.gadā plānotie EUR 40’600 jāpārceļ no EKK 2239 uz EKK ir 5140 “Nemateriālo ieguldījumu izveidošana”.</t>
    </r>
  </si>
  <si>
    <t>Precizēts mērķdotācijas apjoms</t>
  </si>
  <si>
    <t>EUR 89 565 - % ieņēmumi no nakts depozīta; 
EUR 31 000 - iedzīvotāju līdzfinansējums par Mežmalas ielu;
EUR 30 153 - nodrošinājuma maksa par izsolēm.</t>
  </si>
  <si>
    <t>RPR Reemigrācijas konkurss EUR 18 000;
Soc. pabalsti pēc faktiskājām izmaksām EUR 72 858;
CVK finansējums EP vēlēšanām EUR 47 233;
Bezdarbnieku atlīdzība, koord.darba samaksa EUR 17 448;
VB dotācija KAC uzturēšanai EUR 8147.</t>
  </si>
  <si>
    <t>Labklājības ministrijas kompensācija par supervīzijām</t>
  </si>
  <si>
    <t xml:space="preserve">Procentu ieņēmumi no nakts depozīta (šobrīd + EUR 10'000 pret plānoto).
Plāna palielinājums, balstoties uz faktisko izpildi.
</t>
  </si>
  <si>
    <t>Plāna palielinājums, balstoties uz faktisko izpildi.</t>
  </si>
  <si>
    <t>Ieņēmumu pārpilde par maksas stāvvietām (CKS)</t>
  </si>
  <si>
    <t>1) Ieņēmumu pārpilde par maksas stāvvietām (CKS) minerālmateriālu iegādei ceļu uzturāšanai (CKS).
2) EUR 12'386 no gāzes katla nomaiņai (Rīgas ielā 12, Carnikavā) plānotajiem līdzekļiem (0645) iespējams novirzīt ziemas uzturēšanas pakalpojumiem (0649)
2)  EUR 7'164 no gāzes katla nomaiņai (Rīgas ielā 12, Carnikavā) plānotajiem līdzekļiem (0645) iespējams novirzīt minerālmateriālu iegādei (0649).</t>
  </si>
  <si>
    <t xml:space="preserve">Tika konstatēta kļūda budžeta tāmes pievienotajā atalgojumu aprēķina tabulā, tāpēc pēc noslēdzošās 2024. gada mērķdotācijas pedagogu darba samaksai uzzināšanas (09.-12.2024.) var konstatēt, ka nav iespējams pārcelt darbiniekus uz valsts finansējumu, tādā veidā samazinot pašvaldības finansējumu. Tāpat tagad  var konstatēt nepieciešamo finansējumu.   </t>
  </si>
  <si>
    <t>Plāna palielinājums, balstoties uz faktisko izpildi. Korekcija ieņēmumu un izdevumu sadaļā.</t>
  </si>
  <si>
    <t>Saskaņā ar 11.09. Ārkārtas domes sēdes protokolu EUR 20'000 pārvirzīt no Attekas ielas apgaismes stabu izbūvei plānotajiem līdzekļiem pārcelt pašvaldības NĪ apdrošināšanai.</t>
  </si>
  <si>
    <r>
      <rPr>
        <b/>
        <u/>
        <sz val="11"/>
        <rFont val="Times New Roman"/>
        <family val="1"/>
        <charset val="186"/>
      </rPr>
      <t>EKK grozījumi:</t>
    </r>
    <r>
      <rPr>
        <sz val="11"/>
        <rFont val="Times New Roman"/>
        <family val="1"/>
        <charset val="186"/>
      </rPr>
      <t xml:space="preserve"> EUR 546'771 no EKK 5250 uz EKK 7230 gaismekļu nomaiņa novadā EKII projekts, līgums noslēgts ar CKS</t>
    </r>
  </si>
  <si>
    <r>
      <t xml:space="preserve">1) EUR 10'721 atjaunošanas darbu garantijas remontu summas pārsniegums EUR 10'721 no CKS sadaļā paredzētās remontu rezerves un PII ēkas vērtības palielinājumu EKK 5240.
2) EUR 2'109 no 0910/EKK 1119 uz EKKK 7230 ēku dežurantu nakts stundu apmaksa uz CKS
3) EUR 7'954pārcelti no teritorijas apsaimniekošanas uz </t>
    </r>
    <r>
      <rPr>
        <b/>
        <sz val="11"/>
        <rFont val="Times New Roman"/>
        <family val="1"/>
        <charset val="186"/>
      </rPr>
      <t>PII Strautiņš EUR 4'364</t>
    </r>
    <r>
      <rPr>
        <sz val="11"/>
        <rFont val="Times New Roman"/>
        <family val="1"/>
        <charset val="186"/>
      </rPr>
      <t xml:space="preserve"> un uz sākumskolu EUR 3'590 logu mazgāšanai</t>
    </r>
  </si>
  <si>
    <t>EUR 9'168 no 0981/EKK 1119 uz EKKK 7230 ēku dežurantu nakts stundu apmaksa uz CKS</t>
  </si>
  <si>
    <r>
      <t xml:space="preserve">1) EUR 7'954 pārcelti no teritorijas apsaimniekošanas uz PII Strautiņš EUR 4'364 un uz </t>
    </r>
    <r>
      <rPr>
        <b/>
        <sz val="11"/>
        <rFont val="Times New Roman"/>
        <family val="1"/>
        <charset val="186"/>
      </rPr>
      <t>sākumskolu EUR 3'590</t>
    </r>
    <r>
      <rPr>
        <sz val="11"/>
        <rFont val="Times New Roman"/>
        <family val="1"/>
        <charset val="186"/>
      </rPr>
      <t xml:space="preserve"> logu mazgāšanai
2) EUR 9'168 no 0981/EKK 1119 uz EKKK 7230 ēku dežurantu nakts stundu apmaksa uz CKS</t>
    </r>
  </si>
  <si>
    <t>1) EUR 12'000 Ādažu vidusskolas ēkas C korpusa otrā stāva tualešu pārbūve (bērnudārza pārbūve). Realizēs CKS - pārcelts no EKK 5250 uz EKK 7230.
2) EUR 8'708 no 0950/EKK 1119 uz EKKK 7230 ēku dežurantu nakts stundu apmaksa uz CKS</t>
  </si>
  <si>
    <t>1) EUR 12'000 Ādažu vidusskolas ēkas C korpusa otrā stāva tualešu pārbūve (bērnudārza pārbūve). Realizēs CKS - pārcelts no EKK 5250 uz EKK 7230.
2) EUR 2'300 paskaidrojuma raksts siltināšanai (līgums ar CKS) no EKK 5250 uz EKK 7230.
3) EUR 8'708 no 0950/EKK 1119 uz EKKK 7230 ēku dežurantu nakts stundu apmaksa uz CKS</t>
  </si>
  <si>
    <r>
      <t>1) Saskaņā ar  Domes 26.09.2024. lēmumu Nr.383 "Par ēku nojaukšanu pašvaldības īpašumā Balto ceriņu ielā 6A, Gaujā" EUR 4'000 no “Teritorijas uzturēšana (Dome)” EKK 2223 uz "Dotācija CKS teritorijas uzturēšanai" EKK 7230
2) Saskaņā ar  Domes 26.09.2024. lēmumu Nr.384 "Par ēku nojaukšanu pašvaldības īpašumā Salnu ielā 7, Gaujā" EUR 4'000 no “Teritorijas uzturēšana (Dome)” EKK 2223 uz "Dotācija CKS teritorijas uzturēšanai" EKK 7230
3)</t>
    </r>
    <r>
      <rPr>
        <b/>
        <u/>
        <sz val="11"/>
        <rFont val="Times New Roman"/>
        <family val="1"/>
        <charset val="186"/>
      </rPr>
      <t xml:space="preserve"> I</t>
    </r>
    <r>
      <rPr>
        <b/>
        <i/>
        <u/>
        <sz val="11"/>
        <rFont val="Times New Roman"/>
        <family val="1"/>
        <charset val="186"/>
      </rPr>
      <t>ekš. groz.:</t>
    </r>
    <r>
      <rPr>
        <i/>
        <sz val="11"/>
        <rFont val="Times New Roman"/>
        <family val="1"/>
        <charset val="186"/>
      </rPr>
      <t xml:space="preserve"> Priekšsēdētāja auto Volvo V70 beidzies līzinga periods, izpirkšanas summa EUR 11'200 - EUR 11'200 no EKK 2321 uz EKK 5231</t>
    </r>
    <r>
      <rPr>
        <sz val="11"/>
        <rFont val="Times New Roman"/>
        <family val="1"/>
        <charset val="186"/>
      </rPr>
      <t>;
4) EUR 3'872 samaksāts no Domes par elektrotīklu apsaimniekošanu, plānots pie CKS =&gt; 0645 no EKK 7230 uz EKK 2244;
5) EUR 18’064 samaksāts no Domes par apdrošināšanu (līgums ar Domi), plānots pie CKS =&gt; 0645 no EKK 7230 uz EKK 2247</t>
    </r>
  </si>
  <si>
    <t>1) Saskaņā ar  Domes 26.09.2024. lēmumu Nr.383 "Par ēku nojaukšanu pašvaldības īpašumā Balto ceriņu ielā 6A, Gaujā" EUR 4'000 no “Teritorijas uzturēšana (Dome)” EKK 2223 uz "Dotācija CKS teritorijas uzturēšanai" EKK 7230
2) Saskaņā ar  Domes 26.09.2024. lēmumu Nr.384 "Par ēku nojaukšanu pašvaldības īpašumā Salnu ielā 7, Gaujā" EUR 4'000 no “Teritorijas uzturēšana (Dome)” EKK 2223 uz "Dotācija CKS teritorijas uzturēšanai" EKK 7230.
3) EUR 7'164 no gāzes katla nomaiņai (Rīgas ielā 12, Carnikavā) plānotajiem līdzekļiem iespējams novirzīt minerālmateriālu iegādei.
4)  EUR 12'386 no gāzes katla nomaiņai (Rīgas ielā 12, Carnikavā) plānotajiem līdzekļiem iespējams novirzīt ziemas uzturēšanas pakalpojumiem
5) Saskaņā ar 11.09. Ārkārtas domes sēdes protokolu EUR 20'000 pārvirzīt no Attekas ielas apgaismes stabu izbūvei plānotajiem līdzekļiem pārcelt pašvaldības NĪ apdrošināšanai.
6) EUR 7'954pārcelti no teritorijas apsaimniekošanas uz PII Strautiņš EUR 4'364 un uz sākumskolu EUR 3'590 logu mazgāšanai;
7) EUR 3'872 samaksāts no Domes par elektrotīklu apsaimniekošanu, plānots pie CKS =&gt; 0645 no EKK 7230 uz EKK 2244
8) EUR 18’064 samaksāts no Domes par apdrošināšanu (līgums ar Domi), plānots pie CKS =&gt; 0645 no EKK 7230 uz EKK 2247</t>
  </si>
  <si>
    <t>0630; 0930</t>
  </si>
  <si>
    <t>EUR 1'198 dalība projektā "Kontakts" izglītības iestāžu pārvalžu atbalstam. (izdevumos pie izglītības nodaļas)</t>
  </si>
  <si>
    <t>No atalgojuma ekonomijas sadaļā "deputāti" EUR 28'260 uz pārvaldi - domes un komiteju sēžu zāles aprīkojumam.</t>
  </si>
  <si>
    <t>Precizēts mērķdotācijas apjoms amatierkolektīvu vadītājiem</t>
  </si>
  <si>
    <t>EUR 7'000 no PII domes sadaļas uz PII CKS sadaļu, jo bērnu laukumiņa elementu uzstādīšanu veiks CKS.</t>
  </si>
  <si>
    <t>0961</t>
  </si>
  <si>
    <t>0631.3</t>
  </si>
  <si>
    <t>Izmaiņa 28.11.2024. -24.10.2024.</t>
  </si>
  <si>
    <t>Ieņēmumi par pārdotajām biļetēm uz pasākumu “Carnikavas vidusskolas 50 gadu salidojums" (novirzīta pasākuma izdevumu segšanai)</t>
  </si>
  <si>
    <t>Precizēti MD apjomi, balstoties uz skolēnu skaitu un lēmumu par brīvpusdienām ne tikai 1.-4.kl. Ieņēmumos un izdevumos EUR 53'000 ĀVS; EUR 28'000 CVS; EUR 15'000 ĀBVS</t>
  </si>
  <si>
    <t>Precizēti MD apjomi, balstoties uz skolēnu skaitu un lēmumu par brīvpusdienām ne tikai 1.-4.kl. Ieņēmumos un izdevumos EUR 53'000 ĀVS</t>
  </si>
  <si>
    <t>Precizēti MD apjomi, balstoties uz skolēnu skaitu un lēmumu par brīvpusdienām ne tikai 1.-4.kl. Ieņēmumos un izdevumos EUR 28'000 CVS</t>
  </si>
  <si>
    <t>Precizēti MD apjomi, balstoties uz skolēnu skaitu. Ieņēmumos un izdevumos EUR 15'000 ĀBVS. Palielinoties MD, palielinās arī pašvaldības līdzfinansējuma daļa.</t>
  </si>
  <si>
    <t>Saskaņā ar protokollēmumu "Par finanšu līdzekļu pārcelšanu 5. – 6. klašu skolēnu brīvpusdienu nodrošināšanai" no soc.dienesta EKK 6423 uz Ādažu sākumskolu 0981/2363  EUR 35'046, uz Carnikavas vidusskolu 0982/2363 EUR 3'822.</t>
  </si>
  <si>
    <t>1) Ieņēmumi par pārdotajām biļetēm uz pasākumu “Carnikavas vidusskolas 50 gadu salidojums" (novirzīta pasākuma izdevumu segšanai).
2) Saskaņā ar protokollēmumu "Par finanšu līdzekļu pārcelšanu 5. – 6. klašu skolēnu brīvpusdienu nodrošināšanai" no soc.dienesta EKK 6423 uz Carnikavas vidusskolu 0982/2363 EUR 3'822.</t>
  </si>
  <si>
    <t>EUR 5'808 no teritorijas uzturēšnas elektrības ekonomijas Dzirnupes tilta būvekspertīzei.</t>
  </si>
  <si>
    <t>1) Saskaņā ar protokollēmumu "Par finanšu līdzekļu pārcelšanu 5. – 6. klašu skolēnu brīvpusdienu nodrošināšanai" no soc.dienesta EKK 6423 uz Ādažu sākumskolu 0981/2363  EUR 35'046.
2) EUR 110'000 no Ādažu sākumskolas uz Ādažu vidusskolu - pedagogu atalgojums, kas bija plānots pie sākumskolas, bet tarifikācijā nav nodalīts.</t>
  </si>
  <si>
    <t>EUR 110'000 no Ādažu sākumskolas uz Ādažu vidusskolu - pedagogu atalgojums, kas bija plānots pie sākumskolas, bet tarifikācijā nav nodalīts.</t>
  </si>
  <si>
    <t>28.11.2024. grozījumi</t>
  </si>
  <si>
    <t>27.12.2024. grozījumi</t>
  </si>
  <si>
    <t>Izmaiņa 27.12.2024. - 28.11.2024.</t>
  </si>
  <si>
    <t>Saņemti projekta noslēguma maksājumi, kas jānovirza aizņēmuma pirmstermiņa apmaksai.</t>
  </si>
  <si>
    <t>Ieņēmumi par nekustamā īpašuma pārdošanu Lindas iela 2 un 4.</t>
  </si>
  <si>
    <t>Nekustamā īpašuma iegāde izsolē un nodevas</t>
  </si>
  <si>
    <t>1) Precizējums dotācijas mērķim EUR 450 no teritorijas uzturēšanas 0645 un ceļu uzturēšanu 0649</t>
  </si>
  <si>
    <t>No ekonomijas uz CKS dotāciju elektroenerģijai un elektromateriāliem pārcelts iestāžu uzturēšanai (skatīt pielikumu "CKS_grozījumi" 1.tabulu).</t>
  </si>
  <si>
    <t>1) No ekonomijas uz CKS dotāciju elektroenerģijai un elektromateriāliem pārcelts iestāžu uzturēšanai (lapa "CKS_grozījumi" 1.tabula).
2) EUR 450 pārcelt uz CKS dotāciju, jo sākotnēji plānots pie domes, bet realizēja aģentūra</t>
  </si>
  <si>
    <t>EUR 6'827 pārcelt uz CKS dotāciju, jo sākotnēji plānots pie domes, bet realizēja aģentūra (lapa "CKS_grozījumi" 2.tabula)</t>
  </si>
  <si>
    <t>EUR 450 pārcelt uz CKS dotāciju, jo sākotnēji plānots pie domes, bet realizēja aģentūra (lapa "CKS_grozījumi" 3.tabula)</t>
  </si>
  <si>
    <t>EUR 1'000 pārcelt uz CKS dotāciju, jo sākotnēji plānots pie domes, bet realizēja aģentūra (lapa "CKS_grozījumi" 5.tabula)</t>
  </si>
  <si>
    <t>1) No ekonomijas uz CKS dotāciju elektroenerģijai un elektromateriāliem pārcelts iestāžu uzturēšanai (skatīt pielikumu "CKS_grozījumi" 1.tabulu).
2) EUR 1'000 pārcelt uz CKS dotāciju, jo sākotnēji plānots pie domes, bet realizēja aģentūra (lapa "CKS_grozījumi" 5.tabula)</t>
  </si>
  <si>
    <t>EUR 5'310 pārcelt no CKS dotācijas, jo CKS darbinieku aizvietoja PII darbinieks (lapa "CKS_grozījumi" 4.tabula)</t>
  </si>
  <si>
    <t>1) No ekonomijas uz CKS dotāciju elektroenerģijai un elektromateriāliem pārcelts iestāžu uzturēšanai (skatīt pielikumu "CKS_grozījumi" 1.tabulu).
2) EUR 5'310 pārcelt no CKS dotācijas, jo CKS darbinieku aizvietoja PII darbinieks (lapa "CKS_grozījumi" 4.tabula)</t>
  </si>
  <si>
    <t>EUR 3'700 pārcelt uz CKS dotāciju, jo sākotnēji plānots pie domes, bet realizēja aģentūra (lapa "CKS_grozījumi" 6.tabula)</t>
  </si>
  <si>
    <t>1) No ekonomijas uz CKS dotāciju elektroenerģijai un elektromateriāliem pārcelts iestāžu uzturēšanai (skatīt pielikumu "CKS_grozījumi" 1.tabulu).
2) EUR 3'700 pārcelt uz CKS dotāciju, jo sākotnēji plānots pie domes, bet realizēja aģentūra (lapa "CKS_grozījumi" 6.tabula)</t>
  </si>
  <si>
    <t>Precizēts, saskaņā ar faktisko izpildi. Izmaiņas saistītas ar saimnieciskās darbības nodošanu kapitālsabiedrībām šī gada 1. novembrī. Samazinās gan ieņēmumu gan izdevumu sadaļa. (lapa "CKS_grozījumi" 7.tabula)</t>
  </si>
  <si>
    <t>Summa precizēta saskaņā ar noslēgto līgumu (līguma summa 238 202 eur ar PVN (EUR 114'822 EKII; 123'380 VK aizņēmums))</t>
  </si>
  <si>
    <t>Jāveic neiztērētā  projekta "Remigrācijas atbalsta pasākumu uzņēmējdarbības atbalstam" finansējuma atmaksa. EUR 18'000. (budžetā bija iekļauti tikai 16'000).</t>
  </si>
  <si>
    <r>
      <rPr>
        <b/>
        <u/>
        <sz val="11"/>
        <rFont val="Times New Roman"/>
        <family val="1"/>
        <charset val="186"/>
      </rPr>
      <t>1) Iekš. groz.:</t>
    </r>
    <r>
      <rPr>
        <sz val="11"/>
        <rFont val="Times New Roman"/>
        <family val="1"/>
        <charset val="186"/>
      </rPr>
      <t xml:space="preserve"> Jāapmaksā Vecštāles ceļa remontdarbi, ko pēc tam atskaitīs no Aizsardzības ministrijas. EUR 6'434 no rezerves PVN apmaksai EKK 2512 uz EKK 2244 Nekustamā īpašuma uzturēšana.
2) EUR 8'900 no CKS dotācijas uz domes sadaļu - darbinieku apdrošināšana, jo līgums ar Domi.</t>
    </r>
  </si>
  <si>
    <t>1) Precizējums dotācijas mērķim EUR 450 no teritorijas uzturēšanas 0645 un ceļu uzturēšanu 0649.
2) EUR 45'066 no ekonomijas uz CKS dotāciju elektroenerģijai un elektromateriāliem pārcelts iestāžu uzturēšanai (skatīt pielikumu "CKS_grozījumi" 1.tabulu).
3) EUR 8'900 no CKS dotācijas uz domes sadaļu - darbinieku apdrošināšana, jo līgums ar Domi.</t>
  </si>
  <si>
    <t>23.01.2025. grozījumi</t>
  </si>
  <si>
    <t>Izmaiņa 23.01.2025. - 27.12.2024.</t>
  </si>
  <si>
    <t>Balstoties uz faktisko izpildi.</t>
  </si>
  <si>
    <t>Darbiniekam izbeidzot darba attiecības tika izmaksāta atvaļinājuma kompensācija, kas nebija plānots budžetā.</t>
  </si>
  <si>
    <t>Mērķdotāciju mazākumtautību mācību līdzekļiem (izdevumos sadalās starp izglītības iestādēm)</t>
  </si>
  <si>
    <t>Prezizēts pēc faktiski ieskaitītās summas gada beigās</t>
  </si>
  <si>
    <t>Līdz ar lielāku IIN izpildi, palielinās arī iemaksas PFIF</t>
  </si>
  <si>
    <t>31.12.2024. fakts</t>
  </si>
  <si>
    <t>2024.g. 4 ceturkšņi</t>
  </si>
  <si>
    <t>Kopējā ieņēmumu izpilde pret plānoto ir 104%, jeb EUR 54'564'511</t>
  </si>
  <si>
    <t>1.1. IIN gada pēdējās dienās ieskaitīta pārpilde. Kopējā izpilde par EUR 1'865'452 lielāka kā pēdējos grozījumos apstiprināts. Pret gada sākumā plānoto, izpilde + 2'330'515</t>
  </si>
  <si>
    <t>Pārpilde/ (neizpilde)</t>
  </si>
  <si>
    <t>1. Izpilde par 5% pārsniedz budžeta plānā iekļauto apjomu. plānotajam.</t>
  </si>
  <si>
    <t>1.2. NĪN izpilde pārsniedz plānu par 5%, jeb EUR 96'440. Budžetu plānojot tiek likta FM noziņotā summa, gada griezumā tā mainās, atkarībā no atvieglojumiem vai likmju palielinājumam, saskaņā ar pašvaldības SN.</t>
  </si>
  <si>
    <t>1.3. DRN izpilde saskaņā ar plānoto.</t>
  </si>
  <si>
    <t>2. Izpilde tuvu kopējam plānam.</t>
  </si>
  <si>
    <t xml:space="preserve">3.Izpilde 146%, par EUR 68'875 pārsniedz plānā iekļauto. </t>
  </si>
  <si>
    <t>4. Saņemts EUR  189'471, kas par EUR 28'040 pārsniedz plānoto.  EUR 107'268 - procentu ieņēmumi no nakts depozīta; EUR 29'050 - nodrošinājuma maksa par izsolēm. EUR 31'000 iedzīvotāju līdzfinansējums par Mežmalas ielu.</t>
  </si>
  <si>
    <r>
      <t xml:space="preserve">5. Saņemta nauda no izsolēm. Kopsummā izpilde par </t>
    </r>
    <r>
      <rPr>
        <b/>
        <sz val="10"/>
        <rFont val="Arial"/>
        <family val="2"/>
        <charset val="186"/>
      </rPr>
      <t>EUR 40'172 lielāka</t>
    </r>
    <r>
      <rPr>
        <sz val="10"/>
        <rFont val="Arial"/>
        <family val="2"/>
        <charset val="186"/>
      </rPr>
      <t xml:space="preserve"> kā gada plāns.</t>
    </r>
  </si>
  <si>
    <t>6. Izpilde 97%.</t>
  </si>
  <si>
    <t>6.1. Pedagogu algām vidēji 99%, kas ir lielākā pozīcija šajā sadaļā.</t>
  </si>
  <si>
    <t>6.2. Izpilde 87%. Par projektu gaitu sīkāk ziņos izpilddirektors.</t>
  </si>
  <si>
    <t>7. Izpilde atbilstoši plānotajam.</t>
  </si>
  <si>
    <t>8.1. Izpilde atbilstoši plānotajam - 97%.</t>
  </si>
  <si>
    <t>8.2. Izpilde 119% (+ EUR 51'550)</t>
  </si>
  <si>
    <t>8.3. CKS ieņēmumi no dzīvokļu un komunālajiem pakalpojumiem 100%.</t>
  </si>
  <si>
    <t>1.1. Izpilde 89%. Ekonomija uz komisiju atalgojuma, kur plānots saskaņā ar nolikumiem atļautās stundas.</t>
  </si>
  <si>
    <t xml:space="preserve">1.3. Pārsniedz plānoto, jo gada beigās ieskaitīta </t>
  </si>
  <si>
    <t>2. Izpilde 95%. Auto piegāde pārcēlās uz 2025.gadu, tāpēc arī norēķins pārceļas no 2024. uz 2025.gadu.</t>
  </si>
  <si>
    <t>3. Izpilde 100%</t>
  </si>
  <si>
    <t xml:space="preserve">6. Kopējā izpilde 86%. </t>
  </si>
  <si>
    <t>6.1. Izpilde 90%. “Ādažu novada transporta attīstības plāns” (gala norēķins pārceļas uz 2025.gadu).</t>
  </si>
  <si>
    <t>7.  Kopējā izpilde 92%. Projekts "Kultūras objektu būvniecība" noslēdzies un veikta naudas līdzekļu atmaksa projektu partneriem EUR 195'754 apmērā.</t>
  </si>
  <si>
    <t>8. Kopējā izpilde 75%. Dotācijas "Energoresursu atbalsts" 0% - 2024.gadā nebija, bet budžetā bija gan ieņēmumos, gan izdevumos.
Sadaļa pabalsti izpilde 77%. Jau pie 3.cetrkšņa izplides ziņojām, ka te būs ekonomija (iespējams, ka šeit būs ekonomija ~ EUR 100'000). (Aprūpe mājās bērniem invalīdiem (MK nav pieņemts) un uz skolēnu ēdināšanu.</t>
  </si>
  <si>
    <t xml:space="preserve">9. Kopējā izpilde 90%. </t>
  </si>
  <si>
    <t xml:space="preserve">   9.1. Norēķini ar pašvaldībām par izglītības iestāžu pakalp. - izpilde 89%. </t>
  </si>
  <si>
    <t xml:space="preserve">9.2. - 9.5. PII izpilde izpilde vidēji 94%. </t>
  </si>
  <si>
    <t>9.6. Privātās izglītības iestādes. Izpilde 94%.</t>
  </si>
  <si>
    <t>9.7. Carnikavas vidusskola</t>
  </si>
  <si>
    <t>9.7. Carnikavas vidusskola - izpilde 98 %, no 01.09. skola darbojas kā vidusskola.</t>
  </si>
  <si>
    <t>9.8. Ādažu vidusskola 87% - projekts Ādažu vidusskolas ēkas A korpusa, savienojuma daļas starp korpusiem (A un B), kā arī, vidusskolas centrālās daļas, tai skaitā torņa fasādes atjaunošana. EUR 870 000. Bija plānots, ka izpildītājs prasīs avansa maksājumu, bet tā kā avanss netika prasīts, tad finansējuma izlietojuma daļa pārcēlās uz 2025.gadu.</t>
  </si>
  <si>
    <t>9.10. Sporta skola 93% izpilde.</t>
  </si>
  <si>
    <t>9.11. Izglītības un jauniešu lietu pārvalde 89% izpilde.</t>
  </si>
  <si>
    <t xml:space="preserve">    9.12. projekti - izpilde 36%. Carnikavas stadiona rekonstrukcija - uz 31.03. projekts noslēdzies un samaksāts kopsummā 2024.gadā EUR 114'786. Lielākā pozīcija "Jaunas pirmsskolas izglītības iestādes Podniekos būvniecība" EUR 637'343, kur uz 31.12. izpilde EUR 171'967 (27%).</t>
  </si>
  <si>
    <t>10. Atbilstoši plānotajam.</t>
  </si>
  <si>
    <t>31.12.2024. fakts (%) pret 2024. plānu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</si>
</sst>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_-&quot;€&quot;\ * #,##0.00_-;\-&quot;€&quot;\ * #,##0.00_-;_-&quot;€&quot;\ * &quot;-&quot;??_-;_-@_-"/>
    <numFmt numFmtId="165" formatCode="_-&quot;Ls&quot;\ * #,##0.00_-;\-&quot;Ls&quot;\ * #,##0.00_-;_-&quot;Ls&quot;\ * &quot;-&quot;??_-;_-@_-"/>
    <numFmt numFmtId="166" formatCode="_-* #,##0_-;\-* #,##0_-;_-* &quot;-&quot;??_-;_-@_-"/>
    <numFmt numFmtId="167" formatCode="0.0%"/>
    <numFmt numFmtId="168" formatCode="[$-426]General"/>
    <numFmt numFmtId="169" formatCode="[$-426]0%"/>
    <numFmt numFmtId="170" formatCode="&quot; &quot;#,##0.00&quot; &quot;;&quot;-&quot;#,##0.00&quot; &quot;;&quot; -&quot;#&quot; &quot;;&quot; &quot;@&quot; &quot;"/>
    <numFmt numFmtId="171" formatCode="#,##0_ ;\-#,##0\ "/>
    <numFmt numFmtId="172" formatCode="[&lt;=9999999]###\-####;\(###\)\ ###\-####"/>
    <numFmt numFmtId="173" formatCode="_-* #,##0.00\ [$EUR]_-;\-* #,##0.00\ [$EUR]_-;_-* &quot;-&quot;??\ [$EUR]_-;_-@_-"/>
    <numFmt numFmtId="174" formatCode="#,##0.000"/>
    <numFmt numFmtId="175" formatCode="_-&quot;€&quot;* #,##0.00_-;\-&quot;€&quot;* #,##0.00_-;_-&quot;€&quot;* &quot;-&quot;??_-;_-@_-"/>
  </numFmts>
  <fonts count="131"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sz val="11"/>
      <color indexed="10"/>
      <name val="Times New Roman"/>
      <family val="1"/>
      <charset val="186"/>
    </font>
    <font>
      <sz val="11"/>
      <color rgb="FFFF0000"/>
      <name val="Times New Roman"/>
      <family val="1"/>
      <charset val="186"/>
    </font>
    <font>
      <sz val="11"/>
      <color theme="3"/>
      <name val="Times New Roman"/>
      <family val="1"/>
      <charset val="186"/>
    </font>
    <font>
      <sz val="11"/>
      <color indexed="8"/>
      <name val="Calibri"/>
      <family val="2"/>
      <charset val="186"/>
    </font>
    <font>
      <b/>
      <sz val="11"/>
      <name val="Times New Roman"/>
      <family val="1"/>
      <charset val="186"/>
    </font>
    <font>
      <sz val="9"/>
      <color theme="1"/>
      <name val="Arial"/>
      <family val="2"/>
      <charset val="186"/>
    </font>
    <font>
      <sz val="10"/>
      <name val="Arial"/>
      <family val="2"/>
      <charset val="186"/>
    </font>
    <font>
      <b/>
      <sz val="11"/>
      <color rgb="FFFF0000"/>
      <name val="Times New Roman"/>
      <family val="1"/>
      <charset val="186"/>
    </font>
    <font>
      <b/>
      <sz val="11"/>
      <color theme="3"/>
      <name val="Times New Roman"/>
      <family val="1"/>
      <charset val="186"/>
    </font>
    <font>
      <sz val="11"/>
      <color indexed="8"/>
      <name val="Times New Roman"/>
      <family val="1"/>
      <charset val="186"/>
    </font>
    <font>
      <sz val="10"/>
      <name val="Times New Roman"/>
      <family val="1"/>
      <charset val="186"/>
    </font>
    <font>
      <sz val="10"/>
      <color rgb="FFFF0000"/>
      <name val="Times New Roman"/>
      <family val="1"/>
      <charset val="186"/>
    </font>
    <font>
      <i/>
      <sz val="11"/>
      <name val="Times New Roman"/>
      <family val="1"/>
      <charset val="186"/>
    </font>
    <font>
      <sz val="11"/>
      <color theme="1"/>
      <name val="Times New Roman"/>
      <family val="1"/>
      <charset val="186"/>
    </font>
    <font>
      <sz val="11"/>
      <name val="Calibri"/>
      <family val="2"/>
      <charset val="186"/>
      <scheme val="minor"/>
    </font>
    <font>
      <sz val="8"/>
      <name val="Arial"/>
      <family val="2"/>
      <charset val="186"/>
    </font>
    <font>
      <sz val="8"/>
      <color indexed="10"/>
      <name val="Tahoma"/>
      <family val="2"/>
      <charset val="186"/>
    </font>
    <font>
      <sz val="9"/>
      <color indexed="8"/>
      <name val="Arial"/>
      <family val="2"/>
      <charset val="186"/>
    </font>
    <font>
      <sz val="9"/>
      <color rgb="FF006100"/>
      <name val="Arial"/>
      <family val="2"/>
      <charset val="186"/>
    </font>
    <font>
      <sz val="12"/>
      <name val="Times New Roman"/>
      <family val="1"/>
      <charset val="186"/>
    </font>
    <font>
      <b/>
      <sz val="11"/>
      <color theme="1"/>
      <name val="Calibri"/>
      <family val="2"/>
      <charset val="186"/>
      <scheme val="minor"/>
    </font>
    <font>
      <u/>
      <sz val="11"/>
      <color theme="10"/>
      <name val="Calibri"/>
      <family val="2"/>
      <charset val="186"/>
      <scheme val="minor"/>
    </font>
    <font>
      <sz val="11"/>
      <color rgb="FF000000"/>
      <name val="Calibri"/>
      <family val="2"/>
    </font>
    <font>
      <b/>
      <sz val="10"/>
      <name val="Arial"/>
      <family val="2"/>
      <charset val="186"/>
    </font>
    <font>
      <sz val="10"/>
      <color rgb="FFFF0000"/>
      <name val="Arial"/>
      <family val="2"/>
      <charset val="186"/>
    </font>
    <font>
      <sz val="10"/>
      <color theme="1"/>
      <name val="Arial"/>
      <family val="2"/>
      <charset val="186"/>
    </font>
    <font>
      <sz val="10"/>
      <name val="Arial"/>
      <family val="2"/>
    </font>
    <font>
      <b/>
      <sz val="11"/>
      <name val="Times New Roman"/>
      <family val="1"/>
    </font>
    <font>
      <i/>
      <sz val="11"/>
      <color rgb="FFFF0000"/>
      <name val="Times New Roman"/>
      <family val="1"/>
      <charset val="186"/>
    </font>
    <font>
      <sz val="9"/>
      <color indexed="81"/>
      <name val="Tahoma"/>
      <family val="2"/>
      <charset val="186"/>
    </font>
    <font>
      <b/>
      <sz val="9"/>
      <color indexed="81"/>
      <name val="Tahoma"/>
      <family val="2"/>
      <charset val="186"/>
    </font>
    <font>
      <sz val="10"/>
      <name val="Arial"/>
      <family val="2"/>
      <charset val="186"/>
    </font>
    <font>
      <sz val="11"/>
      <color theme="1"/>
      <name val="Arial"/>
      <family val="2"/>
      <charset val="186"/>
    </font>
    <font>
      <b/>
      <sz val="20"/>
      <color indexed="8"/>
      <name val="Times New Roman"/>
      <family val="1"/>
      <charset val="186"/>
    </font>
    <font>
      <b/>
      <sz val="16"/>
      <color theme="1"/>
      <name val="Times New Roman"/>
      <family val="1"/>
      <charset val="186"/>
    </font>
    <font>
      <sz val="13"/>
      <name val="Times New Roman"/>
      <family val="1"/>
    </font>
    <font>
      <u/>
      <sz val="12"/>
      <color theme="10"/>
      <name val="Times New Roman"/>
      <family val="2"/>
      <charset val="186"/>
    </font>
    <font>
      <sz val="11"/>
      <color theme="1"/>
      <name val="Calibri"/>
      <family val="2"/>
      <scheme val="minor"/>
    </font>
    <font>
      <sz val="11"/>
      <name val="Calibri"/>
      <family val="2"/>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i/>
      <sz val="11"/>
      <color rgb="FF7F7F7F"/>
      <name val="Calibri"/>
      <family val="2"/>
      <charset val="186"/>
      <scheme val="minor"/>
    </font>
    <font>
      <sz val="11"/>
      <color theme="0"/>
      <name val="Calibri"/>
      <family val="2"/>
      <charset val="186"/>
      <scheme val="minor"/>
    </font>
    <font>
      <sz val="11"/>
      <color rgb="FF7030A0"/>
      <name val="Times New Roman"/>
      <family val="1"/>
      <charset val="186"/>
    </font>
    <font>
      <sz val="10"/>
      <name val="Helv"/>
    </font>
    <font>
      <u/>
      <sz val="9"/>
      <color theme="10"/>
      <name val="Arial"/>
      <family val="2"/>
      <charset val="186"/>
    </font>
    <font>
      <b/>
      <sz val="11"/>
      <name val="Calibri"/>
      <family val="2"/>
      <scheme val="minor"/>
    </font>
    <font>
      <b/>
      <sz val="11"/>
      <color rgb="FF7030A0"/>
      <name val="Times New Roman"/>
      <family val="1"/>
      <charset val="186"/>
    </font>
    <font>
      <sz val="11"/>
      <color rgb="FF9C5700"/>
      <name val="Calibri"/>
      <family val="2"/>
      <charset val="186"/>
      <scheme val="minor"/>
    </font>
    <font>
      <u/>
      <sz val="11"/>
      <color theme="10"/>
      <name val="Calibri"/>
      <family val="2"/>
      <charset val="186"/>
    </font>
    <font>
      <b/>
      <sz val="18"/>
      <name val="Calibri"/>
      <family val="2"/>
      <scheme val="minor"/>
    </font>
    <font>
      <sz val="28"/>
      <color theme="0" tint="-0.499984740745262"/>
      <name val="Calibri Light"/>
      <family val="2"/>
      <scheme val="major"/>
    </font>
    <font>
      <b/>
      <i/>
      <sz val="11"/>
      <name val="Calibri"/>
      <family val="2"/>
      <scheme val="minor"/>
    </font>
    <font>
      <i/>
      <sz val="11"/>
      <name val="Calibri"/>
      <family val="2"/>
      <scheme val="minor"/>
    </font>
    <font>
      <b/>
      <sz val="11"/>
      <color theme="1"/>
      <name val="Times New Roman"/>
      <family val="1"/>
      <charset val="186"/>
    </font>
    <font>
      <b/>
      <sz val="10"/>
      <color theme="1"/>
      <name val="Arial"/>
      <family val="2"/>
      <charset val="186"/>
    </font>
    <font>
      <u/>
      <sz val="10"/>
      <color theme="1"/>
      <name val="Arial"/>
      <family val="2"/>
      <charset val="186"/>
    </font>
    <font>
      <b/>
      <sz val="10"/>
      <color rgb="FFFF0000"/>
      <name val="Arial"/>
      <family val="2"/>
      <charset val="186"/>
    </font>
    <font>
      <u/>
      <sz val="10"/>
      <color theme="1"/>
      <name val="Times New Roman"/>
      <family val="2"/>
      <charset val="186"/>
    </font>
    <font>
      <sz val="10"/>
      <color theme="1"/>
      <name val="Times New Roman"/>
      <family val="2"/>
      <charset val="186"/>
    </font>
    <font>
      <sz val="11"/>
      <color rgb="FF000000"/>
      <name val="Calibri"/>
      <family val="2"/>
      <charset val="1"/>
    </font>
    <font>
      <i/>
      <sz val="11"/>
      <color indexed="8"/>
      <name val="Times New Roman"/>
      <family val="1"/>
      <charset val="186"/>
    </font>
    <font>
      <b/>
      <u/>
      <sz val="11"/>
      <name val="Times New Roman"/>
      <family val="1"/>
      <charset val="186"/>
    </font>
    <font>
      <u/>
      <sz val="11"/>
      <name val="Times New Roman"/>
      <family val="1"/>
      <charset val="186"/>
    </font>
    <font>
      <u/>
      <sz val="10"/>
      <name val="Arial"/>
      <family val="2"/>
      <charset val="186"/>
    </font>
    <font>
      <sz val="11"/>
      <color theme="9" tint="-0.249977111117893"/>
      <name val="Times New Roman"/>
      <family val="1"/>
      <charset val="186"/>
    </font>
    <font>
      <b/>
      <sz val="20"/>
      <name val="Times New Roman"/>
      <family val="1"/>
      <charset val="186"/>
    </font>
    <font>
      <b/>
      <i/>
      <u/>
      <sz val="11"/>
      <name val="Times New Roman"/>
      <family val="1"/>
      <charset val="186"/>
    </font>
    <font>
      <b/>
      <i/>
      <sz val="10"/>
      <color theme="1"/>
      <name val="Arial"/>
      <family val="2"/>
      <charset val="186"/>
    </font>
    <font>
      <i/>
      <sz val="10"/>
      <color theme="1"/>
      <name val="Arial"/>
      <family val="2"/>
      <charset val="186"/>
    </font>
  </fonts>
  <fills count="54">
    <fill>
      <patternFill patternType="none"/>
    </fill>
    <fill>
      <patternFill patternType="gray125"/>
    </fill>
    <fill>
      <patternFill patternType="solid">
        <fgColor rgb="FFC6EFCE"/>
      </patternFill>
    </fill>
    <fill>
      <patternFill patternType="solid">
        <fgColor indexed="22"/>
        <bgColor indexed="64"/>
      </patternFill>
    </fill>
    <fill>
      <patternFill patternType="solid">
        <fgColor indexed="50"/>
        <bgColor indexed="64"/>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indexed="42"/>
        <bgColor indexed="64"/>
      </patternFill>
    </fill>
    <fill>
      <patternFill patternType="solid">
        <fgColor rgb="FFFFFF0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indexed="64"/>
      </patternFill>
    </fill>
    <fill>
      <patternFill patternType="solid">
        <fgColor theme="2"/>
        <bgColor indexed="64"/>
      </patternFill>
    </fill>
    <fill>
      <patternFill patternType="solid">
        <fgColor rgb="FF00B0F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7"/>
        <bgColor indexed="64"/>
      </patternFill>
    </fill>
  </fills>
  <borders count="8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auto="1"/>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79">
    <xf numFmtId="0" fontId="0" fillId="0" borderId="0"/>
    <xf numFmtId="43" fontId="56" fillId="0" borderId="0" applyFont="0" applyFill="0" applyBorder="0" applyAlignment="0" applyProtection="0"/>
    <xf numFmtId="9" fontId="56" fillId="0" borderId="0" applyFont="0" applyFill="0" applyBorder="0" applyAlignment="0" applyProtection="0"/>
    <xf numFmtId="0" fontId="48" fillId="0" borderId="0"/>
    <xf numFmtId="9" fontId="54" fillId="0" borderId="0" applyFont="0" applyFill="0" applyBorder="0" applyAlignment="0" applyProtection="0"/>
    <xf numFmtId="43" fontId="54" fillId="0" borderId="0" applyFont="0" applyFill="0" applyBorder="0" applyAlignment="0" applyProtection="0"/>
    <xf numFmtId="9" fontId="54" fillId="0" borderId="0" applyFont="0" applyFill="0" applyBorder="0" applyAlignment="0" applyProtection="0"/>
    <xf numFmtId="0" fontId="57" fillId="0" borderId="0"/>
    <xf numFmtId="43" fontId="54" fillId="0" borderId="0" applyFont="0" applyFill="0" applyBorder="0" applyAlignment="0" applyProtection="0"/>
    <xf numFmtId="9" fontId="54" fillId="0" borderId="0" applyFont="0" applyFill="0" applyBorder="0" applyAlignment="0" applyProtection="0"/>
    <xf numFmtId="0" fontId="57" fillId="0" borderId="0"/>
    <xf numFmtId="43" fontId="57" fillId="0" borderId="0" applyFont="0" applyFill="0" applyBorder="0" applyAlignment="0" applyProtection="0"/>
    <xf numFmtId="43" fontId="54" fillId="0" borderId="0" applyFont="0" applyFill="0" applyBorder="0" applyAlignment="0" applyProtection="0"/>
    <xf numFmtId="0" fontId="47" fillId="0" borderId="0"/>
    <xf numFmtId="9" fontId="57" fillId="0" borderId="0" applyFont="0" applyFill="0" applyBorder="0" applyAlignment="0" applyProtection="0"/>
    <xf numFmtId="43" fontId="54" fillId="0" borderId="0" applyFont="0" applyFill="0" applyBorder="0" applyAlignment="0" applyProtection="0"/>
    <xf numFmtId="0" fontId="54" fillId="0" borderId="0"/>
    <xf numFmtId="43" fontId="54" fillId="0" borderId="0" applyFont="0" applyFill="0" applyBorder="0" applyAlignment="0" applyProtection="0"/>
    <xf numFmtId="0" fontId="61" fillId="0" borderId="0"/>
    <xf numFmtId="43" fontId="56" fillId="0" borderId="0" applyFont="0" applyFill="0" applyBorder="0" applyAlignment="0" applyProtection="0"/>
    <xf numFmtId="43" fontId="54" fillId="0" borderId="0" applyFont="0" applyFill="0" applyBorder="0" applyAlignment="0" applyProtection="0"/>
    <xf numFmtId="165" fontId="56" fillId="0" borderId="0" applyFont="0" applyFill="0" applyBorder="0" applyAlignment="0" applyProtection="0"/>
    <xf numFmtId="43" fontId="54" fillId="0" borderId="0" applyFont="0" applyFill="0" applyBorder="0" applyAlignment="0" applyProtection="0"/>
    <xf numFmtId="43" fontId="68" fillId="0" borderId="0" applyFont="0" applyFill="0" applyBorder="0" applyAlignment="0" applyProtection="0"/>
    <xf numFmtId="43" fontId="47" fillId="0" borderId="0" applyFont="0" applyFill="0" applyBorder="0" applyAlignment="0" applyProtection="0"/>
    <xf numFmtId="43" fontId="54" fillId="0" borderId="0" applyFont="0" applyFill="0" applyBorder="0" applyAlignment="0" applyProtection="0"/>
    <xf numFmtId="0" fontId="47" fillId="0" borderId="0"/>
    <xf numFmtId="0" fontId="69" fillId="2" borderId="0" applyNumberFormat="0" applyBorder="0" applyAlignment="0" applyProtection="0"/>
    <xf numFmtId="0" fontId="57" fillId="0" borderId="0"/>
    <xf numFmtId="43" fontId="57" fillId="0" borderId="0" applyFont="0" applyFill="0" applyBorder="0" applyAlignment="0" applyProtection="0"/>
    <xf numFmtId="43" fontId="57" fillId="0" borderId="0" applyFont="0" applyFill="0" applyBorder="0" applyAlignment="0" applyProtection="0"/>
    <xf numFmtId="9" fontId="57" fillId="0" borderId="0" applyFont="0" applyFill="0" applyBorder="0" applyAlignment="0" applyProtection="0"/>
    <xf numFmtId="0" fontId="46" fillId="0" borderId="0"/>
    <xf numFmtId="0" fontId="45" fillId="0" borderId="0"/>
    <xf numFmtId="9" fontId="45" fillId="0" borderId="0" applyFont="0" applyFill="0" applyBorder="0" applyAlignment="0" applyProtection="0"/>
    <xf numFmtId="0" fontId="45" fillId="0" borderId="0"/>
    <xf numFmtId="43" fontId="54" fillId="0" borderId="0" applyFont="0" applyFill="0" applyBorder="0" applyAlignment="0" applyProtection="0"/>
    <xf numFmtId="0" fontId="54" fillId="0" borderId="0"/>
    <xf numFmtId="0" fontId="54" fillId="0" borderId="0"/>
    <xf numFmtId="43" fontId="45" fillId="0" borderId="0" applyFont="0" applyFill="0" applyBorder="0" applyAlignment="0" applyProtection="0"/>
    <xf numFmtId="0" fontId="70" fillId="0" borderId="0"/>
    <xf numFmtId="0" fontId="72" fillId="0" borderId="0" applyNumberFormat="0" applyFill="0" applyBorder="0" applyAlignment="0" applyProtection="0"/>
    <xf numFmtId="0" fontId="57" fillId="0" borderId="0" applyNumberFormat="0" applyFill="0" applyBorder="0" applyAlignment="0" applyProtection="0"/>
    <xf numFmtId="0" fontId="44" fillId="0" borderId="0"/>
    <xf numFmtId="0" fontId="44" fillId="0" borderId="0"/>
    <xf numFmtId="0" fontId="54" fillId="0" borderId="0"/>
    <xf numFmtId="0" fontId="54" fillId="0" borderId="0"/>
    <xf numFmtId="0" fontId="57" fillId="0" borderId="0"/>
    <xf numFmtId="0" fontId="43" fillId="0" borderId="0"/>
    <xf numFmtId="43" fontId="43" fillId="0" borderId="0" applyFont="0" applyFill="0" applyBorder="0" applyAlignment="0" applyProtection="0"/>
    <xf numFmtId="43" fontId="56" fillId="0" borderId="0" applyFont="0" applyFill="0" applyBorder="0" applyAlignment="0" applyProtection="0"/>
    <xf numFmtId="0" fontId="57" fillId="0" borderId="0"/>
    <xf numFmtId="0" fontId="43" fillId="0" borderId="0"/>
    <xf numFmtId="0" fontId="77" fillId="0" borderId="0"/>
    <xf numFmtId="168" fontId="73" fillId="0" borderId="0"/>
    <xf numFmtId="0" fontId="42" fillId="0" borderId="0"/>
    <xf numFmtId="9" fontId="42" fillId="0" borderId="0" applyFont="0" applyFill="0" applyBorder="0" applyAlignment="0" applyProtection="0"/>
    <xf numFmtId="43" fontId="56" fillId="0" borderId="0" applyFont="0" applyFill="0" applyBorder="0" applyAlignment="0" applyProtection="0"/>
    <xf numFmtId="43" fontId="68" fillId="0" borderId="0" applyFont="0" applyFill="0" applyBorder="0" applyAlignment="0" applyProtection="0"/>
    <xf numFmtId="43" fontId="42" fillId="0" borderId="0" applyFont="0" applyFill="0" applyBorder="0" applyAlignment="0" applyProtection="0"/>
    <xf numFmtId="43" fontId="57" fillId="0" borderId="0" applyFont="0" applyFill="0" applyBorder="0" applyAlignment="0" applyProtection="0"/>
    <xf numFmtId="43" fontId="54" fillId="0" borderId="0" applyFont="0" applyFill="0" applyBorder="0" applyAlignment="0" applyProtection="0"/>
    <xf numFmtId="0" fontId="42" fillId="0" borderId="0"/>
    <xf numFmtId="43" fontId="42" fillId="0" borderId="0" applyFont="0" applyFill="0" applyBorder="0" applyAlignment="0" applyProtection="0"/>
    <xf numFmtId="0" fontId="41" fillId="0" borderId="0"/>
    <xf numFmtId="0" fontId="40" fillId="0" borderId="0"/>
    <xf numFmtId="0" fontId="39" fillId="0" borderId="0"/>
    <xf numFmtId="43" fontId="39" fillId="0" borderId="0" applyFont="0" applyFill="0" applyBorder="0" applyAlignment="0" applyProtection="0"/>
    <xf numFmtId="169" fontId="73" fillId="0" borderId="0" applyBorder="0" applyProtection="0"/>
    <xf numFmtId="170" fontId="73" fillId="0" borderId="0" applyBorder="0" applyProtection="0"/>
    <xf numFmtId="0" fontId="57" fillId="0" borderId="0"/>
    <xf numFmtId="0" fontId="38" fillId="0" borderId="0"/>
    <xf numFmtId="43" fontId="38" fillId="0" borderId="0" applyFont="0" applyFill="0" applyBorder="0" applyAlignment="0" applyProtection="0"/>
    <xf numFmtId="9" fontId="38" fillId="0" borderId="0" applyFont="0" applyFill="0" applyBorder="0" applyAlignment="0" applyProtection="0"/>
    <xf numFmtId="0" fontId="37" fillId="0" borderId="0"/>
    <xf numFmtId="43" fontId="37" fillId="0" borderId="0" applyFont="0" applyFill="0" applyBorder="0" applyAlignment="0" applyProtection="0"/>
    <xf numFmtId="0" fontId="82" fillId="0" borderId="0"/>
    <xf numFmtId="0" fontId="36" fillId="0" borderId="0"/>
    <xf numFmtId="43" fontId="36" fillId="0" borderId="0" applyFont="0" applyFill="0" applyBorder="0" applyAlignment="0" applyProtection="0"/>
    <xf numFmtId="164" fontId="36" fillId="0" borderId="0" applyFont="0" applyFill="0" applyBorder="0" applyAlignment="0" applyProtection="0"/>
    <xf numFmtId="9" fontId="36" fillId="0" borderId="0" applyFont="0" applyFill="0" applyBorder="0" applyAlignment="0" applyProtection="0"/>
    <xf numFmtId="43" fontId="56" fillId="0" borderId="0" applyFont="0" applyFill="0" applyBorder="0" applyAlignment="0" applyProtection="0"/>
    <xf numFmtId="0" fontId="35" fillId="0" borderId="0"/>
    <xf numFmtId="0" fontId="34" fillId="0" borderId="0"/>
    <xf numFmtId="0" fontId="33" fillId="0" borderId="0"/>
    <xf numFmtId="0" fontId="86" fillId="0" borderId="0" applyNumberFormat="0" applyProtection="0">
      <alignment vertical="top"/>
    </xf>
    <xf numFmtId="0" fontId="77" fillId="0" borderId="0"/>
    <xf numFmtId="43" fontId="33" fillId="0" borderId="0" applyFont="0" applyFill="0" applyBorder="0" applyAlignment="0" applyProtection="0"/>
    <xf numFmtId="0" fontId="33" fillId="0" borderId="0"/>
    <xf numFmtId="0" fontId="32" fillId="0" borderId="0"/>
    <xf numFmtId="0" fontId="31" fillId="0" borderId="0"/>
    <xf numFmtId="0" fontId="87" fillId="0" borderId="0" applyNumberFormat="0" applyFill="0" applyBorder="0" applyAlignment="0" applyProtection="0"/>
    <xf numFmtId="0" fontId="88" fillId="0" borderId="0"/>
    <xf numFmtId="0" fontId="29" fillId="0" borderId="0"/>
    <xf numFmtId="0" fontId="29" fillId="0" borderId="0"/>
    <xf numFmtId="9" fontId="57" fillId="0" borderId="0" applyFont="0" applyFill="0" applyBorder="0" applyAlignment="0" applyProtection="0"/>
    <xf numFmtId="0" fontId="28" fillId="0" borderId="0"/>
    <xf numFmtId="0" fontId="57" fillId="0" borderId="0"/>
    <xf numFmtId="43" fontId="57" fillId="0" borderId="0" applyFont="0" applyFill="0" applyBorder="0" applyAlignment="0" applyProtection="0"/>
    <xf numFmtId="43" fontId="28" fillId="0" borderId="0" applyFont="0" applyFill="0" applyBorder="0" applyAlignment="0" applyProtection="0"/>
    <xf numFmtId="0" fontId="56" fillId="0" borderId="0"/>
    <xf numFmtId="0" fontId="90" fillId="0" borderId="0" applyNumberFormat="0" applyFill="0" applyBorder="0" applyAlignment="0" applyProtection="0"/>
    <xf numFmtId="0" fontId="91" fillId="0" borderId="30" applyNumberFormat="0" applyFill="0" applyAlignment="0" applyProtection="0"/>
    <xf numFmtId="0" fontId="92" fillId="0" borderId="31" applyNumberFormat="0" applyFill="0" applyAlignment="0" applyProtection="0"/>
    <xf numFmtId="0" fontId="93" fillId="0" borderId="32" applyNumberFormat="0" applyFill="0" applyAlignment="0" applyProtection="0"/>
    <xf numFmtId="0" fontId="93" fillId="0" borderId="0" applyNumberFormat="0" applyFill="0" applyBorder="0" applyAlignment="0" applyProtection="0"/>
    <xf numFmtId="0" fontId="94" fillId="2" borderId="0" applyNumberFormat="0" applyBorder="0" applyAlignment="0" applyProtection="0"/>
    <xf numFmtId="0" fontId="95" fillId="20" borderId="0" applyNumberFormat="0" applyBorder="0" applyAlignment="0" applyProtection="0"/>
    <xf numFmtId="0" fontId="96" fillId="21" borderId="0" applyNumberFormat="0" applyBorder="0" applyAlignment="0" applyProtection="0"/>
    <xf numFmtId="0" fontId="97" fillId="22" borderId="33" applyNumberFormat="0" applyAlignment="0" applyProtection="0"/>
    <xf numFmtId="0" fontId="98" fillId="23" borderId="34" applyNumberFormat="0" applyAlignment="0" applyProtection="0"/>
    <xf numFmtId="0" fontId="99" fillId="23" borderId="33" applyNumberFormat="0" applyAlignment="0" applyProtection="0"/>
    <xf numFmtId="0" fontId="100" fillId="0" borderId="35" applyNumberFormat="0" applyFill="0" applyAlignment="0" applyProtection="0"/>
    <xf numFmtId="0" fontId="101" fillId="24" borderId="36" applyNumberFormat="0" applyAlignment="0" applyProtection="0"/>
    <xf numFmtId="0" fontId="49" fillId="0" borderId="0" applyNumberFormat="0" applyFill="0" applyBorder="0" applyAlignment="0" applyProtection="0"/>
    <xf numFmtId="0" fontId="102" fillId="0" borderId="0" applyNumberFormat="0" applyFill="0" applyBorder="0" applyAlignment="0" applyProtection="0"/>
    <xf numFmtId="0" fontId="71" fillId="0" borderId="38" applyNumberFormat="0" applyFill="0" applyAlignment="0" applyProtection="0"/>
    <xf numFmtId="0" fontId="103"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103" fillId="29" borderId="0" applyNumberFormat="0" applyBorder="0" applyAlignment="0" applyProtection="0"/>
    <xf numFmtId="0" fontId="103" fillId="30"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103" fillId="33" borderId="0" applyNumberFormat="0" applyBorder="0" applyAlignment="0" applyProtection="0"/>
    <xf numFmtId="0" fontId="103" fillId="34"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103" fillId="37" borderId="0" applyNumberFormat="0" applyBorder="0" applyAlignment="0" applyProtection="0"/>
    <xf numFmtId="0" fontId="103" fillId="38"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103" fillId="41" borderId="0" applyNumberFormat="0" applyBorder="0" applyAlignment="0" applyProtection="0"/>
    <xf numFmtId="0" fontId="103" fillId="42"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103" fillId="45" borderId="0" applyNumberFormat="0" applyBorder="0" applyAlignment="0" applyProtection="0"/>
    <xf numFmtId="0" fontId="103" fillId="46" borderId="0" applyNumberFormat="0" applyBorder="0" applyAlignment="0" applyProtection="0"/>
    <xf numFmtId="0" fontId="26" fillId="47" borderId="0" applyNumberFormat="0" applyBorder="0" applyAlignment="0" applyProtection="0"/>
    <xf numFmtId="0" fontId="26" fillId="48" borderId="0" applyNumberFormat="0" applyBorder="0" applyAlignment="0" applyProtection="0"/>
    <xf numFmtId="0" fontId="103" fillId="49" borderId="0" applyNumberFormat="0" applyBorder="0" applyAlignment="0" applyProtection="0"/>
    <xf numFmtId="0" fontId="26" fillId="0" borderId="0"/>
    <xf numFmtId="0" fontId="26" fillId="25" borderId="37" applyNumberFormat="0" applyFont="0" applyAlignment="0" applyProtection="0"/>
    <xf numFmtId="0" fontId="25" fillId="0" borderId="0"/>
    <xf numFmtId="43" fontId="25" fillId="0" borderId="0" applyFont="0" applyFill="0" applyBorder="0" applyAlignment="0" applyProtection="0"/>
    <xf numFmtId="43" fontId="88" fillId="0" borderId="0" applyFont="0" applyFill="0" applyBorder="0" applyAlignment="0" applyProtection="0"/>
    <xf numFmtId="0" fontId="24" fillId="0" borderId="0"/>
    <xf numFmtId="0" fontId="24" fillId="25" borderId="37" applyNumberFormat="0" applyFont="0" applyAlignment="0" applyProtection="0"/>
    <xf numFmtId="0" fontId="24" fillId="27" borderId="0" applyNumberFormat="0" applyBorder="0" applyAlignment="0" applyProtection="0"/>
    <xf numFmtId="0" fontId="24" fillId="28"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67" fillId="0" borderId="0" pivotButton="1"/>
    <xf numFmtId="43" fontId="67" fillId="0" borderId="0" applyFont="0" applyFill="0" applyBorder="0" applyAlignment="0" applyProtection="0"/>
    <xf numFmtId="0" fontId="88" fillId="0" borderId="0"/>
    <xf numFmtId="0" fontId="83" fillId="0" borderId="0"/>
    <xf numFmtId="0" fontId="57" fillId="0" borderId="0"/>
    <xf numFmtId="43" fontId="57" fillId="0" borderId="0" applyFont="0" applyFill="0" applyBorder="0" applyAlignment="0" applyProtection="0"/>
    <xf numFmtId="0" fontId="23" fillId="0" borderId="0"/>
    <xf numFmtId="0" fontId="57" fillId="0" borderId="0" applyBorder="0"/>
    <xf numFmtId="0" fontId="23" fillId="0" borderId="0"/>
    <xf numFmtId="0" fontId="105" fillId="0" borderId="0"/>
    <xf numFmtId="0" fontId="56" fillId="0" borderId="0"/>
    <xf numFmtId="9" fontId="56" fillId="0" borderId="0" applyFont="0" applyFill="0" applyBorder="0" applyAlignment="0" applyProtection="0"/>
    <xf numFmtId="0" fontId="22" fillId="0" borderId="0"/>
    <xf numFmtId="0" fontId="106" fillId="0" borderId="0" applyNumberFormat="0" applyFill="0" applyBorder="0" applyAlignment="0" applyProtection="0"/>
    <xf numFmtId="0" fontId="21" fillId="0" borderId="0"/>
    <xf numFmtId="0" fontId="20" fillId="0" borderId="0"/>
    <xf numFmtId="0" fontId="109" fillId="21" borderId="0" applyNumberFormat="0" applyBorder="0" applyAlignment="0" applyProtection="0"/>
    <xf numFmtId="0" fontId="20" fillId="25" borderId="37" applyNumberFormat="0" applyFont="0" applyAlignment="0" applyProtection="0"/>
    <xf numFmtId="0" fontId="20"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19" fillId="0" borderId="0"/>
    <xf numFmtId="0" fontId="110" fillId="0" borderId="0" applyNumberFormat="0" applyFill="0" applyBorder="0" applyAlignment="0" applyProtection="0">
      <alignment vertical="top"/>
      <protection locked="0"/>
    </xf>
    <xf numFmtId="0" fontId="18" fillId="0" borderId="0"/>
    <xf numFmtId="0" fontId="18" fillId="0" borderId="0"/>
    <xf numFmtId="0" fontId="17" fillId="0" borderId="0"/>
    <xf numFmtId="43" fontId="17" fillId="0" borderId="0" applyFont="0" applyFill="0" applyBorder="0" applyAlignment="0" applyProtection="0"/>
    <xf numFmtId="0" fontId="16" fillId="0" borderId="0"/>
    <xf numFmtId="0" fontId="16" fillId="0" borderId="0"/>
    <xf numFmtId="0" fontId="111" fillId="0" borderId="0">
      <alignment horizontal="left" wrapText="1"/>
    </xf>
    <xf numFmtId="0" fontId="112" fillId="0" borderId="0">
      <alignment horizontal="right"/>
    </xf>
    <xf numFmtId="0" fontId="89" fillId="0" borderId="0">
      <alignment horizontal="left" wrapText="1"/>
    </xf>
    <xf numFmtId="0" fontId="113" fillId="0" borderId="0">
      <alignment vertical="top" wrapText="1"/>
    </xf>
    <xf numFmtId="0" fontId="107" fillId="0" borderId="0">
      <alignment horizontal="right" indent="1"/>
    </xf>
    <xf numFmtId="14" fontId="89" fillId="0" borderId="0" applyFont="0" applyFill="0" applyBorder="0" applyAlignment="0" applyProtection="0">
      <alignment horizontal="left"/>
    </xf>
    <xf numFmtId="172" fontId="89" fillId="0" borderId="0" applyFont="0" applyFill="0" applyBorder="0" applyProtection="0">
      <alignment horizontal="left" vertical="top" wrapText="1"/>
    </xf>
    <xf numFmtId="0" fontId="107" fillId="0" borderId="0">
      <alignment horizontal="left" vertical="top"/>
    </xf>
    <xf numFmtId="0" fontId="114" fillId="0" borderId="0">
      <alignment horizontal="right" indent="1"/>
    </xf>
    <xf numFmtId="0" fontId="89" fillId="0" borderId="0">
      <alignment horizontal="left" vertical="top" wrapText="1"/>
    </xf>
    <xf numFmtId="173" fontId="89" fillId="0" borderId="0" applyFont="0" applyFill="0" applyBorder="0" applyProtection="0">
      <alignment horizontal="right"/>
    </xf>
    <xf numFmtId="0" fontId="107" fillId="0" borderId="0">
      <alignment horizontal="center" wrapText="1"/>
    </xf>
    <xf numFmtId="0" fontId="15" fillId="0" borderId="0"/>
    <xf numFmtId="43" fontId="15" fillId="0" borderId="0" applyFont="0" applyFill="0" applyBorder="0" applyAlignment="0" applyProtection="0"/>
    <xf numFmtId="0" fontId="13" fillId="0" borderId="0"/>
    <xf numFmtId="0" fontId="109" fillId="21" borderId="0" applyNumberFormat="0" applyBorder="0" applyAlignment="0" applyProtection="0"/>
    <xf numFmtId="0" fontId="13" fillId="25" borderId="37" applyNumberFormat="0" applyFont="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47"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2" fillId="0" borderId="0"/>
    <xf numFmtId="0" fontId="12" fillId="0" borderId="0"/>
    <xf numFmtId="0" fontId="12" fillId="0" borderId="0"/>
    <xf numFmtId="175" fontId="56" fillId="0" borderId="0" applyFont="0" applyFill="0" applyBorder="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0" fontId="4" fillId="25" borderId="37" applyNumberFormat="0" applyFont="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121" fillId="0" borderId="0"/>
    <xf numFmtId="43" fontId="88" fillId="0" borderId="0" applyFont="0" applyFill="0" applyBorder="0" applyAlignment="0" applyProtection="0"/>
    <xf numFmtId="0" fontId="56" fillId="0" borderId="0"/>
    <xf numFmtId="43" fontId="56" fillId="0" borderId="0" applyFont="0" applyFill="0" applyBorder="0" applyAlignment="0" applyProtection="0"/>
    <xf numFmtId="0" fontId="2" fillId="0" borderId="0"/>
    <xf numFmtId="0" fontId="2" fillId="0" borderId="0"/>
    <xf numFmtId="0" fontId="1" fillId="0" borderId="0"/>
  </cellStyleXfs>
  <cellXfs count="633">
    <xf numFmtId="0" fontId="0" fillId="0" borderId="0" xfId="0"/>
    <xf numFmtId="9" fontId="50" fillId="0" borderId="0" xfId="4" applyFont="1"/>
    <xf numFmtId="0" fontId="50" fillId="0" borderId="0" xfId="43" applyFont="1"/>
    <xf numFmtId="0" fontId="50" fillId="0" borderId="0" xfId="43" applyFont="1" applyAlignment="1">
      <alignment wrapText="1"/>
    </xf>
    <xf numFmtId="0" fontId="55" fillId="0" borderId="0" xfId="43" applyFont="1"/>
    <xf numFmtId="0" fontId="53" fillId="0" borderId="0" xfId="43" applyFont="1"/>
    <xf numFmtId="0" fontId="55" fillId="0" borderId="1" xfId="43" applyFont="1" applyBorder="1" applyAlignment="1">
      <alignment horizontal="center" vertical="center"/>
    </xf>
    <xf numFmtId="0" fontId="55" fillId="0" borderId="2" xfId="43" applyFont="1" applyBorder="1" applyAlignment="1">
      <alignment horizontal="center" vertical="center" wrapText="1"/>
    </xf>
    <xf numFmtId="3" fontId="55" fillId="3" borderId="4" xfId="43" applyNumberFormat="1" applyFont="1" applyFill="1" applyBorder="1"/>
    <xf numFmtId="3" fontId="55" fillId="4" borderId="4" xfId="43" applyNumberFormat="1" applyFont="1" applyFill="1" applyBorder="1"/>
    <xf numFmtId="0" fontId="60" fillId="0" borderId="0" xfId="43" applyFont="1"/>
    <xf numFmtId="3" fontId="50" fillId="0" borderId="7" xfId="43" applyNumberFormat="1" applyFont="1" applyBorder="1"/>
    <xf numFmtId="3" fontId="52" fillId="0" borderId="7" xfId="43" applyNumberFormat="1" applyFont="1" applyBorder="1"/>
    <xf numFmtId="3" fontId="55" fillId="4" borderId="7" xfId="43" applyNumberFormat="1" applyFont="1" applyFill="1" applyBorder="1"/>
    <xf numFmtId="3" fontId="50" fillId="6" borderId="7" xfId="43" applyNumberFormat="1" applyFont="1" applyFill="1" applyBorder="1"/>
    <xf numFmtId="3" fontId="61" fillId="8" borderId="7" xfId="43" applyNumberFormat="1" applyFont="1" applyFill="1" applyBorder="1"/>
    <xf numFmtId="0" fontId="61" fillId="0" borderId="0" xfId="43" applyFont="1"/>
    <xf numFmtId="0" fontId="52" fillId="0" borderId="0" xfId="43" applyFont="1"/>
    <xf numFmtId="3" fontId="50" fillId="3" borderId="7" xfId="43" applyNumberFormat="1" applyFont="1" applyFill="1" applyBorder="1"/>
    <xf numFmtId="0" fontId="51" fillId="0" borderId="0" xfId="43" applyFont="1"/>
    <xf numFmtId="0" fontId="55" fillId="0" borderId="9" xfId="43" applyFont="1" applyBorder="1"/>
    <xf numFmtId="0" fontId="55" fillId="0" borderId="10" xfId="43" applyFont="1" applyBorder="1" applyAlignment="1">
      <alignment horizontal="right" wrapText="1"/>
    </xf>
    <xf numFmtId="49" fontId="50" fillId="0" borderId="6" xfId="43" applyNumberFormat="1" applyFont="1" applyBorder="1" applyAlignment="1">
      <alignment horizontal="left" wrapText="1" indent="4"/>
    </xf>
    <xf numFmtId="3" fontId="55" fillId="4" borderId="12" xfId="43" applyNumberFormat="1" applyFont="1" applyFill="1" applyBorder="1"/>
    <xf numFmtId="3" fontId="55" fillId="3" borderId="7" xfId="43" applyNumberFormat="1" applyFont="1" applyFill="1" applyBorder="1"/>
    <xf numFmtId="49" fontId="50" fillId="0" borderId="5" xfId="43" applyNumberFormat="1" applyFont="1" applyBorder="1" applyAlignment="1">
      <alignment horizontal="left" indent="2"/>
    </xf>
    <xf numFmtId="3" fontId="64" fillId="3" borderId="7" xfId="43" applyNumberFormat="1" applyFont="1" applyFill="1" applyBorder="1"/>
    <xf numFmtId="0" fontId="50" fillId="0" borderId="0" xfId="43" applyFont="1" applyAlignment="1">
      <alignment horizontal="right"/>
    </xf>
    <xf numFmtId="0" fontId="50" fillId="6" borderId="0" xfId="43" applyFont="1" applyFill="1"/>
    <xf numFmtId="49" fontId="55" fillId="0" borderId="9" xfId="43" applyNumberFormat="1" applyFont="1" applyBorder="1"/>
    <xf numFmtId="3" fontId="55" fillId="0" borderId="13" xfId="43" applyNumberFormat="1" applyFont="1" applyBorder="1"/>
    <xf numFmtId="3" fontId="55" fillId="0" borderId="14" xfId="43" applyNumberFormat="1" applyFont="1" applyBorder="1"/>
    <xf numFmtId="49" fontId="55" fillId="4" borderId="15" xfId="43" applyNumberFormat="1" applyFont="1" applyFill="1" applyBorder="1" applyAlignment="1">
      <alignment horizontal="center"/>
    </xf>
    <xf numFmtId="3" fontId="55" fillId="4" borderId="17" xfId="43" applyNumberFormat="1" applyFont="1" applyFill="1" applyBorder="1"/>
    <xf numFmtId="3" fontId="55" fillId="0" borderId="0" xfId="43" applyNumberFormat="1" applyFont="1"/>
    <xf numFmtId="0" fontId="60" fillId="5" borderId="0" xfId="43" applyFont="1" applyFill="1"/>
    <xf numFmtId="3" fontId="50" fillId="5" borderId="7" xfId="43" applyNumberFormat="1" applyFont="1" applyFill="1" applyBorder="1"/>
    <xf numFmtId="166" fontId="50" fillId="3" borderId="7" xfId="1" applyNumberFormat="1" applyFont="1" applyFill="1" applyBorder="1"/>
    <xf numFmtId="166" fontId="50" fillId="5" borderId="7" xfId="1" applyNumberFormat="1" applyFont="1" applyFill="1" applyBorder="1"/>
    <xf numFmtId="3" fontId="64" fillId="0" borderId="7" xfId="43" applyNumberFormat="1" applyFont="1" applyBorder="1"/>
    <xf numFmtId="3" fontId="50" fillId="0" borderId="0" xfId="43" applyNumberFormat="1" applyFont="1"/>
    <xf numFmtId="3" fontId="55" fillId="0" borderId="3" xfId="43" applyNumberFormat="1" applyFont="1" applyBorder="1"/>
    <xf numFmtId="3" fontId="55" fillId="0" borderId="11" xfId="43" applyNumberFormat="1" applyFont="1" applyBorder="1"/>
    <xf numFmtId="3" fontId="50" fillId="0" borderId="27" xfId="43" applyNumberFormat="1" applyFont="1" applyBorder="1"/>
    <xf numFmtId="166" fontId="55" fillId="0" borderId="0" xfId="5" applyNumberFormat="1" applyFont="1"/>
    <xf numFmtId="0" fontId="55" fillId="0" borderId="3" xfId="7" applyFont="1" applyBorder="1" applyAlignment="1">
      <alignment horizontal="center" vertical="center" wrapText="1"/>
    </xf>
    <xf numFmtId="3" fontId="50" fillId="7" borderId="7" xfId="43" applyNumberFormat="1" applyFont="1" applyFill="1" applyBorder="1"/>
    <xf numFmtId="10" fontId="50" fillId="0" borderId="0" xfId="9" applyNumberFormat="1" applyFont="1"/>
    <xf numFmtId="9" fontId="55" fillId="0" borderId="3" xfId="4" applyFont="1" applyBorder="1" applyAlignment="1">
      <alignment horizontal="center" vertical="center" wrapText="1"/>
    </xf>
    <xf numFmtId="0" fontId="30" fillId="0" borderId="0" xfId="43" applyFont="1"/>
    <xf numFmtId="0" fontId="27" fillId="0" borderId="0" xfId="43" applyFont="1"/>
    <xf numFmtId="3" fontId="50" fillId="11" borderId="7" xfId="43" applyNumberFormat="1" applyFont="1" applyFill="1" applyBorder="1"/>
    <xf numFmtId="166" fontId="50" fillId="6" borderId="7" xfId="1" applyNumberFormat="1" applyFont="1" applyFill="1" applyBorder="1"/>
    <xf numFmtId="3" fontId="50" fillId="5" borderId="43" xfId="43" applyNumberFormat="1" applyFont="1" applyFill="1" applyBorder="1"/>
    <xf numFmtId="3" fontId="50" fillId="0" borderId="43" xfId="43" applyNumberFormat="1" applyFont="1" applyBorder="1"/>
    <xf numFmtId="166" fontId="55" fillId="3" borderId="4" xfId="1" applyNumberFormat="1" applyFont="1" applyFill="1" applyBorder="1"/>
    <xf numFmtId="0" fontId="44" fillId="0" borderId="0" xfId="43"/>
    <xf numFmtId="3" fontId="55" fillId="4" borderId="42" xfId="43" applyNumberFormat="1" applyFont="1" applyFill="1" applyBorder="1"/>
    <xf numFmtId="0" fontId="55" fillId="0" borderId="18" xfId="43" applyFont="1" applyBorder="1"/>
    <xf numFmtId="0" fontId="84" fillId="0" borderId="0" xfId="83" applyFont="1"/>
    <xf numFmtId="0" fontId="50" fillId="0" borderId="0" xfId="43" quotePrefix="1" applyFont="1"/>
    <xf numFmtId="0" fontId="53" fillId="0" borderId="0" xfId="43" quotePrefix="1" applyFont="1"/>
    <xf numFmtId="0" fontId="60" fillId="0" borderId="0" xfId="43" quotePrefix="1" applyFont="1"/>
    <xf numFmtId="3" fontId="50" fillId="3" borderId="27" xfId="43" applyNumberFormat="1" applyFont="1" applyFill="1" applyBorder="1"/>
    <xf numFmtId="0" fontId="50" fillId="6" borderId="0" xfId="43" quotePrefix="1" applyFont="1" applyFill="1"/>
    <xf numFmtId="0" fontId="55" fillId="3" borderId="45" xfId="43" applyFont="1" applyFill="1" applyBorder="1"/>
    <xf numFmtId="0" fontId="55" fillId="3" borderId="49" xfId="43" applyFont="1" applyFill="1" applyBorder="1" applyAlignment="1">
      <alignment wrapText="1"/>
    </xf>
    <xf numFmtId="0" fontId="55" fillId="4" borderId="45" xfId="43" quotePrefix="1" applyFont="1" applyFill="1" applyBorder="1"/>
    <xf numFmtId="0" fontId="55" fillId="4" borderId="49" xfId="43" applyFont="1" applyFill="1" applyBorder="1" applyAlignment="1">
      <alignment wrapText="1"/>
    </xf>
    <xf numFmtId="0" fontId="50" fillId="0" borderId="53" xfId="43" applyFont="1" applyBorder="1" applyAlignment="1">
      <alignment horizontal="left" indent="1"/>
    </xf>
    <xf numFmtId="0" fontId="50" fillId="0" borderId="47" xfId="43" applyFont="1" applyBorder="1" applyAlignment="1">
      <alignment horizontal="left" wrapText="1" indent="2"/>
    </xf>
    <xf numFmtId="0" fontId="55" fillId="4" borderId="53" xfId="43" applyFont="1" applyFill="1" applyBorder="1"/>
    <xf numFmtId="0" fontId="55" fillId="4" borderId="47" xfId="43" applyFont="1" applyFill="1" applyBorder="1" applyAlignment="1">
      <alignment wrapText="1"/>
    </xf>
    <xf numFmtId="0" fontId="61" fillId="0" borderId="53" xfId="43" applyFont="1" applyBorder="1" applyAlignment="1">
      <alignment horizontal="left" indent="2"/>
    </xf>
    <xf numFmtId="0" fontId="61" fillId="0" borderId="47" xfId="43" applyFont="1" applyBorder="1" applyAlignment="1">
      <alignment horizontal="left" wrapText="1" indent="3"/>
    </xf>
    <xf numFmtId="0" fontId="55" fillId="4" borderId="53" xfId="43" quotePrefix="1" applyFont="1" applyFill="1" applyBorder="1"/>
    <xf numFmtId="0" fontId="50" fillId="3" borderId="53" xfId="43" applyFont="1" applyFill="1" applyBorder="1" applyAlignment="1">
      <alignment horizontal="left" indent="1"/>
    </xf>
    <xf numFmtId="0" fontId="50" fillId="6" borderId="53" xfId="43" applyFont="1" applyFill="1" applyBorder="1" applyAlignment="1">
      <alignment horizontal="left" indent="2"/>
    </xf>
    <xf numFmtId="0" fontId="50" fillId="6" borderId="47" xfId="43" applyFont="1" applyFill="1" applyBorder="1" applyAlignment="1">
      <alignment horizontal="left" wrapText="1" indent="3"/>
    </xf>
    <xf numFmtId="0" fontId="55" fillId="0" borderId="44" xfId="43" quotePrefix="1" applyFont="1" applyBorder="1"/>
    <xf numFmtId="49" fontId="55" fillId="4" borderId="39" xfId="43" applyNumberFormat="1" applyFont="1" applyFill="1" applyBorder="1" applyAlignment="1">
      <alignment horizontal="left" indent="2"/>
    </xf>
    <xf numFmtId="49" fontId="50" fillId="3" borderId="53" xfId="43" applyNumberFormat="1" applyFont="1" applyFill="1" applyBorder="1" applyAlignment="1">
      <alignment horizontal="left" indent="1"/>
    </xf>
    <xf numFmtId="49" fontId="55" fillId="4" borderId="53" xfId="43" applyNumberFormat="1" applyFont="1" applyFill="1" applyBorder="1"/>
    <xf numFmtId="49" fontId="50" fillId="0" borderId="53" xfId="43" applyNumberFormat="1" applyFont="1" applyBorder="1" applyAlignment="1">
      <alignment horizontal="left" indent="2"/>
    </xf>
    <xf numFmtId="0" fontId="60" fillId="5" borderId="47" xfId="43" applyFont="1" applyFill="1" applyBorder="1" applyAlignment="1">
      <alignment horizontal="left" indent="2"/>
    </xf>
    <xf numFmtId="0" fontId="60" fillId="0" borderId="47" xfId="43" applyFont="1" applyBorder="1" applyAlignment="1">
      <alignment horizontal="left" indent="2"/>
    </xf>
    <xf numFmtId="49" fontId="55" fillId="3" borderId="53" xfId="43" applyNumberFormat="1" applyFont="1" applyFill="1" applyBorder="1" applyAlignment="1">
      <alignment horizontal="left" indent="1"/>
    </xf>
    <xf numFmtId="49" fontId="50" fillId="6" borderId="53" xfId="43" applyNumberFormat="1" applyFont="1" applyFill="1" applyBorder="1" applyAlignment="1">
      <alignment horizontal="left" indent="2"/>
    </xf>
    <xf numFmtId="49" fontId="50" fillId="0" borderId="53" xfId="43" applyNumberFormat="1" applyFont="1" applyBorder="1" applyAlignment="1">
      <alignment horizontal="left" indent="3"/>
    </xf>
    <xf numFmtId="49" fontId="78" fillId="3" borderId="53" xfId="43" applyNumberFormat="1" applyFont="1" applyFill="1" applyBorder="1" applyAlignment="1">
      <alignment horizontal="left" indent="1"/>
    </xf>
    <xf numFmtId="0" fontId="59" fillId="0" borderId="0" xfId="43" applyFont="1"/>
    <xf numFmtId="49" fontId="55" fillId="0" borderId="53" xfId="43" applyNumberFormat="1" applyFont="1" applyBorder="1" applyAlignment="1">
      <alignment horizontal="left" indent="2"/>
    </xf>
    <xf numFmtId="3" fontId="50" fillId="5" borderId="57" xfId="43" applyNumberFormat="1" applyFont="1" applyFill="1" applyBorder="1"/>
    <xf numFmtId="3" fontId="50" fillId="0" borderId="57" xfId="43" applyNumberFormat="1" applyFont="1" applyBorder="1"/>
    <xf numFmtId="3" fontId="50" fillId="0" borderId="59" xfId="43" applyNumberFormat="1" applyFont="1" applyBorder="1"/>
    <xf numFmtId="3" fontId="50" fillId="3" borderId="57" xfId="43" applyNumberFormat="1" applyFont="1" applyFill="1" applyBorder="1"/>
    <xf numFmtId="166" fontId="52" fillId="0" borderId="0" xfId="1" applyNumberFormat="1" applyFont="1"/>
    <xf numFmtId="3" fontId="50" fillId="19" borderId="43" xfId="43" applyNumberFormat="1" applyFont="1" applyFill="1" applyBorder="1"/>
    <xf numFmtId="3" fontId="104" fillId="3" borderId="7" xfId="43" applyNumberFormat="1" applyFont="1" applyFill="1" applyBorder="1"/>
    <xf numFmtId="3" fontId="108" fillId="4" borderId="12" xfId="43" applyNumberFormat="1" applyFont="1" applyFill="1" applyBorder="1"/>
    <xf numFmtId="0" fontId="106" fillId="0" borderId="0" xfId="173"/>
    <xf numFmtId="166" fontId="50" fillId="0" borderId="0" xfId="1" applyNumberFormat="1" applyFont="1"/>
    <xf numFmtId="0" fontId="61" fillId="0" borderId="58" xfId="43" applyFont="1" applyBorder="1" applyAlignment="1">
      <alignment horizontal="left" indent="2"/>
    </xf>
    <xf numFmtId="0" fontId="50" fillId="0" borderId="66" xfId="43" applyFont="1" applyBorder="1" applyAlignment="1">
      <alignment horizontal="left" wrapText="1" indent="2"/>
    </xf>
    <xf numFmtId="49" fontId="50" fillId="3" borderId="58" xfId="43" applyNumberFormat="1" applyFont="1" applyFill="1" applyBorder="1" applyAlignment="1">
      <alignment horizontal="left" indent="1"/>
    </xf>
    <xf numFmtId="3" fontId="55" fillId="3" borderId="54" xfId="43" applyNumberFormat="1" applyFont="1" applyFill="1" applyBorder="1"/>
    <xf numFmtId="3" fontId="55" fillId="0" borderId="7" xfId="43" applyNumberFormat="1" applyFont="1" applyBorder="1"/>
    <xf numFmtId="49" fontId="50" fillId="17" borderId="53" xfId="43" applyNumberFormat="1" applyFont="1" applyFill="1" applyBorder="1" applyAlignment="1">
      <alignment horizontal="left" indent="2"/>
    </xf>
    <xf numFmtId="49" fontId="50" fillId="17" borderId="58" xfId="43" applyNumberFormat="1" applyFont="1" applyFill="1" applyBorder="1" applyAlignment="1">
      <alignment horizontal="left" indent="2"/>
    </xf>
    <xf numFmtId="49" fontId="50" fillId="17" borderId="53" xfId="43" applyNumberFormat="1" applyFont="1" applyFill="1" applyBorder="1" applyAlignment="1">
      <alignment horizontal="left" indent="1"/>
    </xf>
    <xf numFmtId="0" fontId="60" fillId="17" borderId="47" xfId="43" applyFont="1" applyFill="1" applyBorder="1" applyAlignment="1">
      <alignment horizontal="left" indent="2"/>
    </xf>
    <xf numFmtId="0" fontId="50" fillId="6" borderId="58" xfId="43" applyFont="1" applyFill="1" applyBorder="1" applyAlignment="1">
      <alignment horizontal="left" indent="2"/>
    </xf>
    <xf numFmtId="3" fontId="50" fillId="0" borderId="54" xfId="43" applyNumberFormat="1" applyFont="1" applyBorder="1"/>
    <xf numFmtId="0" fontId="50" fillId="6" borderId="66" xfId="43" applyFont="1" applyFill="1" applyBorder="1" applyAlignment="1">
      <alignment horizontal="left" wrapText="1" indent="3"/>
    </xf>
    <xf numFmtId="3" fontId="104" fillId="0" borderId="0" xfId="43" applyNumberFormat="1" applyFont="1"/>
    <xf numFmtId="10" fontId="104" fillId="0" borderId="0" xfId="9" applyNumberFormat="1" applyFont="1"/>
    <xf numFmtId="0" fontId="104" fillId="0" borderId="0" xfId="43" applyFont="1"/>
    <xf numFmtId="49" fontId="50" fillId="0" borderId="58" xfId="43" applyNumberFormat="1" applyFont="1" applyBorder="1" applyAlignment="1">
      <alignment horizontal="left" indent="2"/>
    </xf>
    <xf numFmtId="166" fontId="55" fillId="0" borderId="0" xfId="1" applyNumberFormat="1" applyFont="1"/>
    <xf numFmtId="0" fontId="50" fillId="6" borderId="70" xfId="43" applyFont="1" applyFill="1" applyBorder="1" applyAlignment="1">
      <alignment horizontal="left" indent="2"/>
    </xf>
    <xf numFmtId="49" fontId="63" fillId="0" borderId="58" xfId="43" applyNumberFormat="1" applyFont="1" applyBorder="1" applyAlignment="1">
      <alignment horizontal="left" indent="3"/>
    </xf>
    <xf numFmtId="0" fontId="61" fillId="0" borderId="72" xfId="43" applyFont="1" applyBorder="1" applyAlignment="1">
      <alignment horizontal="left" indent="2"/>
    </xf>
    <xf numFmtId="3" fontId="50" fillId="0" borderId="73" xfId="43" applyNumberFormat="1" applyFont="1" applyBorder="1"/>
    <xf numFmtId="9" fontId="50" fillId="0" borderId="0" xfId="4" applyFont="1" applyAlignment="1">
      <alignment wrapText="1"/>
    </xf>
    <xf numFmtId="1" fontId="50" fillId="0" borderId="0" xfId="4" applyNumberFormat="1" applyFont="1" applyFill="1"/>
    <xf numFmtId="9" fontId="50" fillId="3" borderId="4" xfId="4" applyFont="1" applyFill="1" applyBorder="1" applyAlignment="1">
      <alignment wrapText="1"/>
    </xf>
    <xf numFmtId="9" fontId="55" fillId="4" borderId="4" xfId="4" applyFont="1" applyFill="1" applyBorder="1"/>
    <xf numFmtId="9" fontId="50" fillId="0" borderId="7" xfId="4" applyFont="1" applyFill="1" applyBorder="1"/>
    <xf numFmtId="9" fontId="50" fillId="0" borderId="27" xfId="4" applyFont="1" applyFill="1" applyBorder="1"/>
    <xf numFmtId="9" fontId="55" fillId="4" borderId="7" xfId="4" applyFont="1" applyFill="1" applyBorder="1"/>
    <xf numFmtId="9" fontId="50" fillId="0" borderId="7" xfId="4" applyFont="1" applyBorder="1"/>
    <xf numFmtId="9" fontId="50" fillId="0" borderId="8" xfId="4" applyFont="1" applyFill="1" applyBorder="1"/>
    <xf numFmtId="9" fontId="50" fillId="0" borderId="8" xfId="4" applyFont="1" applyFill="1" applyBorder="1" applyAlignment="1">
      <alignment wrapText="1"/>
    </xf>
    <xf numFmtId="9" fontId="50" fillId="0" borderId="43" xfId="4" applyFont="1" applyBorder="1"/>
    <xf numFmtId="9" fontId="50" fillId="4" borderId="7" xfId="4" applyFont="1" applyFill="1" applyBorder="1" applyAlignment="1">
      <alignment wrapText="1"/>
    </xf>
    <xf numFmtId="9" fontId="50" fillId="0" borderId="7" xfId="4" applyFont="1" applyFill="1" applyBorder="1" applyAlignment="1">
      <alignment wrapText="1"/>
    </xf>
    <xf numFmtId="9" fontId="50" fillId="0" borderId="43" xfId="4" applyFont="1" applyFill="1" applyBorder="1"/>
    <xf numFmtId="9" fontId="50" fillId="0" borderId="57" xfId="4" applyFont="1" applyFill="1" applyBorder="1" applyAlignment="1">
      <alignment wrapText="1"/>
    </xf>
    <xf numFmtId="3" fontId="50" fillId="7" borderId="7" xfId="43" applyNumberFormat="1" applyFont="1" applyFill="1" applyBorder="1" applyAlignment="1">
      <alignment wrapText="1"/>
    </xf>
    <xf numFmtId="9" fontId="61" fillId="8" borderId="7" xfId="4" applyFont="1" applyFill="1" applyBorder="1" applyAlignment="1">
      <alignment wrapText="1"/>
    </xf>
    <xf numFmtId="3" fontId="61" fillId="9" borderId="7" xfId="43" applyNumberFormat="1" applyFont="1" applyFill="1" applyBorder="1"/>
    <xf numFmtId="9" fontId="61" fillId="9" borderId="7" xfId="4" applyFont="1" applyFill="1" applyBorder="1"/>
    <xf numFmtId="9" fontId="50" fillId="0" borderId="57" xfId="4" applyFont="1" applyFill="1" applyBorder="1"/>
    <xf numFmtId="9" fontId="50" fillId="0" borderId="73" xfId="4" applyFont="1" applyFill="1" applyBorder="1"/>
    <xf numFmtId="9" fontId="50" fillId="0" borderId="43" xfId="4" applyFont="1" applyFill="1" applyBorder="1" applyAlignment="1">
      <alignment wrapText="1"/>
    </xf>
    <xf numFmtId="9" fontId="50" fillId="3" borderId="7" xfId="4" applyFont="1" applyFill="1" applyBorder="1" applyAlignment="1">
      <alignment wrapText="1"/>
    </xf>
    <xf numFmtId="9" fontId="50" fillId="5" borderId="7" xfId="4" applyFont="1" applyFill="1" applyBorder="1" applyAlignment="1">
      <alignment wrapText="1"/>
    </xf>
    <xf numFmtId="9" fontId="50" fillId="0" borderId="29" xfId="4" applyFont="1" applyFill="1" applyBorder="1"/>
    <xf numFmtId="9" fontId="50" fillId="0" borderId="24" xfId="4" applyFont="1" applyFill="1" applyBorder="1" applyAlignment="1">
      <alignment wrapText="1"/>
    </xf>
    <xf numFmtId="9" fontId="50" fillId="0" borderId="26" xfId="4" applyFont="1" applyFill="1" applyBorder="1"/>
    <xf numFmtId="9" fontId="50" fillId="0" borderId="28" xfId="4" applyFont="1" applyFill="1" applyBorder="1"/>
    <xf numFmtId="9" fontId="50" fillId="0" borderId="42" xfId="4" applyFont="1" applyFill="1" applyBorder="1"/>
    <xf numFmtId="9" fontId="50" fillId="0" borderId="59" xfId="4" applyFont="1" applyFill="1" applyBorder="1"/>
    <xf numFmtId="9" fontId="50" fillId="0" borderId="69" xfId="4" applyFont="1" applyFill="1" applyBorder="1"/>
    <xf numFmtId="1" fontId="50" fillId="0" borderId="7" xfId="4" applyNumberFormat="1" applyFont="1" applyFill="1" applyBorder="1"/>
    <xf numFmtId="9" fontId="55" fillId="0" borderId="3" xfId="4" applyFont="1" applyBorder="1"/>
    <xf numFmtId="9" fontId="55" fillId="0" borderId="11" xfId="4" applyFont="1" applyFill="1" applyBorder="1"/>
    <xf numFmtId="3" fontId="50" fillId="0" borderId="65" xfId="43" applyNumberFormat="1" applyFont="1" applyBorder="1"/>
    <xf numFmtId="9" fontId="50" fillId="0" borderId="60" xfId="4" applyFont="1" applyFill="1" applyBorder="1" applyAlignment="1">
      <alignment wrapText="1"/>
    </xf>
    <xf numFmtId="3" fontId="50" fillId="0" borderId="41" xfId="43" applyNumberFormat="1" applyFont="1" applyBorder="1"/>
    <xf numFmtId="9" fontId="50" fillId="0" borderId="46" xfId="4" applyFont="1" applyFill="1" applyBorder="1"/>
    <xf numFmtId="9" fontId="50" fillId="0" borderId="60" xfId="4" applyFont="1" applyFill="1" applyBorder="1"/>
    <xf numFmtId="3" fontId="50" fillId="0" borderId="55" xfId="43" applyNumberFormat="1" applyFont="1" applyBorder="1"/>
    <xf numFmtId="9" fontId="55" fillId="0" borderId="11" xfId="4" applyFont="1" applyBorder="1"/>
    <xf numFmtId="9" fontId="55" fillId="4" borderId="12" xfId="4" applyFont="1" applyFill="1" applyBorder="1"/>
    <xf numFmtId="9" fontId="50" fillId="3" borderId="7" xfId="4" applyFont="1" applyFill="1" applyBorder="1"/>
    <xf numFmtId="9" fontId="50" fillId="3" borderId="27" xfId="4" applyFont="1" applyFill="1" applyBorder="1" applyAlignment="1">
      <alignment wrapText="1"/>
    </xf>
    <xf numFmtId="3" fontId="50" fillId="3" borderId="43" xfId="43" applyNumberFormat="1" applyFont="1" applyFill="1" applyBorder="1"/>
    <xf numFmtId="9" fontId="50" fillId="3" borderId="43" xfId="4" applyFont="1" applyFill="1" applyBorder="1" applyAlignment="1">
      <alignment wrapText="1"/>
    </xf>
    <xf numFmtId="9" fontId="50" fillId="3" borderId="57" xfId="4" applyFont="1" applyFill="1" applyBorder="1"/>
    <xf numFmtId="9" fontId="50" fillId="0" borderId="7" xfId="4" applyFont="1" applyBorder="1" applyAlignment="1">
      <alignment wrapText="1"/>
    </xf>
    <xf numFmtId="9" fontId="50" fillId="0" borderId="43" xfId="4" applyFont="1" applyBorder="1" applyAlignment="1">
      <alignment wrapText="1"/>
    </xf>
    <xf numFmtId="9" fontId="50" fillId="0" borderId="57" xfId="4" applyFont="1" applyBorder="1" applyAlignment="1">
      <alignment wrapText="1"/>
    </xf>
    <xf numFmtId="9" fontId="55" fillId="3" borderId="7" xfId="4" applyFont="1" applyFill="1" applyBorder="1"/>
    <xf numFmtId="9" fontId="50" fillId="0" borderId="22" xfId="4" applyFont="1" applyBorder="1" applyAlignment="1">
      <alignment wrapText="1"/>
    </xf>
    <xf numFmtId="9" fontId="50" fillId="0" borderId="25" xfId="4" applyFont="1" applyBorder="1" applyAlignment="1">
      <alignment wrapText="1"/>
    </xf>
    <xf numFmtId="9" fontId="63" fillId="3" borderId="7" xfId="4" applyFont="1" applyFill="1" applyBorder="1" applyAlignment="1">
      <alignment wrapText="1"/>
    </xf>
    <xf numFmtId="9" fontId="63" fillId="3" borderId="27" xfId="4" applyFont="1" applyFill="1" applyBorder="1" applyAlignment="1">
      <alignment wrapText="1"/>
    </xf>
    <xf numFmtId="9" fontId="50" fillId="5" borderId="7" xfId="4" applyFont="1" applyFill="1" applyBorder="1"/>
    <xf numFmtId="9" fontId="50" fillId="5" borderId="57" xfId="4" applyFont="1" applyFill="1" applyBorder="1" applyAlignment="1">
      <alignment wrapText="1"/>
    </xf>
    <xf numFmtId="9" fontId="50" fillId="5" borderId="43" xfId="4" applyFont="1" applyFill="1" applyBorder="1"/>
    <xf numFmtId="3" fontId="50" fillId="6" borderId="43" xfId="43" applyNumberFormat="1" applyFont="1" applyFill="1" applyBorder="1"/>
    <xf numFmtId="9" fontId="50" fillId="0" borderId="23" xfId="4" applyFont="1" applyFill="1" applyBorder="1"/>
    <xf numFmtId="9" fontId="61" fillId="0" borderId="7" xfId="4" applyFont="1" applyFill="1" applyBorder="1" applyAlignment="1">
      <alignment wrapText="1"/>
    </xf>
    <xf numFmtId="9" fontId="50" fillId="3" borderId="57" xfId="4" applyFont="1" applyFill="1" applyBorder="1" applyAlignment="1">
      <alignment wrapText="1"/>
    </xf>
    <xf numFmtId="9" fontId="50" fillId="3" borderId="23" xfId="4" applyFont="1" applyFill="1" applyBorder="1" applyAlignment="1">
      <alignment wrapText="1"/>
    </xf>
    <xf numFmtId="9" fontId="55" fillId="0" borderId="13" xfId="4" applyFont="1" applyBorder="1"/>
    <xf numFmtId="9" fontId="50" fillId="0" borderId="14" xfId="4" applyFont="1" applyBorder="1"/>
    <xf numFmtId="9" fontId="55" fillId="4" borderId="17" xfId="4" applyFont="1" applyFill="1" applyBorder="1"/>
    <xf numFmtId="9" fontId="108" fillId="0" borderId="3" xfId="4" applyFont="1" applyBorder="1" applyAlignment="1">
      <alignment horizontal="center" vertical="center" wrapText="1"/>
    </xf>
    <xf numFmtId="0" fontId="50" fillId="6" borderId="72" xfId="43" applyFont="1" applyFill="1" applyBorder="1" applyAlignment="1">
      <alignment horizontal="left" indent="2"/>
    </xf>
    <xf numFmtId="3" fontId="50" fillId="0" borderId="69" xfId="43" applyNumberFormat="1" applyFont="1" applyBorder="1"/>
    <xf numFmtId="9" fontId="50" fillId="0" borderId="73" xfId="4" applyFont="1" applyBorder="1" applyAlignment="1">
      <alignment wrapText="1"/>
    </xf>
    <xf numFmtId="9" fontId="50" fillId="3" borderId="7" xfId="4" quotePrefix="1" applyFont="1" applyFill="1" applyBorder="1" applyAlignment="1">
      <alignment wrapText="1"/>
    </xf>
    <xf numFmtId="9" fontId="50" fillId="0" borderId="43" xfId="4" quotePrefix="1" applyFont="1" applyBorder="1" applyAlignment="1">
      <alignment wrapText="1"/>
    </xf>
    <xf numFmtId="166" fontId="50" fillId="0" borderId="0" xfId="1" applyNumberFormat="1" applyFont="1" applyAlignment="1">
      <alignment wrapText="1"/>
    </xf>
    <xf numFmtId="166" fontId="50" fillId="0" borderId="59" xfId="1" applyNumberFormat="1" applyFont="1" applyBorder="1"/>
    <xf numFmtId="166" fontId="50" fillId="0" borderId="69" xfId="1" applyNumberFormat="1" applyFont="1" applyBorder="1"/>
    <xf numFmtId="0" fontId="14" fillId="10" borderId="0" xfId="43" applyFont="1" applyFill="1"/>
    <xf numFmtId="9" fontId="55" fillId="4" borderId="7" xfId="2" applyFont="1" applyFill="1" applyBorder="1"/>
    <xf numFmtId="9" fontId="50" fillId="0" borderId="7" xfId="2" applyFont="1" applyFill="1" applyBorder="1"/>
    <xf numFmtId="9" fontId="55" fillId="0" borderId="3" xfId="2" applyFont="1" applyBorder="1" applyAlignment="1">
      <alignment horizontal="center" vertical="center" wrapText="1"/>
    </xf>
    <xf numFmtId="9" fontId="55" fillId="3" borderId="4" xfId="2" applyFont="1" applyFill="1" applyBorder="1"/>
    <xf numFmtId="9" fontId="55" fillId="4" borderId="4" xfId="2" applyFont="1" applyFill="1" applyBorder="1"/>
    <xf numFmtId="9" fontId="50" fillId="0" borderId="7" xfId="2" applyFont="1" applyBorder="1"/>
    <xf numFmtId="9" fontId="50" fillId="0" borderId="43" xfId="2" applyFont="1" applyFill="1" applyBorder="1"/>
    <xf numFmtId="9" fontId="50" fillId="7" borderId="7" xfId="2" applyFont="1" applyFill="1" applyBorder="1"/>
    <xf numFmtId="9" fontId="61" fillId="8" borderId="7" xfId="2" applyFont="1" applyFill="1" applyBorder="1"/>
    <xf numFmtId="9" fontId="50" fillId="0" borderId="73" xfId="2" applyFont="1" applyFill="1" applyBorder="1"/>
    <xf numFmtId="9" fontId="50" fillId="0" borderId="27" xfId="2" applyFont="1" applyFill="1" applyBorder="1"/>
    <xf numFmtId="9" fontId="50" fillId="14" borderId="57" xfId="2" applyFont="1" applyFill="1" applyBorder="1"/>
    <xf numFmtId="9" fontId="50" fillId="3" borderId="7" xfId="2" applyFont="1" applyFill="1" applyBorder="1"/>
    <xf numFmtId="9" fontId="50" fillId="0" borderId="57" xfId="2" applyFont="1" applyFill="1" applyBorder="1"/>
    <xf numFmtId="9" fontId="55" fillId="0" borderId="3" xfId="2" applyFont="1" applyBorder="1"/>
    <xf numFmtId="9" fontId="55" fillId="0" borderId="11" xfId="2" applyFont="1" applyFill="1" applyBorder="1"/>
    <xf numFmtId="9" fontId="50" fillId="0" borderId="59" xfId="2" applyFont="1" applyFill="1" applyBorder="1"/>
    <xf numFmtId="9" fontId="50" fillId="0" borderId="42" xfId="2" applyFont="1" applyFill="1" applyBorder="1"/>
    <xf numFmtId="9" fontId="55" fillId="0" borderId="11" xfId="2" applyFont="1" applyBorder="1"/>
    <xf numFmtId="9" fontId="50" fillId="0" borderId="0" xfId="2" applyFont="1" applyAlignment="1">
      <alignment wrapText="1"/>
    </xf>
    <xf numFmtId="9" fontId="55" fillId="4" borderId="42" xfId="2" applyFont="1" applyFill="1" applyBorder="1"/>
    <xf numFmtId="9" fontId="50" fillId="0" borderId="0" xfId="2" applyFont="1"/>
    <xf numFmtId="9" fontId="55" fillId="4" borderId="12" xfId="2" applyFont="1" applyFill="1" applyBorder="1"/>
    <xf numFmtId="9" fontId="55" fillId="3" borderId="7" xfId="2" applyFont="1" applyFill="1" applyBorder="1"/>
    <xf numFmtId="9" fontId="50" fillId="19" borderId="43" xfId="2" applyFont="1" applyFill="1" applyBorder="1"/>
    <xf numFmtId="9" fontId="50" fillId="3" borderId="27" xfId="2" applyFont="1" applyFill="1" applyBorder="1"/>
    <xf numFmtId="9" fontId="50" fillId="5" borderId="7" xfId="2" applyFont="1" applyFill="1" applyBorder="1"/>
    <xf numFmtId="9" fontId="50" fillId="5" borderId="43" xfId="2" applyFont="1" applyFill="1" applyBorder="1"/>
    <xf numFmtId="9" fontId="50" fillId="11" borderId="7" xfId="2" applyFont="1" applyFill="1" applyBorder="1"/>
    <xf numFmtId="9" fontId="50" fillId="3" borderId="57" xfId="2" applyFont="1" applyFill="1" applyBorder="1"/>
    <xf numFmtId="9" fontId="50" fillId="6" borderId="7" xfId="2" applyFont="1" applyFill="1" applyBorder="1"/>
    <xf numFmtId="9" fontId="55" fillId="0" borderId="7" xfId="2" applyFont="1" applyFill="1" applyBorder="1"/>
    <xf numFmtId="9" fontId="55" fillId="0" borderId="14" xfId="2" applyFont="1" applyBorder="1"/>
    <xf numFmtId="9" fontId="55" fillId="4" borderId="17" xfId="2" applyFont="1" applyFill="1" applyBorder="1"/>
    <xf numFmtId="0" fontId="116" fillId="5" borderId="0" xfId="0" applyFont="1" applyFill="1"/>
    <xf numFmtId="0" fontId="76" fillId="5" borderId="0" xfId="0" applyFont="1" applyFill="1"/>
    <xf numFmtId="0" fontId="76" fillId="52" borderId="0" xfId="0" applyFont="1" applyFill="1"/>
    <xf numFmtId="0" fontId="116" fillId="52" borderId="19" xfId="0" applyFont="1" applyFill="1" applyBorder="1"/>
    <xf numFmtId="0" fontId="116" fillId="53" borderId="19" xfId="0" applyFont="1" applyFill="1" applyBorder="1"/>
    <xf numFmtId="0" fontId="116" fillId="5" borderId="67" xfId="0" applyFont="1" applyFill="1" applyBorder="1"/>
    <xf numFmtId="0" fontId="116" fillId="5" borderId="67" xfId="0" applyFont="1" applyFill="1" applyBorder="1" applyAlignment="1">
      <alignment horizontal="center" wrapText="1"/>
    </xf>
    <xf numFmtId="3" fontId="116" fillId="5" borderId="0" xfId="0" applyNumberFormat="1" applyFont="1" applyFill="1"/>
    <xf numFmtId="9" fontId="116" fillId="5" borderId="0" xfId="2" applyFont="1" applyFill="1"/>
    <xf numFmtId="3" fontId="76" fillId="5" borderId="0" xfId="0" applyNumberFormat="1" applyFont="1" applyFill="1"/>
    <xf numFmtId="9" fontId="76" fillId="5" borderId="0" xfId="2" applyFont="1" applyFill="1"/>
    <xf numFmtId="0" fontId="76" fillId="18" borderId="0" xfId="0" applyFont="1" applyFill="1" applyAlignment="1">
      <alignment horizontal="left" indent="2"/>
    </xf>
    <xf numFmtId="3" fontId="76" fillId="18" borderId="0" xfId="0" applyNumberFormat="1" applyFont="1" applyFill="1"/>
    <xf numFmtId="9" fontId="76" fillId="18" borderId="0" xfId="2" applyFont="1" applyFill="1"/>
    <xf numFmtId="0" fontId="57" fillId="5" borderId="0" xfId="0" applyFont="1" applyFill="1"/>
    <xf numFmtId="0" fontId="57" fillId="18" borderId="0" xfId="0" applyFont="1" applyFill="1" applyAlignment="1">
      <alignment horizontal="left" indent="2"/>
    </xf>
    <xf numFmtId="0" fontId="76" fillId="5" borderId="0" xfId="0" applyFont="1" applyFill="1" applyAlignment="1">
      <alignment horizontal="left" indent="1"/>
    </xf>
    <xf numFmtId="0" fontId="75" fillId="5" borderId="0" xfId="0" applyFont="1" applyFill="1"/>
    <xf numFmtId="0" fontId="116" fillId="5" borderId="67" xfId="0" applyFont="1" applyFill="1" applyBorder="1" applyAlignment="1">
      <alignment wrapText="1"/>
    </xf>
    <xf numFmtId="3" fontId="116" fillId="5" borderId="0" xfId="0" applyNumberFormat="1" applyFont="1" applyFill="1" applyAlignment="1">
      <alignment wrapText="1"/>
    </xf>
    <xf numFmtId="167" fontId="116" fillId="5" borderId="0" xfId="2" applyNumberFormat="1" applyFont="1" applyFill="1"/>
    <xf numFmtId="167" fontId="76" fillId="5" borderId="0" xfId="2" applyNumberFormat="1" applyFont="1" applyFill="1"/>
    <xf numFmtId="0" fontId="76" fillId="50" borderId="0" xfId="0" applyFont="1" applyFill="1"/>
    <xf numFmtId="10" fontId="76" fillId="5" borderId="0" xfId="2" applyNumberFormat="1" applyFont="1" applyFill="1"/>
    <xf numFmtId="171" fontId="76" fillId="5" borderId="0" xfId="1" applyNumberFormat="1" applyFont="1" applyFill="1"/>
    <xf numFmtId="0" fontId="76" fillId="5" borderId="67" xfId="0" applyFont="1" applyFill="1" applyBorder="1"/>
    <xf numFmtId="171" fontId="76" fillId="5" borderId="67" xfId="1" applyNumberFormat="1" applyFont="1" applyFill="1" applyBorder="1"/>
    <xf numFmtId="9" fontId="76" fillId="5" borderId="67" xfId="2" applyFont="1" applyFill="1" applyBorder="1"/>
    <xf numFmtId="171" fontId="116" fillId="5" borderId="0" xfId="0" applyNumberFormat="1" applyFont="1" applyFill="1"/>
    <xf numFmtId="171" fontId="116" fillId="5" borderId="0" xfId="1" applyNumberFormat="1" applyFont="1" applyFill="1"/>
    <xf numFmtId="3" fontId="57" fillId="5" borderId="0" xfId="0" applyNumberFormat="1" applyFont="1" applyFill="1"/>
    <xf numFmtId="3" fontId="57" fillId="5" borderId="67" xfId="0" applyNumberFormat="1" applyFont="1" applyFill="1" applyBorder="1"/>
    <xf numFmtId="3" fontId="74" fillId="5" borderId="0" xfId="0" applyNumberFormat="1" applyFont="1" applyFill="1"/>
    <xf numFmtId="174" fontId="75" fillId="5" borderId="0" xfId="0" applyNumberFormat="1" applyFont="1" applyFill="1"/>
    <xf numFmtId="0" fontId="76" fillId="18" borderId="0" xfId="0" applyFont="1" applyFill="1"/>
    <xf numFmtId="0" fontId="117" fillId="18" borderId="0" xfId="0" applyFont="1" applyFill="1"/>
    <xf numFmtId="3" fontId="76" fillId="18" borderId="0" xfId="0" applyNumberFormat="1" applyFont="1" applyFill="1" applyAlignment="1">
      <alignment horizontal="left" indent="2"/>
    </xf>
    <xf numFmtId="9" fontId="76" fillId="18" borderId="0" xfId="2" applyFont="1" applyFill="1" applyAlignment="1">
      <alignment horizontal="left" indent="2"/>
    </xf>
    <xf numFmtId="171" fontId="75" fillId="18" borderId="0" xfId="1" applyNumberFormat="1" applyFont="1" applyFill="1"/>
    <xf numFmtId="171" fontId="76" fillId="18" borderId="0" xfId="1" applyNumberFormat="1" applyFont="1" applyFill="1"/>
    <xf numFmtId="0" fontId="119" fillId="18" borderId="0" xfId="0" applyFont="1" applyFill="1"/>
    <xf numFmtId="0" fontId="120" fillId="18" borderId="0" xfId="0" applyFont="1" applyFill="1"/>
    <xf numFmtId="166" fontId="76" fillId="5" borderId="0" xfId="1" applyNumberFormat="1" applyFont="1" applyFill="1"/>
    <xf numFmtId="9" fontId="52" fillId="0" borderId="57" xfId="4" applyFont="1" applyFill="1" applyBorder="1" applyAlignment="1">
      <alignment wrapText="1"/>
    </xf>
    <xf numFmtId="9" fontId="52" fillId="3" borderId="7" xfId="4" applyFont="1" applyFill="1" applyBorder="1"/>
    <xf numFmtId="9" fontId="52" fillId="0" borderId="60" xfId="4" applyFont="1" applyFill="1" applyBorder="1"/>
    <xf numFmtId="3" fontId="58" fillId="4" borderId="7" xfId="43" applyNumberFormat="1" applyFont="1" applyFill="1" applyBorder="1"/>
    <xf numFmtId="3" fontId="52" fillId="3" borderId="7" xfId="43" applyNumberFormat="1" applyFont="1" applyFill="1" applyBorder="1"/>
    <xf numFmtId="3" fontId="52" fillId="0" borderId="57" xfId="43" applyNumberFormat="1" applyFont="1" applyBorder="1"/>
    <xf numFmtId="3" fontId="52" fillId="0" borderId="0" xfId="43" applyNumberFormat="1" applyFont="1"/>
    <xf numFmtId="166" fontId="58" fillId="0" borderId="0" xfId="1" applyNumberFormat="1" applyFont="1"/>
    <xf numFmtId="3" fontId="52" fillId="0" borderId="43" xfId="43" applyNumberFormat="1" applyFont="1" applyBorder="1"/>
    <xf numFmtId="3" fontId="52" fillId="0" borderId="73" xfId="43" applyNumberFormat="1" applyFont="1" applyBorder="1"/>
    <xf numFmtId="3" fontId="58" fillId="0" borderId="11" xfId="43" applyNumberFormat="1" applyFont="1" applyBorder="1"/>
    <xf numFmtId="3" fontId="52" fillId="0" borderId="69" xfId="43" applyNumberFormat="1" applyFont="1" applyBorder="1"/>
    <xf numFmtId="10" fontId="52" fillId="0" borderId="0" xfId="9" applyNumberFormat="1" applyFont="1"/>
    <xf numFmtId="3" fontId="58" fillId="3" borderId="7" xfId="43" applyNumberFormat="1" applyFont="1" applyFill="1" applyBorder="1"/>
    <xf numFmtId="3" fontId="52" fillId="11" borderId="7" xfId="43" applyNumberFormat="1" applyFont="1" applyFill="1" applyBorder="1"/>
    <xf numFmtId="0" fontId="50" fillId="6" borderId="47" xfId="43" applyFont="1" applyFill="1" applyBorder="1" applyAlignment="1">
      <alignment horizontal="left" wrapText="1" indent="2"/>
    </xf>
    <xf numFmtId="49" fontId="50" fillId="0" borderId="47" xfId="43" applyNumberFormat="1" applyFont="1" applyBorder="1" applyAlignment="1">
      <alignment horizontal="left" wrapText="1" indent="4"/>
    </xf>
    <xf numFmtId="0" fontId="50" fillId="3" borderId="47" xfId="43" applyFont="1" applyFill="1" applyBorder="1" applyAlignment="1">
      <alignment horizontal="left" wrapText="1" indent="2"/>
    </xf>
    <xf numFmtId="49" fontId="50" fillId="0" borderId="47" xfId="43" applyNumberFormat="1" applyFont="1" applyBorder="1" applyAlignment="1">
      <alignment horizontal="left" wrapText="1" indent="2"/>
    </xf>
    <xf numFmtId="0" fontId="50" fillId="5" borderId="48" xfId="43" applyFont="1" applyFill="1" applyBorder="1" applyAlignment="1">
      <alignment horizontal="left" indent="3"/>
    </xf>
    <xf numFmtId="49" fontId="50" fillId="3" borderId="47" xfId="43" applyNumberFormat="1" applyFont="1" applyFill="1" applyBorder="1" applyAlignment="1">
      <alignment horizontal="left" wrapText="1" indent="2"/>
    </xf>
    <xf numFmtId="0" fontId="3" fillId="0" borderId="0" xfId="43" applyFont="1"/>
    <xf numFmtId="0" fontId="50" fillId="51" borderId="47" xfId="43" applyFont="1" applyFill="1" applyBorder="1" applyAlignment="1">
      <alignment horizontal="left" wrapText="1" indent="2"/>
    </xf>
    <xf numFmtId="49" fontId="50" fillId="3" borderId="56" xfId="43" applyNumberFormat="1" applyFont="1" applyFill="1" applyBorder="1" applyAlignment="1">
      <alignment horizontal="left" wrapText="1" indent="2"/>
    </xf>
    <xf numFmtId="0" fontId="50" fillId="0" borderId="62" xfId="43" applyFont="1" applyBorder="1" applyAlignment="1">
      <alignment horizontal="left" wrapText="1" indent="2"/>
    </xf>
    <xf numFmtId="49" fontId="50" fillId="3" borderId="66" xfId="43" applyNumberFormat="1" applyFont="1" applyFill="1" applyBorder="1" applyAlignment="1">
      <alignment horizontal="left" wrapText="1" indent="2"/>
    </xf>
    <xf numFmtId="49" fontId="50" fillId="3" borderId="62" xfId="43" applyNumberFormat="1" applyFont="1" applyFill="1" applyBorder="1" applyAlignment="1">
      <alignment horizontal="left" wrapText="1" indent="2"/>
    </xf>
    <xf numFmtId="3" fontId="63" fillId="0" borderId="43" xfId="43" applyNumberFormat="1" applyFont="1" applyBorder="1"/>
    <xf numFmtId="0" fontId="50" fillId="5" borderId="50" xfId="43" applyFont="1" applyFill="1" applyBorder="1" applyAlignment="1">
      <alignment horizontal="left" indent="3"/>
    </xf>
    <xf numFmtId="0" fontId="50" fillId="0" borderId="48" xfId="43" applyFont="1" applyBorder="1" applyAlignment="1">
      <alignment horizontal="left" indent="3"/>
    </xf>
    <xf numFmtId="49" fontId="55" fillId="4" borderId="47" xfId="43" applyNumberFormat="1" applyFont="1" applyFill="1" applyBorder="1" applyAlignment="1">
      <alignment wrapText="1"/>
    </xf>
    <xf numFmtId="0" fontId="50" fillId="5" borderId="47" xfId="43" applyFont="1" applyFill="1" applyBorder="1" applyAlignment="1">
      <alignment horizontal="left" wrapText="1" indent="3"/>
    </xf>
    <xf numFmtId="0" fontId="50" fillId="0" borderId="47" xfId="43" applyFont="1" applyBorder="1" applyAlignment="1">
      <alignment horizontal="left" wrapText="1" indent="3"/>
    </xf>
    <xf numFmtId="0" fontId="50" fillId="5" borderId="79" xfId="43" applyFont="1" applyFill="1" applyBorder="1" applyAlignment="1">
      <alignment horizontal="left" wrapText="1" indent="3"/>
    </xf>
    <xf numFmtId="9" fontId="50" fillId="0" borderId="73" xfId="4" applyFont="1" applyFill="1" applyBorder="1" applyAlignment="1">
      <alignment wrapText="1"/>
    </xf>
    <xf numFmtId="0" fontId="50" fillId="0" borderId="56" xfId="43" applyFont="1" applyBorder="1" applyAlignment="1">
      <alignment horizontal="left" wrapText="1" indent="3"/>
    </xf>
    <xf numFmtId="0" fontId="50" fillId="0" borderId="79" xfId="43" applyFont="1" applyBorder="1" applyAlignment="1">
      <alignment horizontal="left" wrapText="1" indent="3"/>
    </xf>
    <xf numFmtId="9" fontId="50" fillId="0" borderId="76" xfId="4" applyFont="1" applyFill="1" applyBorder="1"/>
    <xf numFmtId="9" fontId="50" fillId="3" borderId="73" xfId="4" applyFont="1" applyFill="1" applyBorder="1" applyAlignment="1">
      <alignment wrapText="1"/>
    </xf>
    <xf numFmtId="9" fontId="50" fillId="3" borderId="73" xfId="2" applyFont="1" applyFill="1" applyBorder="1"/>
    <xf numFmtId="49" fontId="55" fillId="3" borderId="47" xfId="43" applyNumberFormat="1" applyFont="1" applyFill="1" applyBorder="1" applyAlignment="1">
      <alignment horizontal="left" wrapText="1" indent="2"/>
    </xf>
    <xf numFmtId="49" fontId="50" fillId="0" borderId="65" xfId="43" applyNumberFormat="1" applyFont="1" applyBorder="1" applyAlignment="1">
      <alignment horizontal="left" wrapText="1" indent="4"/>
    </xf>
    <xf numFmtId="0" fontId="50" fillId="51" borderId="47" xfId="43" applyFont="1" applyFill="1" applyBorder="1" applyAlignment="1">
      <alignment horizontal="left" wrapText="1" indent="3"/>
    </xf>
    <xf numFmtId="49" fontId="50" fillId="0" borderId="66" xfId="43" applyNumberFormat="1" applyFont="1" applyBorder="1" applyAlignment="1">
      <alignment horizontal="left" wrapText="1" indent="4"/>
    </xf>
    <xf numFmtId="49" fontId="50" fillId="16" borderId="51" xfId="43" applyNumberFormat="1" applyFont="1" applyFill="1" applyBorder="1" applyAlignment="1">
      <alignment horizontal="left" wrapText="1" indent="4"/>
    </xf>
    <xf numFmtId="166" fontId="50" fillId="0" borderId="66" xfId="1" applyNumberFormat="1" applyFont="1" applyBorder="1"/>
    <xf numFmtId="0" fontId="50" fillId="5" borderId="66" xfId="43" applyFont="1" applyFill="1" applyBorder="1" applyAlignment="1">
      <alignment horizontal="left" wrapText="1" indent="3"/>
    </xf>
    <xf numFmtId="49" fontId="50" fillId="0" borderId="63" xfId="43" applyNumberFormat="1" applyFont="1" applyBorder="1" applyAlignment="1">
      <alignment horizontal="left" wrapText="1" indent="4"/>
    </xf>
    <xf numFmtId="166" fontId="50" fillId="0" borderId="71" xfId="1" applyNumberFormat="1" applyFont="1" applyBorder="1"/>
    <xf numFmtId="49" fontId="50" fillId="0" borderId="72" xfId="43" applyNumberFormat="1" applyFont="1" applyBorder="1" applyAlignment="1">
      <alignment horizontal="left" indent="2"/>
    </xf>
    <xf numFmtId="49" fontId="50" fillId="0" borderId="79" xfId="43" applyNumberFormat="1" applyFont="1" applyBorder="1" applyAlignment="1">
      <alignment horizontal="left" wrapText="1" indent="4"/>
    </xf>
    <xf numFmtId="0" fontId="50" fillId="0" borderId="56" xfId="43" applyFont="1" applyBorder="1" applyAlignment="1">
      <alignment horizontal="left" wrapText="1" indent="2"/>
    </xf>
    <xf numFmtId="49" fontId="55" fillId="3" borderId="56" xfId="43" applyNumberFormat="1" applyFont="1" applyFill="1" applyBorder="1" applyAlignment="1">
      <alignment horizontal="left" wrapText="1" indent="2"/>
    </xf>
    <xf numFmtId="49" fontId="50" fillId="0" borderId="62" xfId="43" applyNumberFormat="1" applyFont="1" applyBorder="1" applyAlignment="1">
      <alignment horizontal="left" wrapText="1" indent="4"/>
    </xf>
    <xf numFmtId="0" fontId="50" fillId="5" borderId="47" xfId="43" applyFont="1" applyFill="1" applyBorder="1" applyAlignment="1">
      <alignment horizontal="left" indent="2"/>
    </xf>
    <xf numFmtId="0" fontId="63" fillId="5" borderId="66" xfId="43" applyFont="1" applyFill="1" applyBorder="1" applyAlignment="1">
      <alignment horizontal="left" wrapText="1" indent="6"/>
    </xf>
    <xf numFmtId="0" fontId="63" fillId="0" borderId="0" xfId="43" applyFont="1"/>
    <xf numFmtId="49" fontId="55" fillId="4" borderId="40" xfId="43" applyNumberFormat="1" applyFont="1" applyFill="1" applyBorder="1" applyAlignment="1">
      <alignment wrapText="1"/>
    </xf>
    <xf numFmtId="49" fontId="50" fillId="0" borderId="62" xfId="43" applyNumberFormat="1" applyFont="1" applyBorder="1" applyAlignment="1">
      <alignment horizontal="left" wrapText="1" indent="2"/>
    </xf>
    <xf numFmtId="0" fontId="55" fillId="4" borderId="51" xfId="43" applyFont="1" applyFill="1" applyBorder="1" applyAlignment="1">
      <alignment wrapText="1"/>
    </xf>
    <xf numFmtId="49" fontId="50" fillId="6" borderId="47" xfId="43" applyNumberFormat="1" applyFont="1" applyFill="1" applyBorder="1" applyAlignment="1">
      <alignment horizontal="left" wrapText="1" indent="4"/>
    </xf>
    <xf numFmtId="49" fontId="55" fillId="0" borderId="47" xfId="43" applyNumberFormat="1" applyFont="1" applyBorder="1" applyAlignment="1">
      <alignment horizontal="left" wrapText="1" indent="4"/>
    </xf>
    <xf numFmtId="49" fontId="50" fillId="0" borderId="56" xfId="43" applyNumberFormat="1" applyFont="1" applyBorder="1" applyAlignment="1">
      <alignment horizontal="left" wrapText="1" indent="4"/>
    </xf>
    <xf numFmtId="49" fontId="55" fillId="0" borderId="10" xfId="43" applyNumberFormat="1" applyFont="1" applyBorder="1" applyAlignment="1">
      <alignment horizontal="right" wrapText="1"/>
    </xf>
    <xf numFmtId="49" fontId="55" fillId="4" borderId="16" xfId="43" applyNumberFormat="1" applyFont="1" applyFill="1" applyBorder="1" applyAlignment="1">
      <alignment wrapText="1"/>
    </xf>
    <xf numFmtId="0" fontId="55" fillId="0" borderId="20" xfId="43" applyFont="1" applyBorder="1" applyAlignment="1">
      <alignment horizontal="right" wrapText="1"/>
    </xf>
    <xf numFmtId="166" fontId="52" fillId="0" borderId="0" xfId="1" applyNumberFormat="1" applyFont="1" applyAlignment="1">
      <alignment wrapText="1"/>
    </xf>
    <xf numFmtId="166" fontId="52" fillId="0" borderId="57" xfId="1" applyNumberFormat="1" applyFont="1" applyBorder="1"/>
    <xf numFmtId="166" fontId="52" fillId="0" borderId="43" xfId="1" applyNumberFormat="1" applyFont="1" applyBorder="1"/>
    <xf numFmtId="166" fontId="55" fillId="4" borderId="7" xfId="1" applyNumberFormat="1" applyFont="1" applyFill="1" applyBorder="1"/>
    <xf numFmtId="166" fontId="50" fillId="0" borderId="7" xfId="1" applyNumberFormat="1" applyFont="1" applyBorder="1"/>
    <xf numFmtId="166" fontId="55" fillId="4" borderId="4" xfId="1" applyNumberFormat="1" applyFont="1" applyFill="1" applyBorder="1"/>
    <xf numFmtId="166" fontId="61" fillId="8" borderId="7" xfId="1" applyNumberFormat="1" applyFont="1" applyFill="1" applyBorder="1"/>
    <xf numFmtId="166" fontId="50" fillId="7" borderId="7" xfId="1" applyNumberFormat="1" applyFont="1" applyFill="1" applyBorder="1"/>
    <xf numFmtId="166" fontId="50" fillId="0" borderId="73" xfId="1" applyNumberFormat="1" applyFont="1" applyBorder="1"/>
    <xf numFmtId="166" fontId="50" fillId="0" borderId="27" xfId="1" applyNumberFormat="1" applyFont="1" applyBorder="1"/>
    <xf numFmtId="166" fontId="50" fillId="0" borderId="57" xfId="1" applyNumberFormat="1" applyFont="1" applyBorder="1"/>
    <xf numFmtId="166" fontId="50" fillId="0" borderId="43" xfId="1" applyNumberFormat="1" applyFont="1" applyBorder="1"/>
    <xf numFmtId="166" fontId="50" fillId="11" borderId="7" xfId="1" applyNumberFormat="1" applyFont="1" applyFill="1" applyBorder="1"/>
    <xf numFmtId="166" fontId="55" fillId="0" borderId="3" xfId="1" applyNumberFormat="1" applyFont="1" applyBorder="1"/>
    <xf numFmtId="0" fontId="55" fillId="0" borderId="52" xfId="43" applyFont="1" applyBorder="1" applyAlignment="1">
      <alignment wrapText="1"/>
    </xf>
    <xf numFmtId="166" fontId="55" fillId="0" borderId="11" xfId="1" applyNumberFormat="1" applyFont="1" applyBorder="1"/>
    <xf numFmtId="166" fontId="55" fillId="4" borderId="42" xfId="1" applyNumberFormat="1" applyFont="1" applyFill="1" applyBorder="1"/>
    <xf numFmtId="166" fontId="55" fillId="0" borderId="3" xfId="1" applyNumberFormat="1" applyFont="1" applyBorder="1" applyAlignment="1">
      <alignment horizontal="center" vertical="center" wrapText="1"/>
    </xf>
    <xf numFmtId="166" fontId="55" fillId="4" borderId="12" xfId="1" applyNumberFormat="1" applyFont="1" applyFill="1" applyBorder="1"/>
    <xf numFmtId="166" fontId="55" fillId="3" borderId="7" xfId="1" applyNumberFormat="1" applyFont="1" applyFill="1" applyBorder="1"/>
    <xf numFmtId="166" fontId="50" fillId="19" borderId="43" xfId="1" applyNumberFormat="1" applyFont="1" applyFill="1" applyBorder="1"/>
    <xf numFmtId="0" fontId="63" fillId="0" borderId="0" xfId="43" quotePrefix="1" applyFont="1"/>
    <xf numFmtId="166" fontId="63" fillId="19" borderId="57" xfId="1" applyNumberFormat="1" applyFont="1" applyFill="1" applyBorder="1"/>
    <xf numFmtId="9" fontId="63" fillId="0" borderId="57" xfId="4" applyFont="1" applyBorder="1" applyAlignment="1">
      <alignment wrapText="1"/>
    </xf>
    <xf numFmtId="3" fontId="63" fillId="19" borderId="57" xfId="43" applyNumberFormat="1" applyFont="1" applyFill="1" applyBorder="1"/>
    <xf numFmtId="9" fontId="63" fillId="0" borderId="73" xfId="4" applyFont="1" applyBorder="1" applyAlignment="1">
      <alignment wrapText="1"/>
    </xf>
    <xf numFmtId="9" fontId="63" fillId="19" borderId="57" xfId="2" applyFont="1" applyFill="1" applyBorder="1"/>
    <xf numFmtId="3" fontId="79" fillId="19" borderId="57" xfId="43" applyNumberFormat="1" applyFont="1" applyFill="1" applyBorder="1"/>
    <xf numFmtId="166" fontId="50" fillId="0" borderId="7" xfId="1" applyNumberFormat="1" applyFont="1" applyFill="1" applyBorder="1"/>
    <xf numFmtId="166" fontId="50" fillId="3" borderId="27" xfId="1" applyNumberFormat="1" applyFont="1" applyFill="1" applyBorder="1"/>
    <xf numFmtId="166" fontId="50" fillId="5" borderId="43" xfId="1" applyNumberFormat="1" applyFont="1" applyFill="1" applyBorder="1"/>
    <xf numFmtId="166" fontId="50" fillId="3" borderId="57" xfId="1" applyNumberFormat="1" applyFont="1" applyFill="1" applyBorder="1"/>
    <xf numFmtId="166" fontId="55" fillId="0" borderId="7" xfId="1" applyNumberFormat="1" applyFont="1" applyBorder="1"/>
    <xf numFmtId="166" fontId="50" fillId="3" borderId="73" xfId="1" applyNumberFormat="1" applyFont="1" applyFill="1" applyBorder="1"/>
    <xf numFmtId="166" fontId="55" fillId="0" borderId="13" xfId="1" applyNumberFormat="1" applyFont="1" applyBorder="1"/>
    <xf numFmtId="166" fontId="55" fillId="4" borderId="17" xfId="1" applyNumberFormat="1" applyFont="1" applyFill="1" applyBorder="1"/>
    <xf numFmtId="9" fontId="52" fillId="0" borderId="0" xfId="4" applyFont="1" applyAlignment="1">
      <alignment wrapText="1"/>
    </xf>
    <xf numFmtId="1" fontId="52" fillId="0" borderId="0" xfId="4" applyNumberFormat="1" applyFont="1" applyFill="1"/>
    <xf numFmtId="9" fontId="52" fillId="0" borderId="0" xfId="4" applyFont="1"/>
    <xf numFmtId="9" fontId="58" fillId="0" borderId="3" xfId="4" applyFont="1" applyBorder="1" applyAlignment="1">
      <alignment horizontal="center" vertical="center" wrapText="1"/>
    </xf>
    <xf numFmtId="9" fontId="52" fillId="3" borderId="4" xfId="4" applyFont="1" applyFill="1" applyBorder="1" applyAlignment="1">
      <alignment wrapText="1"/>
    </xf>
    <xf numFmtId="9" fontId="58" fillId="4" borderId="4" xfId="4" applyFont="1" applyFill="1" applyBorder="1"/>
    <xf numFmtId="9" fontId="52" fillId="0" borderId="7" xfId="4" applyFont="1" applyFill="1" applyBorder="1"/>
    <xf numFmtId="9" fontId="52" fillId="0" borderId="27" xfId="4" applyFont="1" applyFill="1" applyBorder="1"/>
    <xf numFmtId="9" fontId="58" fillId="4" borderId="7" xfId="4" applyFont="1" applyFill="1" applyBorder="1"/>
    <xf numFmtId="9" fontId="52" fillId="0" borderId="7" xfId="4" applyFont="1" applyBorder="1"/>
    <xf numFmtId="9" fontId="52" fillId="0" borderId="8" xfId="4" applyFont="1" applyFill="1" applyBorder="1"/>
    <xf numFmtId="9" fontId="52" fillId="0" borderId="8" xfId="4" applyFont="1" applyFill="1" applyBorder="1" applyAlignment="1">
      <alignment wrapText="1"/>
    </xf>
    <xf numFmtId="9" fontId="52" fillId="0" borderId="43" xfId="4" applyFont="1" applyBorder="1"/>
    <xf numFmtId="9" fontId="52" fillId="4" borderId="7" xfId="4" applyFont="1" applyFill="1" applyBorder="1" applyAlignment="1">
      <alignment wrapText="1"/>
    </xf>
    <xf numFmtId="9" fontId="52" fillId="0" borderId="7" xfId="4" applyFont="1" applyFill="1" applyBorder="1" applyAlignment="1">
      <alignment wrapText="1"/>
    </xf>
    <xf numFmtId="9" fontId="52" fillId="0" borderId="43" xfId="4" applyFont="1" applyFill="1" applyBorder="1"/>
    <xf numFmtId="3" fontId="52" fillId="7" borderId="7" xfId="43" applyNumberFormat="1" applyFont="1" applyFill="1" applyBorder="1" applyAlignment="1">
      <alignment wrapText="1"/>
    </xf>
    <xf numFmtId="9" fontId="62" fillId="8" borderId="7" xfId="4" applyFont="1" applyFill="1" applyBorder="1" applyAlignment="1">
      <alignment wrapText="1"/>
    </xf>
    <xf numFmtId="9" fontId="52" fillId="0" borderId="73" xfId="4" applyFont="1" applyFill="1" applyBorder="1"/>
    <xf numFmtId="9" fontId="52" fillId="5" borderId="7" xfId="4" applyFont="1" applyFill="1" applyBorder="1" applyAlignment="1">
      <alignment wrapText="1"/>
    </xf>
    <xf numFmtId="9" fontId="52" fillId="0" borderId="43" xfId="4" applyFont="1" applyFill="1" applyBorder="1" applyAlignment="1">
      <alignment wrapText="1"/>
    </xf>
    <xf numFmtId="9" fontId="52" fillId="3" borderId="7" xfId="4" applyFont="1" applyFill="1" applyBorder="1" applyAlignment="1">
      <alignment wrapText="1"/>
    </xf>
    <xf numFmtId="9" fontId="52" fillId="0" borderId="29" xfId="4" applyFont="1" applyFill="1" applyBorder="1"/>
    <xf numFmtId="9" fontId="52" fillId="0" borderId="76" xfId="4" applyFont="1" applyFill="1" applyBorder="1"/>
    <xf numFmtId="9" fontId="52" fillId="0" borderId="24" xfId="4" applyFont="1" applyFill="1" applyBorder="1" applyAlignment="1">
      <alignment wrapText="1"/>
    </xf>
    <xf numFmtId="9" fontId="52" fillId="0" borderId="26" xfId="4" applyFont="1" applyFill="1" applyBorder="1"/>
    <xf numFmtId="9" fontId="52" fillId="0" borderId="28" xfId="4" applyFont="1" applyFill="1" applyBorder="1"/>
    <xf numFmtId="9" fontId="52" fillId="0" borderId="42" xfId="4" applyFont="1" applyFill="1" applyBorder="1"/>
    <xf numFmtId="9" fontId="52" fillId="0" borderId="59" xfId="4" applyFont="1" applyFill="1" applyBorder="1"/>
    <xf numFmtId="9" fontId="52" fillId="0" borderId="69" xfId="4" applyFont="1" applyFill="1" applyBorder="1"/>
    <xf numFmtId="1" fontId="52" fillId="0" borderId="7" xfId="4" applyNumberFormat="1" applyFont="1" applyFill="1" applyBorder="1"/>
    <xf numFmtId="9" fontId="58" fillId="0" borderId="3" xfId="4" applyFont="1" applyBorder="1"/>
    <xf numFmtId="9" fontId="58" fillId="0" borderId="11" xfId="4" applyFont="1" applyFill="1" applyBorder="1"/>
    <xf numFmtId="9" fontId="52" fillId="0" borderId="60" xfId="4" applyFont="1" applyFill="1" applyBorder="1" applyAlignment="1">
      <alignment wrapText="1"/>
    </xf>
    <xf numFmtId="9" fontId="58" fillId="0" borderId="11" xfId="4" applyFont="1" applyBorder="1"/>
    <xf numFmtId="9" fontId="58" fillId="4" borderId="12" xfId="4" applyFont="1" applyFill="1" applyBorder="1"/>
    <xf numFmtId="9" fontId="52" fillId="3" borderId="27" xfId="4" applyFont="1" applyFill="1" applyBorder="1" applyAlignment="1">
      <alignment wrapText="1"/>
    </xf>
    <xf numFmtId="9" fontId="52" fillId="3" borderId="43" xfId="4" applyFont="1" applyFill="1" applyBorder="1" applyAlignment="1">
      <alignment wrapText="1"/>
    </xf>
    <xf numFmtId="9" fontId="52" fillId="0" borderId="57" xfId="4" applyFont="1" applyFill="1" applyBorder="1"/>
    <xf numFmtId="9" fontId="52" fillId="0" borderId="7" xfId="4" applyFont="1" applyBorder="1" applyAlignment="1">
      <alignment wrapText="1"/>
    </xf>
    <xf numFmtId="9" fontId="52" fillId="0" borderId="43" xfId="4" applyFont="1" applyBorder="1" applyAlignment="1">
      <alignment wrapText="1"/>
    </xf>
    <xf numFmtId="9" fontId="52" fillId="0" borderId="57" xfId="4" applyFont="1" applyBorder="1" applyAlignment="1">
      <alignment wrapText="1"/>
    </xf>
    <xf numFmtId="9" fontId="52" fillId="0" borderId="73" xfId="4" applyFont="1" applyFill="1" applyBorder="1" applyAlignment="1">
      <alignment wrapText="1"/>
    </xf>
    <xf numFmtId="9" fontId="52" fillId="0" borderId="22" xfId="4" applyFont="1" applyBorder="1" applyAlignment="1">
      <alignment wrapText="1"/>
    </xf>
    <xf numFmtId="9" fontId="58" fillId="3" borderId="7" xfId="4" applyFont="1" applyFill="1" applyBorder="1"/>
    <xf numFmtId="3" fontId="52" fillId="19" borderId="43" xfId="43" applyNumberFormat="1" applyFont="1" applyFill="1" applyBorder="1"/>
    <xf numFmtId="9" fontId="79" fillId="0" borderId="57" xfId="4" applyFont="1" applyBorder="1" applyAlignment="1">
      <alignment wrapText="1"/>
    </xf>
    <xf numFmtId="9" fontId="79" fillId="3" borderId="7" xfId="4" applyFont="1" applyFill="1" applyBorder="1" applyAlignment="1">
      <alignment wrapText="1"/>
    </xf>
    <xf numFmtId="9" fontId="79" fillId="3" borderId="27" xfId="4" applyFont="1" applyFill="1" applyBorder="1" applyAlignment="1">
      <alignment wrapText="1"/>
    </xf>
    <xf numFmtId="9" fontId="52" fillId="5" borderId="57" xfId="4" applyFont="1" applyFill="1" applyBorder="1" applyAlignment="1">
      <alignment wrapText="1"/>
    </xf>
    <xf numFmtId="9" fontId="52" fillId="5" borderId="7" xfId="4" applyFont="1" applyFill="1" applyBorder="1"/>
    <xf numFmtId="9" fontId="52" fillId="5" borderId="43" xfId="4" applyFont="1" applyFill="1" applyBorder="1"/>
    <xf numFmtId="9" fontId="52" fillId="3" borderId="57" xfId="4" applyFont="1" applyFill="1" applyBorder="1"/>
    <xf numFmtId="9" fontId="52" fillId="0" borderId="23" xfId="4" applyFont="1" applyFill="1" applyBorder="1"/>
    <xf numFmtId="3" fontId="58" fillId="0" borderId="7" xfId="43" applyNumberFormat="1" applyFont="1" applyBorder="1"/>
    <xf numFmtId="9" fontId="52" fillId="3" borderId="57" xfId="4" applyFont="1" applyFill="1" applyBorder="1" applyAlignment="1">
      <alignment wrapText="1"/>
    </xf>
    <xf numFmtId="9" fontId="52" fillId="3" borderId="73" xfId="4" applyFont="1" applyFill="1" applyBorder="1" applyAlignment="1">
      <alignment wrapText="1"/>
    </xf>
    <xf numFmtId="9" fontId="52" fillId="3" borderId="23" xfId="4" applyFont="1" applyFill="1" applyBorder="1" applyAlignment="1">
      <alignment wrapText="1"/>
    </xf>
    <xf numFmtId="3" fontId="58" fillId="0" borderId="13" xfId="43" applyNumberFormat="1" applyFont="1" applyBorder="1"/>
    <xf numFmtId="3" fontId="58" fillId="0" borderId="14" xfId="43" applyNumberFormat="1" applyFont="1" applyBorder="1"/>
    <xf numFmtId="3" fontId="58" fillId="4" borderId="17" xfId="43" applyNumberFormat="1" applyFont="1" applyFill="1" applyBorder="1"/>
    <xf numFmtId="166" fontId="50" fillId="6" borderId="73" xfId="1" applyNumberFormat="1" applyFont="1" applyFill="1" applyBorder="1"/>
    <xf numFmtId="49" fontId="50" fillId="0" borderId="79" xfId="43" applyNumberFormat="1" applyFont="1" applyBorder="1" applyAlignment="1">
      <alignment horizontal="left" wrapText="1" indent="2"/>
    </xf>
    <xf numFmtId="166" fontId="50" fillId="0" borderId="73" xfId="1" applyNumberFormat="1" applyFont="1" applyFill="1" applyBorder="1"/>
    <xf numFmtId="3" fontId="50" fillId="0" borderId="21" xfId="43" applyNumberFormat="1" applyFont="1" applyBorder="1"/>
    <xf numFmtId="3" fontId="50" fillId="0" borderId="77" xfId="43" applyNumberFormat="1" applyFont="1" applyBorder="1"/>
    <xf numFmtId="9" fontId="50" fillId="0" borderId="46" xfId="4" applyFont="1" applyFill="1" applyBorder="1" applyAlignment="1">
      <alignment wrapText="1"/>
    </xf>
    <xf numFmtId="9" fontId="50" fillId="0" borderId="27" xfId="4" applyFont="1" applyFill="1" applyBorder="1" applyAlignment="1">
      <alignment wrapText="1"/>
    </xf>
    <xf numFmtId="9" fontId="50" fillId="15" borderId="76" xfId="4" applyFont="1" applyFill="1" applyBorder="1" applyAlignment="1">
      <alignment wrapText="1"/>
    </xf>
    <xf numFmtId="9" fontId="50" fillId="15" borderId="7" xfId="4" applyFont="1" applyFill="1" applyBorder="1" applyAlignment="1">
      <alignment wrapText="1"/>
    </xf>
    <xf numFmtId="9" fontId="50" fillId="15" borderId="43" xfId="4" applyFont="1" applyFill="1" applyBorder="1" applyAlignment="1">
      <alignment wrapText="1"/>
    </xf>
    <xf numFmtId="9" fontId="61" fillId="15" borderId="7" xfId="4" applyFont="1" applyFill="1" applyBorder="1"/>
    <xf numFmtId="9" fontId="52" fillId="0" borderId="21" xfId="4" applyFont="1" applyFill="1" applyBorder="1"/>
    <xf numFmtId="9" fontId="52" fillId="0" borderId="22" xfId="4" applyFont="1" applyFill="1" applyBorder="1" applyAlignment="1">
      <alignment wrapText="1"/>
    </xf>
    <xf numFmtId="9" fontId="52" fillId="0" borderId="64" xfId="4" applyFont="1" applyFill="1" applyBorder="1"/>
    <xf numFmtId="9" fontId="52" fillId="3" borderId="54" xfId="4" applyFont="1" applyFill="1" applyBorder="1" applyAlignment="1">
      <alignment wrapText="1"/>
    </xf>
    <xf numFmtId="9" fontId="52" fillId="0" borderId="27" xfId="4" applyFont="1" applyBorder="1" applyAlignment="1">
      <alignment wrapText="1"/>
    </xf>
    <xf numFmtId="9" fontId="79" fillId="0" borderId="7" xfId="4" applyFont="1" applyFill="1" applyBorder="1" applyAlignment="1">
      <alignment wrapText="1"/>
    </xf>
    <xf numFmtId="9" fontId="79" fillId="10" borderId="7" xfId="4" applyFont="1" applyFill="1" applyBorder="1" applyAlignment="1">
      <alignment wrapText="1"/>
    </xf>
    <xf numFmtId="9" fontId="52" fillId="6" borderId="73" xfId="4" applyFont="1" applyFill="1" applyBorder="1" applyAlignment="1">
      <alignment wrapText="1"/>
    </xf>
    <xf numFmtId="9" fontId="52" fillId="0" borderId="54" xfId="4" applyFont="1" applyFill="1" applyBorder="1"/>
    <xf numFmtId="9" fontId="52" fillId="16" borderId="7" xfId="4" applyFont="1" applyFill="1" applyBorder="1" applyAlignment="1">
      <alignment wrapText="1"/>
    </xf>
    <xf numFmtId="0" fontId="122" fillId="0" borderId="0" xfId="43" applyFont="1"/>
    <xf numFmtId="0" fontId="122" fillId="0" borderId="0" xfId="43" quotePrefix="1" applyFont="1"/>
    <xf numFmtId="3" fontId="63" fillId="0" borderId="83" xfId="43" applyNumberFormat="1" applyFont="1" applyBorder="1"/>
    <xf numFmtId="166" fontId="63" fillId="0" borderId="83" xfId="1" applyNumberFormat="1" applyFont="1" applyBorder="1"/>
    <xf numFmtId="3" fontId="79" fillId="0" borderId="83" xfId="43" applyNumberFormat="1" applyFont="1" applyBorder="1"/>
    <xf numFmtId="9" fontId="63" fillId="0" borderId="83" xfId="4" applyFont="1" applyFill="1" applyBorder="1" applyAlignment="1">
      <alignment wrapText="1"/>
    </xf>
    <xf numFmtId="9" fontId="63" fillId="0" borderId="83" xfId="2" applyFont="1" applyFill="1" applyBorder="1"/>
    <xf numFmtId="9" fontId="63" fillId="15" borderId="83" xfId="4" applyFont="1" applyFill="1" applyBorder="1" applyAlignment="1">
      <alignment wrapText="1"/>
    </xf>
    <xf numFmtId="166" fontId="50" fillId="0" borderId="80" xfId="1" applyNumberFormat="1" applyFont="1" applyBorder="1"/>
    <xf numFmtId="166" fontId="55" fillId="0" borderId="14" xfId="1" applyNumberFormat="1" applyFont="1" applyBorder="1"/>
    <xf numFmtId="3" fontId="50" fillId="0" borderId="46" xfId="43" applyNumberFormat="1" applyFont="1" applyBorder="1"/>
    <xf numFmtId="9" fontId="50" fillId="0" borderId="46" xfId="4" applyFont="1" applyBorder="1" applyAlignment="1">
      <alignment wrapText="1"/>
    </xf>
    <xf numFmtId="0" fontId="50" fillId="5" borderId="81" xfId="43" applyFont="1" applyFill="1" applyBorder="1" applyAlignment="1">
      <alignment horizontal="left" wrapText="1" indent="3"/>
    </xf>
    <xf numFmtId="3" fontId="50" fillId="5" borderId="83" xfId="43" applyNumberFormat="1" applyFont="1" applyFill="1" applyBorder="1"/>
    <xf numFmtId="3" fontId="50" fillId="0" borderId="83" xfId="43" applyNumberFormat="1" applyFont="1" applyBorder="1"/>
    <xf numFmtId="166" fontId="50" fillId="0" borderId="83" xfId="1" applyNumberFormat="1" applyFont="1" applyBorder="1"/>
    <xf numFmtId="9" fontId="52" fillId="0" borderId="83" xfId="4" applyFont="1" applyBorder="1" applyAlignment="1">
      <alignment wrapText="1"/>
    </xf>
    <xf numFmtId="9" fontId="50" fillId="0" borderId="83" xfId="4" applyFont="1" applyBorder="1" applyAlignment="1">
      <alignment wrapText="1"/>
    </xf>
    <xf numFmtId="9" fontId="50" fillId="0" borderId="83" xfId="2" applyFont="1" applyFill="1" applyBorder="1"/>
    <xf numFmtId="9" fontId="50" fillId="10" borderId="23" xfId="4" applyFont="1" applyFill="1" applyBorder="1" applyAlignment="1">
      <alignment wrapText="1"/>
    </xf>
    <xf numFmtId="3" fontId="52" fillId="0" borderId="7" xfId="43" applyNumberFormat="1" applyFont="1" applyBorder="1" applyAlignment="1">
      <alignment wrapText="1"/>
    </xf>
    <xf numFmtId="3" fontId="52" fillId="4" borderId="7" xfId="43" applyNumberFormat="1" applyFont="1" applyFill="1" applyBorder="1"/>
    <xf numFmtId="3" fontId="52" fillId="0" borderId="3" xfId="43" applyNumberFormat="1" applyFont="1" applyBorder="1" applyAlignment="1">
      <alignment wrapText="1"/>
    </xf>
    <xf numFmtId="3" fontId="52" fillId="0" borderId="59" xfId="43" applyNumberFormat="1" applyFont="1" applyBorder="1" applyAlignment="1">
      <alignment wrapText="1"/>
    </xf>
    <xf numFmtId="3" fontId="52" fillId="0" borderId="42" xfId="43" applyNumberFormat="1" applyFont="1" applyBorder="1"/>
    <xf numFmtId="3" fontId="52" fillId="3" borderId="7" xfId="43" applyNumberFormat="1" applyFont="1" applyFill="1" applyBorder="1" applyAlignment="1">
      <alignment wrapText="1"/>
    </xf>
    <xf numFmtId="3" fontId="52" fillId="13" borderId="83" xfId="43" applyNumberFormat="1" applyFont="1" applyFill="1" applyBorder="1"/>
    <xf numFmtId="3" fontId="50" fillId="0" borderId="43" xfId="43" applyNumberFormat="1" applyFont="1" applyBorder="1" applyAlignment="1">
      <alignment wrapText="1"/>
    </xf>
    <xf numFmtId="9" fontId="50" fillId="0" borderId="22" xfId="2" applyFont="1" applyFill="1" applyBorder="1" applyAlignment="1"/>
    <xf numFmtId="9" fontId="55" fillId="0" borderId="13" xfId="2" applyFont="1" applyBorder="1"/>
    <xf numFmtId="0" fontId="75" fillId="18" borderId="0" xfId="0" applyFont="1" applyFill="1"/>
    <xf numFmtId="3" fontId="75" fillId="18" borderId="0" xfId="0" applyNumberFormat="1" applyFont="1" applyFill="1"/>
    <xf numFmtId="0" fontId="75" fillId="18" borderId="0" xfId="0" applyFont="1" applyFill="1" applyAlignment="1">
      <alignment horizontal="left" indent="2"/>
    </xf>
    <xf numFmtId="0" fontId="118" fillId="50" borderId="0" xfId="0" applyFont="1" applyFill="1"/>
    <xf numFmtId="0" fontId="125" fillId="18" borderId="0" xfId="0" applyFont="1" applyFill="1"/>
    <xf numFmtId="9" fontId="50" fillId="0" borderId="66" xfId="4" applyFont="1" applyFill="1" applyBorder="1"/>
    <xf numFmtId="9" fontId="50" fillId="0" borderId="66" xfId="4" applyFont="1" applyFill="1" applyBorder="1" applyAlignment="1">
      <alignment wrapText="1"/>
    </xf>
    <xf numFmtId="9" fontId="63" fillId="0" borderId="7" xfId="4" applyFont="1" applyFill="1" applyBorder="1" applyAlignment="1">
      <alignment wrapText="1"/>
    </xf>
    <xf numFmtId="3" fontId="50" fillId="0" borderId="75" xfId="43" applyNumberFormat="1" applyFont="1" applyBorder="1"/>
    <xf numFmtId="9" fontId="50" fillId="0" borderId="7" xfId="4" quotePrefix="1" applyFont="1" applyFill="1" applyBorder="1" applyAlignment="1">
      <alignment wrapText="1"/>
    </xf>
    <xf numFmtId="166" fontId="50" fillId="0" borderId="82" xfId="1" applyNumberFormat="1" applyFont="1" applyBorder="1"/>
    <xf numFmtId="166" fontId="50" fillId="0" borderId="46" xfId="1" applyNumberFormat="1" applyFont="1" applyBorder="1"/>
    <xf numFmtId="3" fontId="50" fillId="0" borderId="0" xfId="43" applyNumberFormat="1" applyFont="1" applyAlignment="1">
      <alignment wrapText="1"/>
    </xf>
    <xf numFmtId="9" fontId="52" fillId="0" borderId="83" xfId="4" applyFont="1" applyFill="1" applyBorder="1"/>
    <xf numFmtId="3" fontId="52" fillId="0" borderId="83" xfId="43" applyNumberFormat="1" applyFont="1" applyBorder="1"/>
    <xf numFmtId="0" fontId="50" fillId="5" borderId="78" xfId="43" applyFont="1" applyFill="1" applyBorder="1" applyAlignment="1">
      <alignment horizontal="left" indent="3"/>
    </xf>
    <xf numFmtId="166" fontId="50" fillId="5" borderId="83" xfId="1" applyNumberFormat="1" applyFont="1" applyFill="1" applyBorder="1"/>
    <xf numFmtId="9" fontId="52" fillId="5" borderId="83" xfId="4" applyFont="1" applyFill="1" applyBorder="1"/>
    <xf numFmtId="3" fontId="52" fillId="5" borderId="83" xfId="43" applyNumberFormat="1" applyFont="1" applyFill="1" applyBorder="1"/>
    <xf numFmtId="9" fontId="50" fillId="5" borderId="83" xfId="4" applyFont="1" applyFill="1" applyBorder="1"/>
    <xf numFmtId="3" fontId="50" fillId="3" borderId="83" xfId="43" applyNumberFormat="1" applyFont="1" applyFill="1" applyBorder="1"/>
    <xf numFmtId="166" fontId="50" fillId="3" borderId="83" xfId="1" applyNumberFormat="1" applyFont="1" applyFill="1" applyBorder="1"/>
    <xf numFmtId="9" fontId="52" fillId="3" borderId="83" xfId="4" applyFont="1" applyFill="1" applyBorder="1"/>
    <xf numFmtId="9" fontId="50" fillId="3" borderId="83" xfId="4" applyFont="1" applyFill="1" applyBorder="1"/>
    <xf numFmtId="9" fontId="50" fillId="3" borderId="83" xfId="2" applyFont="1" applyFill="1" applyBorder="1"/>
    <xf numFmtId="3" fontId="52" fillId="3" borderId="83" xfId="43" applyNumberFormat="1" applyFont="1" applyFill="1" applyBorder="1"/>
    <xf numFmtId="9" fontId="50" fillId="3" borderId="83" xfId="4" applyFont="1" applyFill="1" applyBorder="1" applyAlignment="1">
      <alignment wrapText="1"/>
    </xf>
    <xf numFmtId="3" fontId="55" fillId="4" borderId="83" xfId="43" applyNumberFormat="1" applyFont="1" applyFill="1" applyBorder="1"/>
    <xf numFmtId="3" fontId="55" fillId="3" borderId="83" xfId="43" applyNumberFormat="1" applyFont="1" applyFill="1" applyBorder="1"/>
    <xf numFmtId="49" fontId="50" fillId="17" borderId="84" xfId="43" applyNumberFormat="1" applyFont="1" applyFill="1" applyBorder="1" applyAlignment="1">
      <alignment horizontal="left" indent="2"/>
    </xf>
    <xf numFmtId="3" fontId="50" fillId="0" borderId="83" xfId="43" applyNumberFormat="1" applyFont="1" applyBorder="1" applyAlignment="1">
      <alignment wrapText="1"/>
    </xf>
    <xf numFmtId="3" fontId="52" fillId="0" borderId="83" xfId="43" applyNumberFormat="1" applyFont="1" applyBorder="1" applyAlignment="1">
      <alignment wrapText="1"/>
    </xf>
    <xf numFmtId="3" fontId="50" fillId="14" borderId="83" xfId="43" applyNumberFormat="1" applyFont="1" applyFill="1" applyBorder="1"/>
    <xf numFmtId="3" fontId="52" fillId="10" borderId="83" xfId="43" applyNumberFormat="1" applyFont="1" applyFill="1" applyBorder="1" applyAlignment="1">
      <alignment wrapText="1"/>
    </xf>
    <xf numFmtId="3" fontId="58" fillId="3" borderId="83" xfId="43" applyNumberFormat="1" applyFont="1" applyFill="1" applyBorder="1"/>
    <xf numFmtId="3" fontId="50" fillId="6" borderId="83" xfId="43" applyNumberFormat="1" applyFont="1" applyFill="1" applyBorder="1"/>
    <xf numFmtId="3" fontId="58" fillId="4" borderId="83" xfId="43" applyNumberFormat="1" applyFont="1" applyFill="1" applyBorder="1"/>
    <xf numFmtId="3" fontId="52" fillId="6" borderId="83" xfId="43" applyNumberFormat="1" applyFont="1" applyFill="1" applyBorder="1"/>
    <xf numFmtId="3" fontId="126" fillId="0" borderId="83" xfId="43" applyNumberFormat="1" applyFont="1" applyBorder="1"/>
    <xf numFmtId="3" fontId="58" fillId="0" borderId="83" xfId="43" applyNumberFormat="1" applyFont="1" applyBorder="1"/>
    <xf numFmtId="3" fontId="52" fillId="11" borderId="83" xfId="43" applyNumberFormat="1" applyFont="1" applyFill="1" applyBorder="1"/>
    <xf numFmtId="3" fontId="52" fillId="3" borderId="83" xfId="43" applyNumberFormat="1" applyFont="1" applyFill="1" applyBorder="1" applyAlignment="1">
      <alignment wrapText="1"/>
    </xf>
    <xf numFmtId="0" fontId="50" fillId="10" borderId="0" xfId="43" quotePrefix="1" applyFont="1" applyFill="1"/>
    <xf numFmtId="0" fontId="127" fillId="0" borderId="0" xfId="83" applyFont="1"/>
    <xf numFmtId="0" fontId="50" fillId="0" borderId="49" xfId="43" applyFont="1" applyBorder="1" applyAlignment="1">
      <alignment horizontal="left" wrapText="1" indent="2"/>
    </xf>
    <xf numFmtId="49" fontId="50" fillId="16" borderId="66" xfId="43" applyNumberFormat="1" applyFont="1" applyFill="1" applyBorder="1" applyAlignment="1">
      <alignment horizontal="left" wrapText="1" indent="4"/>
    </xf>
    <xf numFmtId="49" fontId="50" fillId="0" borderId="75" xfId="43" applyNumberFormat="1" applyFont="1" applyBorder="1" applyAlignment="1">
      <alignment horizontal="left" wrapText="1" indent="4"/>
    </xf>
    <xf numFmtId="0" fontId="50" fillId="5" borderId="56" xfId="43" applyFont="1" applyFill="1" applyBorder="1" applyAlignment="1">
      <alignment horizontal="left" wrapText="1" indent="3"/>
    </xf>
    <xf numFmtId="3" fontId="50" fillId="12" borderId="7" xfId="43" applyNumberFormat="1" applyFont="1" applyFill="1" applyBorder="1"/>
    <xf numFmtId="3" fontId="50" fillId="12" borderId="27" xfId="43" applyNumberFormat="1" applyFont="1" applyFill="1" applyBorder="1"/>
    <xf numFmtId="9" fontId="50" fillId="12" borderId="73" xfId="4" applyFont="1" applyFill="1" applyBorder="1" applyAlignment="1">
      <alignment wrapText="1"/>
    </xf>
    <xf numFmtId="166" fontId="50" fillId="0" borderId="0" xfId="43" applyNumberFormat="1" applyFont="1" applyAlignment="1">
      <alignment wrapText="1"/>
    </xf>
    <xf numFmtId="9" fontId="50" fillId="0" borderId="42" xfId="4" applyFont="1" applyFill="1" applyBorder="1" applyAlignment="1">
      <alignment wrapText="1"/>
    </xf>
    <xf numFmtId="3" fontId="50" fillId="12" borderId="43" xfId="43" applyNumberFormat="1" applyFont="1" applyFill="1" applyBorder="1"/>
    <xf numFmtId="3" fontId="62" fillId="8" borderId="83" xfId="43" applyNumberFormat="1" applyFont="1" applyFill="1" applyBorder="1"/>
    <xf numFmtId="3" fontId="50" fillId="13" borderId="83" xfId="43" applyNumberFormat="1" applyFont="1" applyFill="1" applyBorder="1"/>
    <xf numFmtId="3" fontId="50" fillId="11" borderId="83" xfId="43" applyNumberFormat="1" applyFont="1" applyFill="1" applyBorder="1"/>
    <xf numFmtId="9" fontId="50" fillId="0" borderId="22" xfId="4" applyFont="1" applyFill="1" applyBorder="1" applyAlignment="1">
      <alignment wrapText="1"/>
    </xf>
    <xf numFmtId="9" fontId="63" fillId="0" borderId="74" xfId="4" applyFont="1" applyFill="1" applyBorder="1" applyAlignment="1">
      <alignment wrapText="1"/>
    </xf>
    <xf numFmtId="166" fontId="55" fillId="3" borderId="64" xfId="1" applyNumberFormat="1" applyFont="1" applyFill="1" applyBorder="1"/>
    <xf numFmtId="3" fontId="55" fillId="4" borderId="64" xfId="43" applyNumberFormat="1" applyFont="1" applyFill="1" applyBorder="1"/>
    <xf numFmtId="166" fontId="104" fillId="3" borderId="64" xfId="1" applyNumberFormat="1" applyFont="1" applyFill="1" applyBorder="1" applyAlignment="1">
      <alignment wrapText="1"/>
    </xf>
    <xf numFmtId="3" fontId="108" fillId="4" borderId="64" xfId="43" applyNumberFormat="1" applyFont="1" applyFill="1" applyBorder="1"/>
    <xf numFmtId="166" fontId="50" fillId="3" borderId="64" xfId="1" applyNumberFormat="1" applyFont="1" applyFill="1" applyBorder="1" applyAlignment="1">
      <alignment wrapText="1"/>
    </xf>
    <xf numFmtId="3" fontId="52" fillId="4" borderId="83" xfId="43" applyNumberFormat="1" applyFont="1" applyFill="1" applyBorder="1"/>
    <xf numFmtId="3" fontId="52" fillId="7" borderId="83" xfId="43" applyNumberFormat="1" applyFont="1" applyFill="1" applyBorder="1"/>
    <xf numFmtId="3" fontId="52" fillId="14" borderId="83" xfId="43" applyNumberFormat="1" applyFont="1" applyFill="1" applyBorder="1"/>
    <xf numFmtId="3" fontId="55" fillId="4" borderId="69" xfId="43" applyNumberFormat="1" applyFont="1" applyFill="1" applyBorder="1"/>
    <xf numFmtId="3" fontId="52" fillId="4" borderId="83" xfId="43" applyNumberFormat="1" applyFont="1" applyFill="1" applyBorder="1" applyAlignment="1">
      <alignment wrapText="1"/>
    </xf>
    <xf numFmtId="3" fontId="50" fillId="13" borderId="7" xfId="43" applyNumberFormat="1" applyFont="1" applyFill="1" applyBorder="1"/>
    <xf numFmtId="3" fontId="75" fillId="18" borderId="0" xfId="0" applyNumberFormat="1" applyFont="1" applyFill="1" applyAlignment="1">
      <alignment horizontal="left" indent="2"/>
    </xf>
    <xf numFmtId="0" fontId="57" fillId="18" borderId="0" xfId="0" applyFont="1" applyFill="1"/>
    <xf numFmtId="3" fontId="57" fillId="18" borderId="0" xfId="0" applyNumberFormat="1" applyFont="1" applyFill="1"/>
    <xf numFmtId="0" fontId="74" fillId="5" borderId="67" xfId="0" applyFont="1" applyFill="1" applyBorder="1"/>
    <xf numFmtId="0" fontId="74" fillId="5" borderId="0" xfId="0" applyFont="1" applyFill="1"/>
    <xf numFmtId="0" fontId="57" fillId="5" borderId="0" xfId="0" applyFont="1" applyFill="1" applyAlignment="1">
      <alignment horizontal="left" indent="1"/>
    </xf>
    <xf numFmtId="9" fontId="50" fillId="0" borderId="83" xfId="4" applyFont="1" applyFill="1" applyBorder="1" applyAlignment="1">
      <alignment wrapText="1"/>
    </xf>
    <xf numFmtId="9" fontId="50" fillId="0" borderId="74" xfId="4" applyFont="1" applyFill="1" applyBorder="1" applyAlignment="1">
      <alignment wrapText="1"/>
    </xf>
    <xf numFmtId="9" fontId="50" fillId="0" borderId="28" xfId="4" applyFont="1" applyFill="1" applyBorder="1" applyAlignment="1">
      <alignment wrapText="1"/>
    </xf>
    <xf numFmtId="9" fontId="52" fillId="0" borderId="42" xfId="4" applyFont="1" applyFill="1" applyBorder="1" applyAlignment="1">
      <alignment wrapText="1"/>
    </xf>
    <xf numFmtId="9" fontId="52" fillId="0" borderId="46" xfId="4" applyFont="1" applyFill="1" applyBorder="1"/>
    <xf numFmtId="9" fontId="52" fillId="3" borderId="7" xfId="4" quotePrefix="1" applyFont="1" applyFill="1" applyBorder="1" applyAlignment="1">
      <alignment wrapText="1"/>
    </xf>
    <xf numFmtId="9" fontId="52" fillId="0" borderId="73" xfId="4" applyFont="1" applyBorder="1" applyAlignment="1">
      <alignment wrapText="1"/>
    </xf>
    <xf numFmtId="9" fontId="52" fillId="0" borderId="25" xfId="4" applyFont="1" applyBorder="1" applyAlignment="1">
      <alignment wrapText="1"/>
    </xf>
    <xf numFmtId="9" fontId="52" fillId="3" borderId="83" xfId="4" applyFont="1" applyFill="1" applyBorder="1" applyAlignment="1">
      <alignment wrapText="1"/>
    </xf>
    <xf numFmtId="9" fontId="79" fillId="0" borderId="83" xfId="4" applyFont="1" applyFill="1" applyBorder="1" applyAlignment="1">
      <alignment wrapText="1"/>
    </xf>
    <xf numFmtId="9" fontId="62" fillId="0" borderId="7" xfId="4" applyFont="1" applyFill="1" applyBorder="1" applyAlignment="1">
      <alignment wrapText="1"/>
    </xf>
    <xf numFmtId="9" fontId="58" fillId="0" borderId="13" xfId="4" applyFont="1" applyBorder="1"/>
    <xf numFmtId="9" fontId="52" fillId="0" borderId="14" xfId="4" applyFont="1" applyBorder="1"/>
    <xf numFmtId="9" fontId="58" fillId="4" borderId="17" xfId="4" applyFont="1" applyFill="1" applyBorder="1"/>
    <xf numFmtId="0" fontId="65" fillId="0" borderId="68" xfId="278" applyFont="1" applyBorder="1" applyAlignment="1">
      <alignment wrapText="1"/>
    </xf>
    <xf numFmtId="3" fontId="50" fillId="7" borderId="83" xfId="43" applyNumberFormat="1" applyFont="1" applyFill="1" applyBorder="1"/>
    <xf numFmtId="3" fontId="61" fillId="8" borderId="83" xfId="43" applyNumberFormat="1" applyFont="1" applyFill="1" applyBorder="1"/>
    <xf numFmtId="3" fontId="50" fillId="10" borderId="83" xfId="43" applyNumberFormat="1" applyFont="1" applyFill="1" applyBorder="1"/>
    <xf numFmtId="3" fontId="63" fillId="19" borderId="83" xfId="43" applyNumberFormat="1" applyFont="1" applyFill="1" applyBorder="1"/>
    <xf numFmtId="3" fontId="64" fillId="13" borderId="83" xfId="43" applyNumberFormat="1" applyFont="1" applyFill="1" applyBorder="1"/>
    <xf numFmtId="3" fontId="64" fillId="0" borderId="57" xfId="43" applyNumberFormat="1" applyFont="1" applyBorder="1" applyAlignment="1">
      <alignment wrapText="1"/>
    </xf>
    <xf numFmtId="3" fontId="64" fillId="3" borderId="83" xfId="43" applyNumberFormat="1" applyFont="1" applyFill="1" applyBorder="1"/>
    <xf numFmtId="3" fontId="115" fillId="0" borderId="83" xfId="43" applyNumberFormat="1" applyFont="1" applyBorder="1"/>
    <xf numFmtId="3" fontId="115" fillId="3" borderId="83" xfId="43" applyNumberFormat="1" applyFont="1" applyFill="1" applyBorder="1"/>
    <xf numFmtId="3" fontId="64" fillId="5" borderId="83" xfId="43" applyNumberFormat="1" applyFont="1" applyFill="1" applyBorder="1"/>
    <xf numFmtId="3" fontId="64" fillId="19" borderId="83" xfId="43" applyNumberFormat="1" applyFont="1" applyFill="1" applyBorder="1"/>
    <xf numFmtId="3" fontId="115" fillId="3" borderId="7" xfId="43" applyNumberFormat="1" applyFont="1" applyFill="1" applyBorder="1"/>
    <xf numFmtId="3" fontId="115" fillId="4" borderId="83" xfId="43" applyNumberFormat="1" applyFont="1" applyFill="1" applyBorder="1"/>
    <xf numFmtId="3" fontId="64" fillId="0" borderId="83" xfId="43" applyNumberFormat="1" applyFont="1" applyBorder="1"/>
    <xf numFmtId="3" fontId="115" fillId="0" borderId="3" xfId="43" applyNumberFormat="1" applyFont="1" applyBorder="1"/>
    <xf numFmtId="166" fontId="115" fillId="4" borderId="83" xfId="1" applyNumberFormat="1" applyFont="1" applyFill="1" applyBorder="1"/>
    <xf numFmtId="3" fontId="64" fillId="11" borderId="83" xfId="43" applyNumberFormat="1" applyFont="1" applyFill="1" applyBorder="1"/>
    <xf numFmtId="3" fontId="115" fillId="4" borderId="7" xfId="43" applyNumberFormat="1" applyFont="1" applyFill="1" applyBorder="1"/>
    <xf numFmtId="0" fontId="65" fillId="0" borderId="64" xfId="278" applyFont="1" applyBorder="1" applyAlignment="1">
      <alignment wrapText="1"/>
    </xf>
    <xf numFmtId="3" fontId="129" fillId="5" borderId="0" xfId="0" applyNumberFormat="1" applyFont="1" applyFill="1"/>
    <xf numFmtId="3" fontId="130" fillId="5" borderId="0" xfId="0" applyNumberFormat="1" applyFont="1" applyFill="1"/>
    <xf numFmtId="3" fontId="130" fillId="18" borderId="0" xfId="0" applyNumberFormat="1" applyFont="1" applyFill="1"/>
    <xf numFmtId="0" fontId="116" fillId="5" borderId="0" xfId="0" applyFont="1" applyFill="1" applyAlignment="1">
      <alignment horizontal="center" wrapText="1"/>
    </xf>
    <xf numFmtId="3" fontId="129" fillId="5" borderId="0" xfId="0" applyNumberFormat="1" applyFont="1" applyFill="1" applyAlignment="1">
      <alignment wrapText="1"/>
    </xf>
    <xf numFmtId="9" fontId="50" fillId="0" borderId="43" xfId="2" applyFont="1" applyBorder="1"/>
    <xf numFmtId="9" fontId="50" fillId="0" borderId="74" xfId="4" applyFont="1" applyFill="1" applyBorder="1" applyAlignment="1">
      <alignment horizontal="left" wrapText="1"/>
    </xf>
    <xf numFmtId="9" fontId="50" fillId="0" borderId="22" xfId="4" applyFont="1" applyFill="1" applyBorder="1" applyAlignment="1">
      <alignment horizontal="left" wrapText="1"/>
    </xf>
    <xf numFmtId="9" fontId="50" fillId="14" borderId="61" xfId="2" applyFont="1" applyFill="1" applyBorder="1" applyAlignment="1">
      <alignment horizontal="right" vertical="center"/>
    </xf>
    <xf numFmtId="9" fontId="50" fillId="14" borderId="22" xfId="2" applyFont="1" applyFill="1" applyBorder="1" applyAlignment="1">
      <alignment horizontal="right" vertical="center"/>
    </xf>
    <xf numFmtId="9" fontId="50" fillId="0" borderId="61" xfId="2" applyFont="1" applyBorder="1" applyAlignment="1">
      <alignment horizontal="right" wrapText="1"/>
    </xf>
    <xf numFmtId="9" fontId="50" fillId="0" borderId="22" xfId="2" applyFont="1" applyBorder="1" applyAlignment="1">
      <alignment horizontal="right" wrapText="1"/>
    </xf>
    <xf numFmtId="3" fontId="61" fillId="8" borderId="74" xfId="43" applyNumberFormat="1" applyFont="1" applyFill="1" applyBorder="1" applyAlignment="1">
      <alignment horizontal="right" vertical="center"/>
    </xf>
    <xf numFmtId="3" fontId="61" fillId="8" borderId="22" xfId="43" applyNumberFormat="1" applyFont="1" applyFill="1" applyBorder="1" applyAlignment="1">
      <alignment horizontal="right" vertical="center"/>
    </xf>
    <xf numFmtId="9" fontId="61" fillId="8" borderId="74" xfId="2" applyFont="1" applyFill="1" applyBorder="1" applyAlignment="1">
      <alignment horizontal="right" vertical="center"/>
    </xf>
    <xf numFmtId="9" fontId="61" fillId="8" borderId="22" xfId="2" applyFont="1" applyFill="1" applyBorder="1" applyAlignment="1">
      <alignment horizontal="right" vertical="center"/>
    </xf>
    <xf numFmtId="3" fontId="50" fillId="0" borderId="74" xfId="43" applyNumberFormat="1" applyFont="1" applyBorder="1" applyAlignment="1">
      <alignment horizontal="right" vertical="center"/>
    </xf>
    <xf numFmtId="3" fontId="50" fillId="0" borderId="22" xfId="43" applyNumberFormat="1" applyFont="1" applyBorder="1" applyAlignment="1">
      <alignment horizontal="right" vertical="center"/>
    </xf>
    <xf numFmtId="3" fontId="50" fillId="0" borderId="74" xfId="43" applyNumberFormat="1" applyFont="1" applyBorder="1" applyAlignment="1">
      <alignment horizontal="right"/>
    </xf>
    <xf numFmtId="3" fontId="50" fillId="0" borderId="22" xfId="43" applyNumberFormat="1" applyFont="1" applyBorder="1" applyAlignment="1">
      <alignment horizontal="right"/>
    </xf>
    <xf numFmtId="0" fontId="84" fillId="0" borderId="0" xfId="83" applyFont="1"/>
    <xf numFmtId="0" fontId="85" fillId="0" borderId="0" xfId="83" applyFont="1"/>
    <xf numFmtId="9" fontId="50" fillId="16" borderId="74" xfId="4" applyFont="1" applyFill="1" applyBorder="1" applyAlignment="1">
      <alignment horizontal="left" wrapText="1"/>
    </xf>
    <xf numFmtId="9" fontId="50" fillId="16" borderId="22" xfId="4" applyFont="1" applyFill="1" applyBorder="1" applyAlignment="1">
      <alignment horizontal="left" wrapText="1"/>
    </xf>
    <xf numFmtId="9" fontId="50" fillId="12" borderId="74" xfId="4" applyFont="1" applyFill="1" applyBorder="1" applyAlignment="1">
      <alignment horizontal="left" wrapText="1"/>
    </xf>
    <xf numFmtId="9" fontId="50" fillId="12" borderId="22" xfId="4" applyFont="1" applyFill="1" applyBorder="1" applyAlignment="1">
      <alignment horizontal="left" wrapText="1"/>
    </xf>
    <xf numFmtId="9" fontId="50" fillId="0" borderId="74" xfId="4" applyFont="1" applyFill="1" applyBorder="1" applyAlignment="1">
      <alignment horizontal="left" vertical="center" wrapText="1"/>
    </xf>
    <xf numFmtId="9" fontId="50" fillId="0" borderId="22" xfId="4" applyFont="1" applyFill="1" applyBorder="1" applyAlignment="1">
      <alignment horizontal="left" vertical="center" wrapText="1"/>
    </xf>
    <xf numFmtId="0" fontId="44" fillId="0" borderId="0" xfId="43"/>
    <xf numFmtId="0" fontId="57" fillId="18" borderId="0" xfId="0" applyFont="1" applyFill="1" applyAlignment="1">
      <alignment horizontal="left" wrapText="1"/>
    </xf>
    <xf numFmtId="0" fontId="57" fillId="18" borderId="0" xfId="0" applyFont="1" applyFill="1" applyAlignment="1">
      <alignment horizontal="left" vertical="top" wrapText="1" indent="2"/>
    </xf>
    <xf numFmtId="0" fontId="57" fillId="18" borderId="0" xfId="0" applyFont="1" applyFill="1" applyAlignment="1">
      <alignment horizontal="left" vertical="top" wrapText="1"/>
    </xf>
    <xf numFmtId="0" fontId="57" fillId="18" borderId="0" xfId="0" applyFont="1" applyFill="1" applyAlignment="1">
      <alignment horizontal="left"/>
    </xf>
  </cellXfs>
  <cellStyles count="279">
    <cellStyle name="20% - Accent1" xfId="118" builtinId="30" customBuiltin="1"/>
    <cellStyle name="20% - Accent1 2" xfId="178" xr:uid="{363495CB-4EFD-4075-8AF2-8C15E33F265E}"/>
    <cellStyle name="20% - Accent1 3" xfId="254" xr:uid="{E5B18DE7-613F-46E6-83F3-B8D166189AAE}"/>
    <cellStyle name="20% - Accent2" xfId="122" builtinId="34" customBuiltin="1"/>
    <cellStyle name="20% - Accent2 2" xfId="181" xr:uid="{A18B77CC-0EE2-4068-8D7D-EF36B82D4569}"/>
    <cellStyle name="20% - Accent2 3" xfId="257" xr:uid="{0B5741FD-8B26-42B3-AD92-C666C48C2E56}"/>
    <cellStyle name="20% - Accent3" xfId="126" builtinId="38" customBuiltin="1"/>
    <cellStyle name="20% - Accent3 2" xfId="184" xr:uid="{828B7FC4-D874-45AB-90C4-80E102CDA5BC}"/>
    <cellStyle name="20% - Accent3 3" xfId="260" xr:uid="{1E6C9157-3BCC-462D-A9DA-092044DD508A}"/>
    <cellStyle name="20% - Accent4" xfId="130" builtinId="42" customBuiltin="1"/>
    <cellStyle name="20% - Accent4 2" xfId="187" xr:uid="{D6C29F7D-F1D1-4B50-B51D-8C757C4F426E}"/>
    <cellStyle name="20% - Accent4 3" xfId="263" xr:uid="{C8AB55DE-1FCC-4428-9A86-267BA79876C2}"/>
    <cellStyle name="20% - Accent5" xfId="134" builtinId="46" customBuiltin="1"/>
    <cellStyle name="20% - Accent5 2" xfId="190" xr:uid="{FCD4D055-3930-49A6-8889-90B080C6E772}"/>
    <cellStyle name="20% - Accent5 3" xfId="266" xr:uid="{F587695F-375B-4967-B352-43DE04DA1E20}"/>
    <cellStyle name="20% - Accent6" xfId="138" builtinId="50" customBuiltin="1"/>
    <cellStyle name="20% - Accent6 2" xfId="193" xr:uid="{27DC87F4-78AB-4578-80CF-0B1BFA91BF76}"/>
    <cellStyle name="20% - Accent6 3" xfId="269" xr:uid="{6401CBB4-6642-461B-ACAA-8610AEB4F886}"/>
    <cellStyle name="20% no 1. izcēluma 2" xfId="148" xr:uid="{00000000-0005-0000-0000-000001000000}"/>
    <cellStyle name="20% no 1. izcēluma 3" xfId="221" xr:uid="{784540F9-359C-423E-BC1B-C1AEB3C33C54}"/>
    <cellStyle name="20% no 2. izcēluma 2" xfId="150" xr:uid="{00000000-0005-0000-0000-000003000000}"/>
    <cellStyle name="20% no 2. izcēluma 3" xfId="224" xr:uid="{825A49D2-CB0F-4EA0-883E-62C47A8A74EE}"/>
    <cellStyle name="20% no 3. izcēluma 2" xfId="152" xr:uid="{00000000-0005-0000-0000-000005000000}"/>
    <cellStyle name="20% no 3. izcēluma 3" xfId="227" xr:uid="{BDB0685F-E89F-4E5B-8878-13EC8CEB3F6B}"/>
    <cellStyle name="20% no 4. izcēluma 2" xfId="154" xr:uid="{00000000-0005-0000-0000-000007000000}"/>
    <cellStyle name="20% no 4. izcēluma 3" xfId="230" xr:uid="{A8DB4D5F-6BB0-4C95-BF37-19DF26094270}"/>
    <cellStyle name="20% no 5. izcēluma 2" xfId="156" xr:uid="{00000000-0005-0000-0000-000009000000}"/>
    <cellStyle name="20% no 5. izcēluma 3" xfId="233" xr:uid="{A32F06B0-3F09-44A7-8CC2-04FCC134D7A2}"/>
    <cellStyle name="20% no 6. izcēluma 2" xfId="158" xr:uid="{00000000-0005-0000-0000-00000B000000}"/>
    <cellStyle name="20% no 6. izcēluma 3" xfId="236" xr:uid="{D91FA401-D48B-4953-A089-E6168A38A39B}"/>
    <cellStyle name="40% - Accent1" xfId="119" builtinId="31" customBuiltin="1"/>
    <cellStyle name="40% - Accent1 2" xfId="179" xr:uid="{52F15773-EEB9-4FAB-B1D0-72EF0155F97D}"/>
    <cellStyle name="40% - Accent1 3" xfId="255" xr:uid="{3E5A396A-0448-4C32-9011-01F9C66BC61D}"/>
    <cellStyle name="40% - Accent2" xfId="123" builtinId="35" customBuiltin="1"/>
    <cellStyle name="40% - Accent2 2" xfId="182" xr:uid="{3B8FAB79-3B2B-45F3-A5EB-B230A3278B50}"/>
    <cellStyle name="40% - Accent2 3" xfId="258" xr:uid="{1181E458-A323-45CD-9455-A05C791EED05}"/>
    <cellStyle name="40% - Accent3" xfId="127" builtinId="39" customBuiltin="1"/>
    <cellStyle name="40% - Accent3 2" xfId="185" xr:uid="{2B662775-B899-4B35-8D7E-FCE4CD58456D}"/>
    <cellStyle name="40% - Accent3 3" xfId="261" xr:uid="{9AF3EAC6-520A-4CDF-9CAA-4E7F85768EEB}"/>
    <cellStyle name="40% - Accent4" xfId="131" builtinId="43" customBuiltin="1"/>
    <cellStyle name="40% - Accent4 2" xfId="188" xr:uid="{64C688F0-7CEF-4FE8-9E4F-59C5F7B42BEF}"/>
    <cellStyle name="40% - Accent4 3" xfId="264" xr:uid="{4CD6D80D-3FF9-4D61-B545-31BC888C668F}"/>
    <cellStyle name="40% - Accent5" xfId="135" builtinId="47" customBuiltin="1"/>
    <cellStyle name="40% - Accent5 2" xfId="191" xr:uid="{AF63A63F-2393-4DDD-B11E-1E8547F0F85D}"/>
    <cellStyle name="40% - Accent5 3" xfId="267" xr:uid="{549B5969-3EB4-4DD1-BDD8-95D7A6E0C93E}"/>
    <cellStyle name="40% - Accent6" xfId="139" builtinId="51" customBuiltin="1"/>
    <cellStyle name="40% - Accent6 2" xfId="194" xr:uid="{3A5C1458-F927-4ED5-9DF6-2B52D0C9B7BA}"/>
    <cellStyle name="40% - Accent6 3" xfId="270" xr:uid="{0D42A310-8352-4F0C-A4E1-061959AAB9CB}"/>
    <cellStyle name="40% no 1. izcēluma 2" xfId="149" xr:uid="{00000000-0005-0000-0000-00000D000000}"/>
    <cellStyle name="40% no 1. izcēluma 3" xfId="222" xr:uid="{79A19D2E-A8A2-4715-83EE-F09F8D21670E}"/>
    <cellStyle name="40% no 2. izcēluma 2" xfId="151" xr:uid="{00000000-0005-0000-0000-00000F000000}"/>
    <cellStyle name="40% no 2. izcēluma 3" xfId="225" xr:uid="{6D9775AC-6734-46A7-8000-8D06F849011F}"/>
    <cellStyle name="40% no 3. izcēluma 2" xfId="153" xr:uid="{00000000-0005-0000-0000-000011000000}"/>
    <cellStyle name="40% no 3. izcēluma 3" xfId="228" xr:uid="{1DBDB1B2-71C4-4862-AD1C-CDF14924E251}"/>
    <cellStyle name="40% no 4. izcēluma 2" xfId="155" xr:uid="{00000000-0005-0000-0000-000013000000}"/>
    <cellStyle name="40% no 4. izcēluma 3" xfId="231" xr:uid="{4A868E76-6305-44D7-A20B-7EEE03FAFAB6}"/>
    <cellStyle name="40% no 5. izcēluma 2" xfId="157" xr:uid="{00000000-0005-0000-0000-000015000000}"/>
    <cellStyle name="40% no 5. izcēluma 3" xfId="234" xr:uid="{4F8CC661-C589-4E31-9949-FDD729F9FFE2}"/>
    <cellStyle name="40% no 6. izcēluma 2" xfId="159" xr:uid="{00000000-0005-0000-0000-000017000000}"/>
    <cellStyle name="40% no 6. izcēluma 3" xfId="237" xr:uid="{21B6D52D-3270-4A1B-841E-69E38C4EE0ED}"/>
    <cellStyle name="60% - Accent1" xfId="120" builtinId="32" customBuiltin="1"/>
    <cellStyle name="60% - Accent1 2" xfId="180" xr:uid="{2FF805B4-7736-476D-9441-E38DA002F17C}"/>
    <cellStyle name="60% - Accent1 3" xfId="256" xr:uid="{1D71ECB8-1786-4327-A481-1DBC41CD12F6}"/>
    <cellStyle name="60% - Accent2" xfId="124" builtinId="36" customBuiltin="1"/>
    <cellStyle name="60% - Accent2 2" xfId="183" xr:uid="{C36BDC48-DDDB-44C7-9E4B-3FEFC6C7EE83}"/>
    <cellStyle name="60% - Accent2 3" xfId="259" xr:uid="{1FE7452F-6B7B-4BB2-8685-1812FF4DC364}"/>
    <cellStyle name="60% - Accent3" xfId="128" builtinId="40" customBuiltin="1"/>
    <cellStyle name="60% - Accent3 2" xfId="186" xr:uid="{129DABD0-E58B-4402-90C0-1CDA297E49E8}"/>
    <cellStyle name="60% - Accent3 3" xfId="262" xr:uid="{08802A62-7D09-45F3-ADFC-7526242635C2}"/>
    <cellStyle name="60% - Accent4" xfId="132" builtinId="44" customBuiltin="1"/>
    <cellStyle name="60% - Accent4 2" xfId="189" xr:uid="{4DF1C865-0303-4E8E-8163-9614765FC054}"/>
    <cellStyle name="60% - Accent4 3" xfId="265" xr:uid="{68A38B11-F7FC-4586-93CC-9F039F4577DA}"/>
    <cellStyle name="60% - Accent5" xfId="136" builtinId="48" customBuiltin="1"/>
    <cellStyle name="60% - Accent5 2" xfId="192" xr:uid="{49CE04F7-7C67-4035-B478-D5A0BC67A4F9}"/>
    <cellStyle name="60% - Accent5 3" xfId="268" xr:uid="{B7B32AEA-8954-41E2-ACA2-AF1C9415F3A5}"/>
    <cellStyle name="60% - Accent6" xfId="140" builtinId="52" customBuiltin="1"/>
    <cellStyle name="60% - Accent6 2" xfId="195" xr:uid="{E49FFC8E-C988-475A-9C83-E9CFCB701DBF}"/>
    <cellStyle name="60% - Accent6 3" xfId="271" xr:uid="{CE0272C9-98EC-4F79-8EFD-9FFA00968D36}"/>
    <cellStyle name="60% no 1. izcēluma 2" xfId="223" xr:uid="{BACF85F9-4A7D-4C85-89B8-81505C9E67CC}"/>
    <cellStyle name="60% no 2. izcēluma 2" xfId="226" xr:uid="{E8127104-1405-4FB8-A7A8-A9AC3EFE9E68}"/>
    <cellStyle name="60% no 3. izcēluma 2" xfId="229" xr:uid="{DF56DC40-6B6E-4ECB-9EB0-25F22FE902E7}"/>
    <cellStyle name="60% no 4. izcēluma 2" xfId="232" xr:uid="{B21BC850-C4D2-4CC5-A843-4B748E0B26A3}"/>
    <cellStyle name="60% no 5. izcēluma 2" xfId="235" xr:uid="{93DD5956-1773-4ED8-803E-11AD19B3C5C4}"/>
    <cellStyle name="60% no 6. izcēluma 2" xfId="238" xr:uid="{521FF28F-DC94-43B6-BBAC-663C1ED4DF4C}"/>
    <cellStyle name="Accent1" xfId="117" builtinId="29" customBuiltin="1"/>
    <cellStyle name="Accent2" xfId="121" builtinId="33" customBuiltin="1"/>
    <cellStyle name="Accent3" xfId="125" builtinId="37" customBuiltin="1"/>
    <cellStyle name="Accent4" xfId="129" builtinId="41" customBuiltin="1"/>
    <cellStyle name="Accent5" xfId="133" builtinId="45" customBuiltin="1"/>
    <cellStyle name="Accent6" xfId="137" builtinId="49" customBuiltin="1"/>
    <cellStyle name="Bad" xfId="107" builtinId="27" customBuiltin="1"/>
    <cellStyle name="Calculation" xfId="111" builtinId="22" customBuiltin="1"/>
    <cellStyle name="Check Cell" xfId="113" builtinId="23" customBuiltin="1"/>
    <cellStyle name="Comma" xfId="1" builtinId="3"/>
    <cellStyle name="Comma 2" xfId="217" xr:uid="{A6C95BC1-19F2-4D14-8F05-F1BCAFFD66B6}"/>
    <cellStyle name="Comma 2 2" xfId="25" xr:uid="{00000000-0005-0000-0000-000020000000}"/>
    <cellStyle name="Comma 2 3" xfId="275" xr:uid="{F9D5D71F-661B-4307-A0AF-6B2ED6BF2B9D}"/>
    <cellStyle name="Comma 3" xfId="30" xr:uid="{00000000-0005-0000-0000-000021000000}"/>
    <cellStyle name="Comma 3 2" xfId="98" xr:uid="{00000000-0005-0000-0000-000022000000}"/>
    <cellStyle name="Comma 3 3" xfId="12" xr:uid="{00000000-0005-0000-0000-000023000000}"/>
    <cellStyle name="Comma 4" xfId="249" xr:uid="{AC4A0D79-086A-4C7A-AFC2-E1C60832C341}"/>
    <cellStyle name="Comma 4 2" xfId="11" xr:uid="{00000000-0005-0000-0000-000024000000}"/>
    <cellStyle name="Comma 5" xfId="8" xr:uid="{00000000-0005-0000-0000-000025000000}"/>
    <cellStyle name="Comma 6" xfId="251" xr:uid="{20C29D04-42EB-4FAE-971A-CDD78EB55D47}"/>
    <cellStyle name="Comma 6 2" xfId="15" xr:uid="{00000000-0005-0000-0000-000026000000}"/>
    <cellStyle name="Comma 7" xfId="273" xr:uid="{5DB96E3C-C4BF-462A-82BC-319C1315BCE8}"/>
    <cellStyle name="Currency 2" xfId="214" xr:uid="{A0439C78-5394-45FD-B783-E1E5BD692DBF}"/>
    <cellStyle name="Datums" xfId="209" xr:uid="{177CD88D-07C8-4806-B238-51403151868B}"/>
    <cellStyle name="Excel Built-in Comma" xfId="69" xr:uid="{00000000-0005-0000-0000-000028000000}"/>
    <cellStyle name="Excel Built-in Normal" xfId="54" xr:uid="{00000000-0005-0000-0000-000029000000}"/>
    <cellStyle name="Excel Built-in Percent" xfId="68" xr:uid="{00000000-0005-0000-0000-00002A000000}"/>
    <cellStyle name="Explanatory Text" xfId="115" builtinId="53" customBuiltin="1"/>
    <cellStyle name="Explanatory Text 2" xfId="207" xr:uid="{A0498B9A-D992-4E78-BF25-546CAE2BE786}"/>
    <cellStyle name="Good" xfId="106" builtinId="26" customBuiltin="1"/>
    <cellStyle name="Heading 1" xfId="102" builtinId="16" customBuiltin="1"/>
    <cellStyle name="Heading 1 2" xfId="204" xr:uid="{E98B7448-A897-4EA1-9906-18A8FE0D192D}"/>
    <cellStyle name="Heading 2" xfId="103" builtinId="17" customBuiltin="1"/>
    <cellStyle name="Heading 2 2" xfId="208" xr:uid="{FF1DA6CD-3B3A-4E9F-90B0-39C524CC5C89}"/>
    <cellStyle name="Heading 3" xfId="104" builtinId="18" customBuiltin="1"/>
    <cellStyle name="Heading 3 2" xfId="211" xr:uid="{EC5204E5-D883-4752-94D0-7259464FE54C}"/>
    <cellStyle name="Heading 4" xfId="105" builtinId="19" customBuiltin="1"/>
    <cellStyle name="Heading 4 2" xfId="212" xr:uid="{5BE628C0-8046-4E7E-9D76-388CC31BADE7}"/>
    <cellStyle name="Hipersaite 2" xfId="41" xr:uid="{00000000-0005-0000-0000-00002C000000}"/>
    <cellStyle name="Hipersaite 3" xfId="91" xr:uid="{00000000-0005-0000-0000-00002D000000}"/>
    <cellStyle name="Hipersaite 4" xfId="197" xr:uid="{6744AC71-A348-4DB4-9CF9-D7854F4985EF}"/>
    <cellStyle name="Hyperlink" xfId="173" builtinId="8"/>
    <cellStyle name="Input" xfId="109" builtinId="20" customBuiltin="1"/>
    <cellStyle name="Komats 10" xfId="5" xr:uid="{00000000-0005-0000-0000-000037000000}"/>
    <cellStyle name="Komats 10 2" xfId="61" xr:uid="{00000000-0005-0000-0000-000038000000}"/>
    <cellStyle name="Komats 11" xfId="78" xr:uid="{00000000-0005-0000-0000-000039000000}"/>
    <cellStyle name="Komats 12" xfId="99" xr:uid="{00000000-0005-0000-0000-00003A000000}"/>
    <cellStyle name="Komats 13" xfId="23" xr:uid="{00000000-0005-0000-0000-00003B000000}"/>
    <cellStyle name="Komats 13 2" xfId="58" xr:uid="{00000000-0005-0000-0000-00003C000000}"/>
    <cellStyle name="Komats 14" xfId="145" xr:uid="{00000000-0005-0000-0000-00003D000000}"/>
    <cellStyle name="Komats 15" xfId="201" xr:uid="{B05EB464-085D-4EEA-BAF8-CC5AD2B4A2D0}"/>
    <cellStyle name="Komats 18" xfId="20" xr:uid="{00000000-0005-0000-0000-00003E000000}"/>
    <cellStyle name="Komats 18 2" xfId="36" xr:uid="{00000000-0005-0000-0000-00003F000000}"/>
    <cellStyle name="Komats 2" xfId="29" xr:uid="{00000000-0005-0000-0000-000040000000}"/>
    <cellStyle name="Komats 2 2" xfId="60" xr:uid="{00000000-0005-0000-0000-000041000000}"/>
    <cellStyle name="Komats 2 3" xfId="161" xr:uid="{00000000-0005-0000-0000-000042000000}"/>
    <cellStyle name="Komats 20" xfId="19" xr:uid="{00000000-0005-0000-0000-000043000000}"/>
    <cellStyle name="Komats 20 2" xfId="50" xr:uid="{00000000-0005-0000-0000-000044000000}"/>
    <cellStyle name="Komats 20 3" xfId="57" xr:uid="{00000000-0005-0000-0000-000045000000}"/>
    <cellStyle name="Komats 20 4" xfId="81" xr:uid="{00000000-0005-0000-0000-000046000000}"/>
    <cellStyle name="Komats 3" xfId="49" xr:uid="{00000000-0005-0000-0000-000047000000}"/>
    <cellStyle name="Komats 3 2" xfId="63" xr:uid="{00000000-0005-0000-0000-000048000000}"/>
    <cellStyle name="Komats 3 3" xfId="87" xr:uid="{00000000-0005-0000-0000-000049000000}"/>
    <cellStyle name="Komats 3 4" xfId="165" xr:uid="{00000000-0005-0000-0000-00004A000000}"/>
    <cellStyle name="Komats 4" xfId="24" xr:uid="{00000000-0005-0000-0000-00004B000000}"/>
    <cellStyle name="Komats 4 2" xfId="39" xr:uid="{00000000-0005-0000-0000-00004C000000}"/>
    <cellStyle name="Komats 4 3" xfId="59" xr:uid="{00000000-0005-0000-0000-00004D000000}"/>
    <cellStyle name="Komats 5" xfId="67" xr:uid="{00000000-0005-0000-0000-00004E000000}"/>
    <cellStyle name="Komats 6" xfId="22" xr:uid="{00000000-0005-0000-0000-00004F000000}"/>
    <cellStyle name="Komats 7" xfId="72" xr:uid="{00000000-0005-0000-0000-000050000000}"/>
    <cellStyle name="Komats 7 2" xfId="144" xr:uid="{00000000-0005-0000-0000-000051000000}"/>
    <cellStyle name="Komats 8" xfId="75" xr:uid="{00000000-0005-0000-0000-000052000000}"/>
    <cellStyle name="Komats 9" xfId="17" xr:uid="{00000000-0005-0000-0000-000053000000}"/>
    <cellStyle name="Komentāri" xfId="213" xr:uid="{01923C97-C140-46F8-BB35-E6786FEC1363}"/>
    <cellStyle name="Labs 2" xfId="27" xr:uid="{00000000-0005-0000-0000-000056000000}"/>
    <cellStyle name="Linked Cell" xfId="112" builtinId="24" customBuiltin="1"/>
    <cellStyle name="Neitrāls 2" xfId="219" xr:uid="{E6A96BF4-61AC-4D2C-811D-29F06C7D1AE5}"/>
    <cellStyle name="Neutral" xfId="108" builtinId="28" customBuiltin="1"/>
    <cellStyle name="Neutral 2" xfId="176" xr:uid="{3B14C34B-77DA-4AF7-A04A-380F8ABDA04A}"/>
    <cellStyle name="Normal" xfId="0" builtinId="0"/>
    <cellStyle name="Normal 10" xfId="18" xr:uid="{00000000-0005-0000-0000-000058000000}"/>
    <cellStyle name="Normal 11" xfId="245" xr:uid="{5575246C-A952-4A15-BADA-9F19CD9E65C6}"/>
    <cellStyle name="Normal 12" xfId="248" xr:uid="{1D4F9D85-0A78-43F9-9239-E886866C899F}"/>
    <cellStyle name="Normal 13" xfId="250" xr:uid="{70DA57D8-BE06-4782-A262-EFEB9F93E445}"/>
    <cellStyle name="Normal 14" xfId="252" xr:uid="{665D8E63-7A1E-4286-B974-6D3B17E8B04A}"/>
    <cellStyle name="Normal 15" xfId="276" xr:uid="{C80C7041-BB14-456D-9302-2AF9849B0E49}"/>
    <cellStyle name="Normal 16" xfId="278" xr:uid="{43964294-11B4-4CCE-A740-D6F1CF325A5C}"/>
    <cellStyle name="Normal 2" xfId="42" xr:uid="{00000000-0005-0000-0000-000059000000}"/>
    <cellStyle name="Normal 2 2" xfId="7" xr:uid="{00000000-0005-0000-0000-00005A000000}"/>
    <cellStyle name="Normal 2 2 2" xfId="52" xr:uid="{00000000-0005-0000-0000-00005B000000}"/>
    <cellStyle name="Normal 2 2 2 2" xfId="16" xr:uid="{00000000-0005-0000-0000-00005C000000}"/>
    <cellStyle name="Normal 2 3" xfId="64" xr:uid="{00000000-0005-0000-0000-00005D000000}"/>
    <cellStyle name="Normal 2 4" xfId="167" xr:uid="{00000000-0005-0000-0000-00005E000000}"/>
    <cellStyle name="Normal 2 5" xfId="274" xr:uid="{700C907F-C361-4212-BDF9-43011535042A}"/>
    <cellStyle name="Normal 3" xfId="51" xr:uid="{00000000-0005-0000-0000-00005F000000}"/>
    <cellStyle name="Normal 3 2" xfId="45" xr:uid="{00000000-0005-0000-0000-000060000000}"/>
    <cellStyle name="Normal 3 3" xfId="37" xr:uid="{00000000-0005-0000-0000-000061000000}"/>
    <cellStyle name="Normal 3 4" xfId="162" xr:uid="{00000000-0005-0000-0000-000062000000}"/>
    <cellStyle name="Normal 4" xfId="10" xr:uid="{00000000-0005-0000-0000-000063000000}"/>
    <cellStyle name="Normal 4 2" xfId="47" xr:uid="{00000000-0005-0000-0000-000064000000}"/>
    <cellStyle name="Normal 4 3" xfId="168" xr:uid="{00000000-0005-0000-0000-000065000000}"/>
    <cellStyle name="Normal 4 3 2" xfId="199" xr:uid="{7941E8FE-1001-4537-B72B-74FF7E985732}"/>
    <cellStyle name="Normal 4 3 2 2" xfId="241" xr:uid="{07A6D629-704A-4AD3-960C-E38FF4D2C387}"/>
    <cellStyle name="Normal 4 3 3" xfId="203" xr:uid="{1EEB7F85-9DF1-4FF9-BB7F-7A0A3BDFEC8F}"/>
    <cellStyle name="Normal 4 3 4" xfId="240" xr:uid="{23EF9E90-9BAF-472E-B63C-4831EE5CD3B5}"/>
    <cellStyle name="Normal 5" xfId="38" xr:uid="{00000000-0005-0000-0000-000066000000}"/>
    <cellStyle name="Normal 5 2" xfId="46" xr:uid="{00000000-0005-0000-0000-000067000000}"/>
    <cellStyle name="Normal 6" xfId="70" xr:uid="{00000000-0005-0000-0000-000068000000}"/>
    <cellStyle name="Normal 6 2" xfId="97" xr:uid="{00000000-0005-0000-0000-000069000000}"/>
    <cellStyle name="Normal 7" xfId="175" xr:uid="{91F72C39-2101-4206-AB1D-117A4479389E}"/>
    <cellStyle name="Normal 7 2" xfId="216" xr:uid="{B39A0216-0C63-4619-93B3-621879552DDB}"/>
    <cellStyle name="Normal 8" xfId="206" xr:uid="{06CF81E4-4CEE-4FB3-98A1-BFD93CCD82A7}"/>
    <cellStyle name="Normal 9" xfId="243" xr:uid="{E2B71D29-652D-40F2-B8AC-0C8EC8E6795B}"/>
    <cellStyle name="Note 2" xfId="177" xr:uid="{AA97006D-4E69-4CC6-8481-354EBBA19CC9}"/>
    <cellStyle name="Note 3" xfId="215" xr:uid="{C0D84A79-D75B-4349-B990-6E2C649B60A1}"/>
    <cellStyle name="Note 4" xfId="253" xr:uid="{AF2C6C55-2CA7-4924-A4AC-240F6A75F761}"/>
    <cellStyle name="Output" xfId="110" builtinId="21" customBuiltin="1"/>
    <cellStyle name="Parastais_Lapa2" xfId="40" xr:uid="{00000000-0005-0000-0000-00006D000000}"/>
    <cellStyle name="Parasts 10" xfId="74" xr:uid="{00000000-0005-0000-0000-00006F000000}"/>
    <cellStyle name="Parasts 11" xfId="76" xr:uid="{00000000-0005-0000-0000-000070000000}"/>
    <cellStyle name="Parasts 12" xfId="77" xr:uid="{00000000-0005-0000-0000-000071000000}"/>
    <cellStyle name="Parasts 13" xfId="82" xr:uid="{00000000-0005-0000-0000-000072000000}"/>
    <cellStyle name="Parasts 14" xfId="84" xr:uid="{00000000-0005-0000-0000-000073000000}"/>
    <cellStyle name="Parasts 15" xfId="90" xr:uid="{00000000-0005-0000-0000-000074000000}"/>
    <cellStyle name="Parasts 15 2" xfId="94" xr:uid="{00000000-0005-0000-0000-000075000000}"/>
    <cellStyle name="Parasts 16" xfId="92" xr:uid="{00000000-0005-0000-0000-000076000000}"/>
    <cellStyle name="Parasts 17" xfId="96" xr:uid="{00000000-0005-0000-0000-000077000000}"/>
    <cellStyle name="Parasts 18" xfId="141" xr:uid="{00000000-0005-0000-0000-000078000000}"/>
    <cellStyle name="Parasts 19" xfId="146" xr:uid="{00000000-0005-0000-0000-000079000000}"/>
    <cellStyle name="Parasts 2" xfId="28" xr:uid="{00000000-0005-0000-0000-00007A000000}"/>
    <cellStyle name="Parasts 2 2" xfId="3" xr:uid="{00000000-0005-0000-0000-00007B000000}"/>
    <cellStyle name="Parasts 2 2 2" xfId="13" xr:uid="{00000000-0005-0000-0000-00007C000000}"/>
    <cellStyle name="Parasts 2 2 2 2" xfId="65" xr:uid="{00000000-0005-0000-0000-00007D000000}"/>
    <cellStyle name="Parasts 2 2 2 2 2 2" xfId="246" xr:uid="{AC96DA57-6BDC-46BB-80C2-D97C9371E98E}"/>
    <cellStyle name="Parasts 2 2 3" xfId="32" xr:uid="{00000000-0005-0000-0000-00007E000000}"/>
    <cellStyle name="Parasts 2 2 4" xfId="35" xr:uid="{00000000-0005-0000-0000-00007F000000}"/>
    <cellStyle name="Parasts 2 2 5" xfId="43" xr:uid="{00000000-0005-0000-0000-000080000000}"/>
    <cellStyle name="Parasts 2 2 5 2" xfId="83" xr:uid="{00000000-0005-0000-0000-000081000000}"/>
    <cellStyle name="Parasts 2 2 5 3" xfId="89" xr:uid="{00000000-0005-0000-0000-000082000000}"/>
    <cellStyle name="Parasts 2 2 5 4" xfId="93" xr:uid="{00000000-0005-0000-0000-000083000000}"/>
    <cellStyle name="Parasts 2 2 5 5" xfId="174" xr:uid="{00000000-0005-0000-0000-000084000000}"/>
    <cellStyle name="Parasts 2 2 5 6" xfId="277" xr:uid="{658CDF09-23CA-4087-BCC9-68BBFE19ED36}"/>
    <cellStyle name="Parasts 2 3" xfId="86" xr:uid="{00000000-0005-0000-0000-000085000000}"/>
    <cellStyle name="Parasts 2 4" xfId="170" xr:uid="{00000000-0005-0000-0000-000086000000}"/>
    <cellStyle name="Parasts 2 5" xfId="272" xr:uid="{864894B5-703B-41B0-A3F8-C8987EA1DFC8}"/>
    <cellStyle name="Parasts 20" xfId="166" xr:uid="{00000000-0005-0000-0000-000087000000}"/>
    <cellStyle name="Parasts 20 2" xfId="198" xr:uid="{75C7A2B3-6BCE-4112-A10A-55E82BAF20CE}"/>
    <cellStyle name="Parasts 20 3" xfId="202" xr:uid="{9577B0DB-EFB8-4226-AE75-FBD61AB104D3}"/>
    <cellStyle name="Parasts 20 4" xfId="239" xr:uid="{96EF8392-9C93-4913-B028-411468475788}"/>
    <cellStyle name="Parasts 21" xfId="172" xr:uid="{00000000-0005-0000-0000-000088000000}"/>
    <cellStyle name="Parasts 22" xfId="196" xr:uid="{838BED57-F8F7-4C64-A2D0-8B3E18F8B431}"/>
    <cellStyle name="Parasts 23" xfId="200" xr:uid="{A9EB4556-2728-4537-8824-E4B437D8C3EC}"/>
    <cellStyle name="Parasts 24" xfId="218" xr:uid="{B555F44A-3B4B-4C67-8753-6B33B9A32A6D}"/>
    <cellStyle name="Parasts 24 2" xfId="244" xr:uid="{C7F7D1DA-786D-40A6-8C6D-C94B002410C9}"/>
    <cellStyle name="Parasts 3" xfId="33" xr:uid="{00000000-0005-0000-0000-000089000000}"/>
    <cellStyle name="Parasts 3 2" xfId="44" xr:uid="{00000000-0005-0000-0000-00008A000000}"/>
    <cellStyle name="Parasts 3 3" xfId="88" xr:uid="{00000000-0005-0000-0000-00008B000000}"/>
    <cellStyle name="Parasts 3 4" xfId="160" xr:uid="{00000000-0005-0000-0000-00008C000000}"/>
    <cellStyle name="Parasts 3 4 2" xfId="247" xr:uid="{AF31DD25-E13D-4B36-B8CB-BC7F8C6466B8}"/>
    <cellStyle name="Parasts 3 5" xfId="163" xr:uid="{00000000-0005-0000-0000-00008D000000}"/>
    <cellStyle name="Parasts 4" xfId="48" xr:uid="{00000000-0005-0000-0000-00008E000000}"/>
    <cellStyle name="Parasts 4 2" xfId="62" xr:uid="{00000000-0005-0000-0000-00008F000000}"/>
    <cellStyle name="Parasts 4 3" xfId="100" xr:uid="{00000000-0005-0000-0000-000090000000}"/>
    <cellStyle name="Parasts 4 4" xfId="164" xr:uid="{00000000-0005-0000-0000-000091000000}"/>
    <cellStyle name="Parasts 5" xfId="53" xr:uid="{00000000-0005-0000-0000-000092000000}"/>
    <cellStyle name="Parasts 6" xfId="55" xr:uid="{00000000-0005-0000-0000-000093000000}"/>
    <cellStyle name="Parasts 7" xfId="26" xr:uid="{00000000-0005-0000-0000-000094000000}"/>
    <cellStyle name="Parasts 8" xfId="66" xr:uid="{00000000-0005-0000-0000-000095000000}"/>
    <cellStyle name="Parasts 9" xfId="71" xr:uid="{00000000-0005-0000-0000-000096000000}"/>
    <cellStyle name="Parasts 9 2" xfId="143" xr:uid="{00000000-0005-0000-0000-000097000000}"/>
    <cellStyle name="Percent" xfId="2" builtinId="5"/>
    <cellStyle name="Percent 3 2" xfId="14" xr:uid="{00000000-0005-0000-0000-00009A000000}"/>
    <cellStyle name="Percent 4" xfId="9" xr:uid="{00000000-0005-0000-0000-00009B000000}"/>
    <cellStyle name="Piezīme 2" xfId="142" xr:uid="{00000000-0005-0000-0000-00009C000000}"/>
    <cellStyle name="Piezīme 3" xfId="147" xr:uid="{00000000-0005-0000-0000-00009D000000}"/>
    <cellStyle name="Piezīme 4" xfId="220" xr:uid="{31E00C30-DE24-4229-8B20-70128355722C}"/>
    <cellStyle name="Procenti 2" xfId="31" xr:uid="{00000000-0005-0000-0000-00009F000000}"/>
    <cellStyle name="Procenti 2 2" xfId="95" xr:uid="{00000000-0005-0000-0000-0000A0000000}"/>
    <cellStyle name="Procenti 2 3" xfId="4" xr:uid="{00000000-0005-0000-0000-0000A1000000}"/>
    <cellStyle name="Procenti 2 4" xfId="171" xr:uid="{00000000-0005-0000-0000-0000A2000000}"/>
    <cellStyle name="Procenti 3" xfId="34" xr:uid="{00000000-0005-0000-0000-0000A3000000}"/>
    <cellStyle name="Procenti 4" xfId="56" xr:uid="{00000000-0005-0000-0000-0000A4000000}"/>
    <cellStyle name="Procenti 5" xfId="6" xr:uid="{00000000-0005-0000-0000-0000A5000000}"/>
    <cellStyle name="Procenti 6" xfId="73" xr:uid="{00000000-0005-0000-0000-0000A6000000}"/>
    <cellStyle name="Procenti 7" xfId="80" xr:uid="{00000000-0005-0000-0000-0000A7000000}"/>
    <cellStyle name="Style 1" xfId="169" xr:uid="{00000000-0005-0000-0000-0000AA000000}"/>
    <cellStyle name="Tālruņa numurs" xfId="210" xr:uid="{B8C2BBA4-491B-4C8E-967C-8909EA0A9A6D}"/>
    <cellStyle name="Title" xfId="101" builtinId="15" customBuiltin="1"/>
    <cellStyle name="Title 2" xfId="205" xr:uid="{F7EDA3B8-B2E2-476D-9C0C-F20AEF5341CE}"/>
    <cellStyle name="Total" xfId="116" builtinId="25" customBuiltin="1"/>
    <cellStyle name="Valūta 2" xfId="21" xr:uid="{00000000-0005-0000-0000-0000AC000000}"/>
    <cellStyle name="Valūta 3" xfId="79" xr:uid="{00000000-0005-0000-0000-0000AD000000}"/>
    <cellStyle name="Valūta 4" xfId="242" xr:uid="{E97C5B63-0097-415C-A38C-0E0328028B59}"/>
    <cellStyle name="Virsraksts 2 2" xfId="85" xr:uid="{00000000-0005-0000-0000-0000B0000000}"/>
    <cellStyle name="Warning Text" xfId="114" builtinId="11" customBuiltin="1"/>
  </cellStyles>
  <dxfs count="17">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theme="0" tint="-4.9989318521683403E-2"/>
        </patternFill>
      </fill>
      <border>
        <left style="thin">
          <color auto="1"/>
        </left>
        <right style="thin">
          <color auto="1"/>
        </right>
        <top style="thin">
          <color auto="1"/>
        </top>
        <bottom style="thin">
          <color auto="1"/>
        </bottom>
      </border>
    </dxf>
    <dxf>
      <border>
        <left style="thin">
          <color auto="1"/>
        </left>
      </border>
    </dxf>
    <dxf>
      <font>
        <b val="0"/>
        <i val="0"/>
        <color theme="1"/>
      </font>
      <border diagonalUp="0" diagonalDown="0">
        <left/>
        <right/>
        <top style="thin">
          <color auto="1"/>
        </top>
        <bottom/>
        <vertical/>
        <horizontal/>
      </border>
    </dxf>
    <dxf>
      <font>
        <b/>
        <i val="0"/>
        <color auto="1"/>
      </font>
      <fill>
        <patternFill patternType="solid">
          <fgColor theme="1"/>
          <bgColor theme="0" tint="-4.9989318521683403E-2"/>
        </patternFill>
      </fill>
      <border>
        <left style="thin">
          <color auto="1"/>
        </left>
        <right style="thin">
          <color auto="1"/>
        </right>
        <top style="thin">
          <color auto="1"/>
        </top>
        <bottom style="thin">
          <color auto="1"/>
        </bottom>
      </border>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Cenas piedāvājums bez nodokļiem" pivot="0" count="5" xr9:uid="{871887C5-7C14-480F-844A-DDBD2B7AF061}">
      <tableStyleElement type="wholeTable" dxfId="16"/>
      <tableStyleElement type="headerRow" dxfId="15"/>
      <tableStyleElement type="totalRow" dxfId="14"/>
      <tableStyleElement type="lastColumn" dxfId="13"/>
      <tableStyleElement type="lastTotalCell" dxfId="12"/>
    </tableStyle>
  </tableStyles>
  <colors>
    <mruColors>
      <color rgb="FFFFFFCC"/>
      <color rgb="FFFFFF99"/>
      <color rgb="FF8E267F"/>
      <color rgb="FFFF8B8B"/>
      <color rgb="FF6CA644"/>
      <color rgb="FFFFCC66"/>
      <color rgb="FF0FA8C1"/>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24168085369041"/>
          <c:y val="1.6773046374831801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3251663631605779"/>
          <c:y val="0.1721415648019772"/>
          <c:w val="0.63943464094030245"/>
          <c:h val="0.79066176459061488"/>
        </c:manualLayout>
      </c:layout>
      <c:barChart>
        <c:barDir val="bar"/>
        <c:grouping val="clustered"/>
        <c:varyColors val="0"/>
        <c:ser>
          <c:idx val="0"/>
          <c:order val="0"/>
          <c:tx>
            <c:strRef>
              <c:f>Grafiki_budžeta_izpilde!$D$5</c:f>
              <c:strCache>
                <c:ptCount val="1"/>
                <c:pt idx="0">
                  <c:v>Ieņēmumu izpilde, %, 2024.g. 4 ceturkšņi</c:v>
                </c:pt>
              </c:strCache>
            </c:strRef>
          </c:tx>
          <c:spPr>
            <a:solidFill>
              <a:schemeClr val="accent6"/>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4D7731"/>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0BE-44CF-BB37-ECA97D4B58CE}"/>
              </c:ext>
            </c:extLst>
          </c:dPt>
          <c:dPt>
            <c:idx val="2"/>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58B-4CEC-8F82-F1B409F87F58}"/>
              </c:ext>
            </c:extLst>
          </c:dPt>
          <c:dPt>
            <c:idx val="3"/>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E58B-4CEC-8F82-F1B409F87F58}"/>
              </c:ext>
            </c:extLst>
          </c:dPt>
          <c:dPt>
            <c:idx val="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E58B-4CEC-8F82-F1B409F87F58}"/>
              </c:ext>
            </c:extLst>
          </c:dPt>
          <c:dPt>
            <c:idx val="10"/>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E58B-4CEC-8F82-F1B409F87F58}"/>
              </c:ext>
            </c:extLst>
          </c:dPt>
          <c:dPt>
            <c:idx val="11"/>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E58B-4CEC-8F82-F1B409F87F58}"/>
              </c:ext>
            </c:extLst>
          </c:dPt>
          <c:dPt>
            <c:idx val="1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5295-4FC9-9B8A-67C7A571446E}"/>
              </c:ext>
            </c:extLst>
          </c:dPt>
          <c:dPt>
            <c:idx val="15"/>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295-4FC9-9B8A-67C7A571446E}"/>
              </c:ext>
            </c:extLst>
          </c:dPt>
          <c:dPt>
            <c:idx val="16"/>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295-4FC9-9B8A-67C7A571446E}"/>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Grafiki_budžeta_izpilde!$A$6:$A$22</c:f>
              <c:strCache>
                <c:ptCount val="17"/>
                <c:pt idx="0">
                  <c:v>IEŅĒMUMI kopā</c:v>
                </c:pt>
                <c:pt idx="1">
                  <c:v>1. Nodokļu ieņēmumi</c:v>
                </c:pt>
                <c:pt idx="2">
                  <c:v>1.1. Iedzīvotāju ienākuma nodoklis</c:v>
                </c:pt>
                <c:pt idx="3">
                  <c:v>1.2. Nekustamā īpašuma nodokļu ieņēmumi</c:v>
                </c:pt>
                <c:pt idx="4">
                  <c:v>1.3. Dabas resursu nodoklis</c:v>
                </c:pt>
                <c:pt idx="5">
                  <c:v>2. Valsts (pašvaldību) un kancelejas nodevas</c:v>
                </c:pt>
                <c:pt idx="6">
                  <c:v>3. Naudas sodi un sankcijas</c:v>
                </c:pt>
                <c:pt idx="7">
                  <c:v>4. Pārējie nenodokļu ieņēmumi</c:v>
                </c:pt>
                <c:pt idx="8">
                  <c:v>5. Ieņēmumi no pašvaldības īpašuma pārdošanas</c:v>
                </c:pt>
                <c:pt idx="9">
                  <c:v>6. Valsts budžeta transferti un projektu finansējums</c:v>
                </c:pt>
                <c:pt idx="10">
                  <c:v>6.1. Valsts budžeta transferti</c:v>
                </c:pt>
                <c:pt idx="11">
                  <c:v>6.2. ES struktūrfondu līdzekļi un aktivitāšu līdzfin.</c:v>
                </c:pt>
                <c:pt idx="12">
                  <c:v>7. Pašvaldību budžeta transferti</c:v>
                </c:pt>
                <c:pt idx="13">
                  <c:v>8. Budžeta iestāžu ieņēmumi</c:v>
                </c:pt>
                <c:pt idx="14">
                  <c:v>8.1. Maksa par izglītības pakalpojumiem u.c. ieņēmumi</c:v>
                </c:pt>
                <c:pt idx="15">
                  <c:v>8.2. Ieņēmumi par nomu un īri</c:v>
                </c:pt>
                <c:pt idx="16">
                  <c:v>8.3. CKS ieņēmumi no dzīvokļu un komunālajiem pakalpojumiem</c:v>
                </c:pt>
              </c:strCache>
            </c:strRef>
          </c:cat>
          <c:val>
            <c:numRef>
              <c:f>Grafiki_budžeta_izpilde!$D$6:$D$22</c:f>
              <c:numCache>
                <c:formatCode>0%</c:formatCode>
                <c:ptCount val="17"/>
                <c:pt idx="0">
                  <c:v>1.0350043085890193</c:v>
                </c:pt>
                <c:pt idx="1">
                  <c:v>1.0508771905698144</c:v>
                </c:pt>
                <c:pt idx="2">
                  <c:v>1.0528504093114748</c:v>
                </c:pt>
                <c:pt idx="3">
                  <c:v>1.0303955244037617</c:v>
                </c:pt>
                <c:pt idx="4">
                  <c:v>0.98426771428571413</c:v>
                </c:pt>
                <c:pt idx="5">
                  <c:v>1.0343446706586825</c:v>
                </c:pt>
                <c:pt idx="6">
                  <c:v>1.4591661333333332</c:v>
                </c:pt>
                <c:pt idx="7">
                  <c:v>1.1736959443972965</c:v>
                </c:pt>
                <c:pt idx="8">
                  <c:v>1.3756610901745889</c:v>
                </c:pt>
                <c:pt idx="9">
                  <c:v>0.97331564267612025</c:v>
                </c:pt>
                <c:pt idx="10">
                  <c:v>0.98607622445806675</c:v>
                </c:pt>
                <c:pt idx="11">
                  <c:v>0.86661915745083684</c:v>
                </c:pt>
                <c:pt idx="12">
                  <c:v>0.99601010666666656</c:v>
                </c:pt>
                <c:pt idx="13">
                  <c:v>1.014322814593817</c:v>
                </c:pt>
                <c:pt idx="14">
                  <c:v>0.96691304505813991</c:v>
                </c:pt>
                <c:pt idx="15">
                  <c:v>1.185184682257427</c:v>
                </c:pt>
                <c:pt idx="16">
                  <c:v>1.0001315642482105</c:v>
                </c:pt>
              </c:numCache>
            </c:numRef>
          </c:val>
          <c:extLst>
            <c:ext xmlns:c16="http://schemas.microsoft.com/office/drawing/2014/chart" uri="{C3380CC4-5D6E-409C-BE32-E72D297353CC}">
              <c16:uniqueId val="{0000000C-80BE-44CF-BB37-ECA97D4B58CE}"/>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4840928"/>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3251663631605779"/>
          <c:y val="0.13883188328223783"/>
          <c:w val="0.63943464094030245"/>
          <c:h val="0.82397161312193878"/>
        </c:manualLayout>
      </c:layout>
      <c:barChart>
        <c:barDir val="bar"/>
        <c:grouping val="clustered"/>
        <c:varyColors val="0"/>
        <c:ser>
          <c:idx val="0"/>
          <c:order val="0"/>
          <c:tx>
            <c:strRef>
              <c:f>Grafiki_budžeta_izpilde!$D$50</c:f>
              <c:strCache>
                <c:ptCount val="1"/>
                <c:pt idx="0">
                  <c:v>Izdevumu izpilde, %, 2024.g. 4 ceturkšņi</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1">
                  <a:lumMod val="5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172-4793-95F1-0F2B152A96E2}"/>
              </c:ext>
            </c:extLst>
          </c:dPt>
          <c:dPt>
            <c:idx val="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A-96FB-4AF0-9D0D-BC9C21817BA5}"/>
              </c:ext>
            </c:extLst>
          </c:dPt>
          <c:dPt>
            <c:idx val="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96FB-4AF0-9D0D-BC9C21817BA5}"/>
              </c:ext>
            </c:extLst>
          </c:dPt>
          <c:dPt>
            <c:idx val="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C-96FB-4AF0-9D0D-BC9C21817BA5}"/>
              </c:ext>
            </c:extLst>
          </c:dPt>
          <c:dPt>
            <c:idx val="1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0-96FB-4AF0-9D0D-BC9C21817BA5}"/>
              </c:ext>
            </c:extLst>
          </c:dPt>
          <c:dPt>
            <c:idx val="1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54A2-49C4-9107-D032EFAA6039}"/>
              </c:ext>
            </c:extLst>
          </c:dPt>
          <c:dPt>
            <c:idx val="1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54A2-49C4-9107-D032EFAA6039}"/>
              </c:ext>
            </c:extLst>
          </c:dPt>
          <c:dPt>
            <c:idx val="1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1C7-4C8C-9093-0D1697AC3B96}"/>
              </c:ext>
            </c:extLst>
          </c:dPt>
          <c:dPt>
            <c:idx val="1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0032-4F42-BAE8-9E7DBA7C367A}"/>
              </c:ext>
            </c:extLst>
          </c:dPt>
          <c:dPt>
            <c:idx val="1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0032-4F42-BAE8-9E7DBA7C367A}"/>
              </c:ext>
            </c:extLst>
          </c:dPt>
          <c:dPt>
            <c:idx val="19"/>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0032-4F42-BAE8-9E7DBA7C367A}"/>
              </c:ext>
            </c:extLst>
          </c:dPt>
          <c:dPt>
            <c:idx val="2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0032-4F42-BAE8-9E7DBA7C367A}"/>
              </c:ext>
            </c:extLst>
          </c:dPt>
          <c:dPt>
            <c:idx val="2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0032-4F42-BAE8-9E7DBA7C367A}"/>
              </c:ext>
            </c:extLst>
          </c:dPt>
          <c:dPt>
            <c:idx val="2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1C50-496A-AC12-B5A391D1F2A9}"/>
              </c:ext>
            </c:extLst>
          </c:dPt>
          <c:dPt>
            <c:idx val="2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1C50-496A-AC12-B5A391D1F2A9}"/>
              </c:ext>
            </c:extLst>
          </c:dPt>
          <c:dPt>
            <c:idx val="2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1C50-496A-AC12-B5A391D1F2A9}"/>
              </c:ext>
            </c:extLst>
          </c:dPt>
          <c:dPt>
            <c:idx val="25"/>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54A2-49C4-9107-D032EFAA6039}"/>
              </c:ext>
            </c:extLst>
          </c:dPt>
          <c:dPt>
            <c:idx val="26"/>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54A2-49C4-9107-D032EFAA6039}"/>
              </c:ext>
            </c:extLst>
          </c:dPt>
          <c:dPt>
            <c:idx val="2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54A2-49C4-9107-D032EFAA6039}"/>
              </c:ext>
            </c:extLst>
          </c:dPt>
          <c:dPt>
            <c:idx val="2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54A2-49C4-9107-D032EFAA6039}"/>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Grafiki_budžeta_izpilde!$A$51:$A$80</c:f>
              <c:strCache>
                <c:ptCount val="30"/>
                <c:pt idx="0">
                  <c:v>IZDEVUMI kopā</c:v>
                </c:pt>
                <c:pt idx="1">
                  <c:v>1. Vispārējie valdības dienesti</c:v>
                </c:pt>
                <c:pt idx="2">
                  <c:v>1.1. Pārvalde, deputāti, komisijas</c:v>
                </c:pt>
                <c:pt idx="3">
                  <c:v>1.2. Aizņēmumu procentu maksājumi</c:v>
                </c:pt>
                <c:pt idx="4">
                  <c:v>1.3. Iemaksas PFIF</c:v>
                </c:pt>
                <c:pt idx="5">
                  <c:v>2. Sabiedriskā kārtība un drošība (bāze)</c:v>
                </c:pt>
                <c:pt idx="6">
                  <c:v>3. Sabiedriskās attiecības, laikraksts</c:v>
                </c:pt>
                <c:pt idx="7">
                  <c:v>4. Autoceļu fonds</c:v>
                </c:pt>
                <c:pt idx="8">
                  <c:v>5. Vides aizsardzība (DRN izlietojums)</c:v>
                </c:pt>
                <c:pt idx="9">
                  <c:v>6. Pašv. teritoriju un mājokļu apsaimniekošana</c:v>
                </c:pt>
                <c:pt idx="10">
                  <c:v>6.1. APN, NĪN, TPN, Būvvalde</c:v>
                </c:pt>
                <c:pt idx="11">
                  <c:v>6.2. CKS komunālie pakalpojumi</c:v>
                </c:pt>
                <c:pt idx="12">
                  <c:v>6.3. Teritorijas uzturēšana</c:v>
                </c:pt>
                <c:pt idx="13">
                  <c:v>6.4. Projekti</c:v>
                </c:pt>
                <c:pt idx="14">
                  <c:v>7. Atpūta, kultūra un reliģija</c:v>
                </c:pt>
                <c:pt idx="15">
                  <c:v>8. Sociālā aizsardzība</c:v>
                </c:pt>
                <c:pt idx="16">
                  <c:v>9. Izglītība</c:v>
                </c:pt>
                <c:pt idx="17">
                  <c:v>9.1. Norēķini ar pašvaldībām par izglītības iestāžu pakalp.</c:v>
                </c:pt>
                <c:pt idx="18">
                  <c:v>9.2. Ādažu PII "Strautiņš"</c:v>
                </c:pt>
                <c:pt idx="19">
                  <c:v>9.3. Kadagas PII "Mežavēji"</c:v>
                </c:pt>
                <c:pt idx="20">
                  <c:v>9.4. Carnikavas PII "Riekstiņš"</c:v>
                </c:pt>
                <c:pt idx="21">
                  <c:v>9.5. Siguļu PII "Piejūra"</c:v>
                </c:pt>
                <c:pt idx="22">
                  <c:v>9.6. Privātās izglītības iestādes</c:v>
                </c:pt>
                <c:pt idx="23">
                  <c:v>9.7. Carnikavas vidusskola</c:v>
                </c:pt>
                <c:pt idx="24">
                  <c:v>9.8. Ādažu vidusskola</c:v>
                </c:pt>
                <c:pt idx="25">
                  <c:v>9.9. Ādažu novada  Mākslu skola</c:v>
                </c:pt>
                <c:pt idx="26">
                  <c:v>9.10. Sporta skola</c:v>
                </c:pt>
                <c:pt idx="27">
                  <c:v>9.11. Izglītības un jauniešu lietu pārvalde </c:v>
                </c:pt>
                <c:pt idx="28">
                  <c:v>9.12. Projekti</c:v>
                </c:pt>
                <c:pt idx="29">
                  <c:v>10. Kredītu pamatsummas atmaksa</c:v>
                </c:pt>
              </c:strCache>
            </c:strRef>
          </c:cat>
          <c:val>
            <c:numRef>
              <c:f>Grafiki_budžeta_izpilde!$D$51:$D$80</c:f>
              <c:numCache>
                <c:formatCode>0%</c:formatCode>
                <c:ptCount val="30"/>
                <c:pt idx="0">
                  <c:v>0.90630613911424085</c:v>
                </c:pt>
                <c:pt idx="1">
                  <c:v>1.0012450225970206</c:v>
                </c:pt>
                <c:pt idx="2">
                  <c:v>0.89177394694160816</c:v>
                </c:pt>
                <c:pt idx="3">
                  <c:v>0.99577696312800568</c:v>
                </c:pt>
                <c:pt idx="4">
                  <c:v>1.0534424100770132</c:v>
                </c:pt>
                <c:pt idx="5">
                  <c:v>0.95202548856387781</c:v>
                </c:pt>
                <c:pt idx="6">
                  <c:v>0.9967803835579846</c:v>
                </c:pt>
                <c:pt idx="7">
                  <c:v>0.90449750160593523</c:v>
                </c:pt>
                <c:pt idx="8">
                  <c:v>4.3803852088929528E-2</c:v>
                </c:pt>
                <c:pt idx="9">
                  <c:v>0.85956957249726407</c:v>
                </c:pt>
                <c:pt idx="10">
                  <c:v>0.89939873819003635</c:v>
                </c:pt>
                <c:pt idx="11">
                  <c:v>0.78221890708841835</c:v>
                </c:pt>
                <c:pt idx="12">
                  <c:v>0.92887392066330321</c:v>
                </c:pt>
                <c:pt idx="13">
                  <c:v>0.7901408331712374</c:v>
                </c:pt>
                <c:pt idx="14">
                  <c:v>0.92080850821741178</c:v>
                </c:pt>
                <c:pt idx="15">
                  <c:v>0.75447207418040885</c:v>
                </c:pt>
                <c:pt idx="16">
                  <c:v>0.90083249906140817</c:v>
                </c:pt>
                <c:pt idx="17">
                  <c:v>0.8930558111111111</c:v>
                </c:pt>
                <c:pt idx="18">
                  <c:v>0.92231710676973855</c:v>
                </c:pt>
                <c:pt idx="19">
                  <c:v>0.91536092117802059</c:v>
                </c:pt>
                <c:pt idx="20">
                  <c:v>0.96131148514393538</c:v>
                </c:pt>
                <c:pt idx="21">
                  <c:v>0.94792227458296485</c:v>
                </c:pt>
                <c:pt idx="22">
                  <c:v>0.93985963209570023</c:v>
                </c:pt>
                <c:pt idx="23">
                  <c:v>0.97803022278204066</c:v>
                </c:pt>
                <c:pt idx="24">
                  <c:v>0.87131994370043531</c:v>
                </c:pt>
                <c:pt idx="25">
                  <c:v>0.97239469577940829</c:v>
                </c:pt>
                <c:pt idx="26">
                  <c:v>0.93302843060890106</c:v>
                </c:pt>
                <c:pt idx="27">
                  <c:v>0.8876834874242383</c:v>
                </c:pt>
                <c:pt idx="28">
                  <c:v>0.36318145549420022</c:v>
                </c:pt>
                <c:pt idx="29">
                  <c:v>0.99998190183020408</c:v>
                </c:pt>
              </c:numCache>
            </c:numRef>
          </c:val>
          <c:extLst>
            <c:ext xmlns:c16="http://schemas.microsoft.com/office/drawing/2014/chart" uri="{C3380CC4-5D6E-409C-BE32-E72D297353CC}">
              <c16:uniqueId val="{00000002-B172-4793-95F1-0F2B152A96E2}"/>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64840928"/>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218755</xdr:colOff>
      <xdr:row>3</xdr:row>
      <xdr:rowOff>84241</xdr:rowOff>
    </xdr:from>
    <xdr:to>
      <xdr:col>18</xdr:col>
      <xdr:colOff>1304925</xdr:colOff>
      <xdr:row>26</xdr:row>
      <xdr:rowOff>155362</xdr:rowOff>
    </xdr:to>
    <xdr:graphicFrame macro="">
      <xdr:nvGraphicFramePr>
        <xdr:cNvPr id="2" name="Diagramma 9">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176108</xdr:colOff>
      <xdr:row>4</xdr:row>
      <xdr:rowOff>198331</xdr:rowOff>
    </xdr:from>
    <xdr:to>
      <xdr:col>18</xdr:col>
      <xdr:colOff>9313</xdr:colOff>
      <xdr:row>4</xdr:row>
      <xdr:rowOff>455506</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5596025" y="843914"/>
          <a:ext cx="637538" cy="25717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v-LV" sz="1100"/>
            <a:t>100%</a:t>
          </a:r>
        </a:p>
        <a:p>
          <a:pPr algn="ctr"/>
          <a:endParaRPr lang="lv-LV" sz="1100"/>
        </a:p>
      </xdr:txBody>
    </xdr:sp>
    <xdr:clientData/>
  </xdr:twoCellAnchor>
  <xdr:twoCellAnchor>
    <xdr:from>
      <xdr:col>5</xdr:col>
      <xdr:colOff>489160</xdr:colOff>
      <xdr:row>49</xdr:row>
      <xdr:rowOff>91863</xdr:rowOff>
    </xdr:from>
    <xdr:to>
      <xdr:col>18</xdr:col>
      <xdr:colOff>1413933</xdr:colOff>
      <xdr:row>86</xdr:row>
      <xdr:rowOff>75774</xdr:rowOff>
    </xdr:to>
    <xdr:graphicFrame macro="">
      <xdr:nvGraphicFramePr>
        <xdr:cNvPr id="4" name="Diagramma 2">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0.96321</cdr:x>
      <cdr:y>0.17151</cdr:y>
    </cdr:from>
    <cdr:to>
      <cdr:x>0.96321</cdr:x>
      <cdr:y>0.96043</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9191235" y="734606"/>
          <a:ext cx="0" cy="3379171"/>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0.96699</cdr:x>
      <cdr:y>0.13815</cdr:y>
    </cdr:from>
    <cdr:to>
      <cdr:x>0.96699</cdr:x>
      <cdr:y>0.96982</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9071214" y="886742"/>
          <a:ext cx="0" cy="5338139"/>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0.92662</cdr:x>
      <cdr:y>0.04677</cdr:y>
    </cdr:from>
    <cdr:to>
      <cdr:x>0.99908</cdr:x>
      <cdr:y>0.087</cdr:y>
    </cdr:to>
    <cdr:sp macro="" textlink="">
      <cdr:nvSpPr>
        <cdr:cNvPr id="2" name="TextBox 10">
          <a:extLst xmlns:a="http://schemas.openxmlformats.org/drawingml/2006/main">
            <a:ext uri="{FF2B5EF4-FFF2-40B4-BE49-F238E27FC236}">
              <a16:creationId xmlns:a16="http://schemas.microsoft.com/office/drawing/2014/main" id="{BC28C77A-08BF-E957-991B-C0CDEA634669}"/>
            </a:ext>
          </a:extLst>
        </cdr:cNvPr>
        <cdr:cNvSpPr txBox="1"/>
      </cdr:nvSpPr>
      <cdr:spPr>
        <a:xfrm xmlns:a="http://schemas.openxmlformats.org/drawingml/2006/main">
          <a:off x="8692526" y="300189"/>
          <a:ext cx="679737" cy="258220"/>
        </a:xfrm>
        <a:prstGeom xmlns:a="http://schemas.openxmlformats.org/drawingml/2006/main" prst="rect">
          <a:avLst/>
        </a:prstGeom>
        <a:solidFill xmlns:a="http://schemas.openxmlformats.org/drawingml/2006/main">
          <a:schemeClr val="accent2">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lv-LV" sz="1100"/>
            <a:t>100%</a:t>
          </a:r>
        </a:p>
        <a:p xmlns:a="http://schemas.openxmlformats.org/drawingml/2006/main">
          <a:pPr algn="ctr"/>
          <a:endParaRPr lang="lv-LV" sz="1100"/>
        </a:p>
      </cdr:txBody>
    </cdr:sp>
  </cdr:relSizeAnchor>
</c:userShape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0">
    <tabColor rgb="FF92D050"/>
  </sheetPr>
  <dimension ref="A1:AP302"/>
  <sheetViews>
    <sheetView tabSelected="1" zoomScaleNormal="100" zoomScaleSheetLayoutView="80" workbookViewId="0">
      <pane xSplit="4" ySplit="5" topLeftCell="AA6" activePane="bottomRight" state="frozen"/>
      <selection activeCell="C1" sqref="C1"/>
      <selection pane="topRight" activeCell="E1" sqref="E1"/>
      <selection pane="bottomLeft" activeCell="C6" sqref="C6"/>
      <selection pane="bottomRight" activeCell="AE8" sqref="AE8"/>
    </sheetView>
  </sheetViews>
  <sheetFormatPr defaultRowHeight="15" outlineLevelRow="1" outlineLevelCol="2" x14ac:dyDescent="0.25"/>
  <cols>
    <col min="1" max="1" width="7.85546875" style="2" hidden="1" customWidth="1" outlineLevel="2"/>
    <col min="2" max="2" width="11.42578125" style="2" hidden="1" customWidth="1" outlineLevel="2"/>
    <col min="3" max="3" width="15" style="4" customWidth="1" collapsed="1"/>
    <col min="4" max="4" width="44" style="3" customWidth="1"/>
    <col min="5" max="5" width="14.85546875" style="96" customWidth="1"/>
    <col min="6" max="6" width="14.85546875" style="101" customWidth="1" collapsed="1"/>
    <col min="7" max="7" width="14.85546875" style="2" hidden="1" customWidth="1" outlineLevel="1"/>
    <col min="8" max="8" width="54" style="380" hidden="1" customWidth="1" outlineLevel="1" collapsed="1"/>
    <col min="9" max="9" width="14.85546875" style="2" customWidth="1" collapsed="1"/>
    <col min="10" max="10" width="14.85546875" style="2" hidden="1" customWidth="1" outlineLevel="1"/>
    <col min="11" max="11" width="56.42578125" style="1" hidden="1" customWidth="1" outlineLevel="1" collapsed="1"/>
    <col min="12" max="12" width="14.85546875" style="2" customWidth="1" collapsed="1"/>
    <col min="13" max="13" width="14.85546875" style="2" hidden="1" customWidth="1" outlineLevel="1"/>
    <col min="14" max="14" width="64.85546875" style="1" hidden="1" customWidth="1" outlineLevel="1" collapsed="1"/>
    <col min="15" max="15" width="14.85546875" style="2" customWidth="1" collapsed="1"/>
    <col min="16" max="16" width="14.85546875" style="2" hidden="1" customWidth="1" outlineLevel="1"/>
    <col min="17" max="17" width="56.42578125" style="1" hidden="1" customWidth="1" outlineLevel="1" collapsed="1"/>
    <col min="18" max="18" width="14.85546875" style="2" customWidth="1" collapsed="1"/>
    <col min="19" max="19" width="14.85546875" style="2" hidden="1" customWidth="1" outlineLevel="1"/>
    <col min="20" max="20" width="68.85546875" style="1" hidden="1" customWidth="1" outlineLevel="1" collapsed="1"/>
    <col min="21" max="21" width="14.85546875" style="2" customWidth="1" collapsed="1"/>
    <col min="22" max="22" width="14.85546875" style="2" hidden="1" customWidth="1" outlineLevel="1"/>
    <col min="23" max="23" width="56" style="1" hidden="1" customWidth="1" outlineLevel="1" collapsed="1"/>
    <col min="24" max="24" width="14.85546875" style="2" customWidth="1" collapsed="1"/>
    <col min="25" max="25" width="14.85546875" style="2" hidden="1" customWidth="1" outlineLevel="1"/>
    <col min="26" max="26" width="63.85546875" style="1" hidden="1" customWidth="1" outlineLevel="1" collapsed="1"/>
    <col min="27" max="27" width="14.85546875" style="2" customWidth="1" collapsed="1"/>
    <col min="28" max="28" width="14.85546875" style="2" hidden="1" customWidth="1" outlineLevel="1"/>
    <col min="29" max="29" width="63.85546875" style="380" hidden="1" customWidth="1" outlineLevel="1" collapsed="1"/>
    <col min="30" max="30" width="14.85546875" style="2" customWidth="1" collapsed="1"/>
    <col min="31" max="31" width="14.85546875" style="2" customWidth="1"/>
    <col min="32" max="32" width="58.42578125" style="1" customWidth="1" collapsed="1"/>
    <col min="33" max="33" width="14.85546875" style="17" hidden="1" customWidth="1" outlineLevel="1" collapsed="1"/>
    <col min="34" max="34" width="14.85546875" style="220" hidden="1" customWidth="1" outlineLevel="1" collapsed="1"/>
    <col min="35" max="35" width="45.85546875" style="116" hidden="1" customWidth="1" outlineLevel="1" collapsed="1"/>
    <col min="36" max="36" width="9" style="2" collapsed="1"/>
    <col min="37" max="37" width="13.7109375" style="2" customWidth="1"/>
    <col min="38" max="201" width="9" style="2"/>
    <col min="202" max="203" width="0" style="2" hidden="1" customWidth="1"/>
    <col min="204" max="204" width="13.7109375" style="2" customWidth="1"/>
    <col min="205" max="205" width="52.85546875" style="2" customWidth="1"/>
    <col min="206" max="245" width="0" style="2" hidden="1" customWidth="1"/>
    <col min="246" max="247" width="14.85546875" style="2" customWidth="1"/>
    <col min="248" max="249" width="0" style="2" hidden="1" customWidth="1"/>
    <col min="250" max="250" width="14.85546875" style="2" customWidth="1"/>
    <col min="251" max="252" width="0" style="2" hidden="1" customWidth="1"/>
    <col min="253" max="253" width="14.85546875" style="2" customWidth="1"/>
    <col min="254" max="255" width="0" style="2" hidden="1" customWidth="1"/>
    <col min="256" max="256" width="14.85546875" style="2" customWidth="1"/>
    <col min="257" max="258" width="0" style="2" hidden="1" customWidth="1"/>
    <col min="259" max="259" width="14.85546875" style="2" customWidth="1"/>
    <col min="260" max="261" width="0" style="2" hidden="1" customWidth="1"/>
    <col min="262" max="263" width="14.85546875" style="2" customWidth="1"/>
    <col min="264" max="264" width="44.42578125" style="2" customWidth="1"/>
    <col min="265" max="269" width="14.85546875" style="2" customWidth="1"/>
    <col min="270" max="270" width="63.85546875" style="2" customWidth="1"/>
    <col min="271" max="271" width="13.28515625" style="2" customWidth="1"/>
    <col min="272" max="457" width="9" style="2"/>
    <col min="458" max="459" width="0" style="2" hidden="1" customWidth="1"/>
    <col min="460" max="460" width="13.7109375" style="2" customWidth="1"/>
    <col min="461" max="461" width="52.85546875" style="2" customWidth="1"/>
    <col min="462" max="501" width="0" style="2" hidden="1" customWidth="1"/>
    <col min="502" max="503" width="14.85546875" style="2" customWidth="1"/>
    <col min="504" max="505" width="0" style="2" hidden="1" customWidth="1"/>
    <col min="506" max="506" width="14.85546875" style="2" customWidth="1"/>
    <col min="507" max="508" width="0" style="2" hidden="1" customWidth="1"/>
    <col min="509" max="509" width="14.85546875" style="2" customWidth="1"/>
    <col min="510" max="511" width="0" style="2" hidden="1" customWidth="1"/>
    <col min="512" max="512" width="14.85546875" style="2" customWidth="1"/>
    <col min="513" max="514" width="0" style="2" hidden="1" customWidth="1"/>
    <col min="515" max="515" width="14.85546875" style="2" customWidth="1"/>
    <col min="516" max="517" width="0" style="2" hidden="1" customWidth="1"/>
    <col min="518" max="519" width="14.85546875" style="2" customWidth="1"/>
    <col min="520" max="520" width="44.42578125" style="2" customWidth="1"/>
    <col min="521" max="525" width="14.85546875" style="2" customWidth="1"/>
    <col min="526" max="526" width="63.85546875" style="2" customWidth="1"/>
    <col min="527" max="527" width="13.28515625" style="2" customWidth="1"/>
    <col min="528" max="713" width="9" style="2"/>
    <col min="714" max="715" width="0" style="2" hidden="1" customWidth="1"/>
    <col min="716" max="716" width="13.7109375" style="2" customWidth="1"/>
    <col min="717" max="717" width="52.85546875" style="2" customWidth="1"/>
    <col min="718" max="757" width="0" style="2" hidden="1" customWidth="1"/>
    <col min="758" max="759" width="14.85546875" style="2" customWidth="1"/>
    <col min="760" max="761" width="0" style="2" hidden="1" customWidth="1"/>
    <col min="762" max="762" width="14.85546875" style="2" customWidth="1"/>
    <col min="763" max="764" width="0" style="2" hidden="1" customWidth="1"/>
    <col min="765" max="765" width="14.85546875" style="2" customWidth="1"/>
    <col min="766" max="767" width="0" style="2" hidden="1" customWidth="1"/>
    <col min="768" max="768" width="14.85546875" style="2" customWidth="1"/>
    <col min="769" max="770" width="0" style="2" hidden="1" customWidth="1"/>
    <col min="771" max="771" width="14.85546875" style="2" customWidth="1"/>
    <col min="772" max="773" width="0" style="2" hidden="1" customWidth="1"/>
    <col min="774" max="775" width="14.85546875" style="2" customWidth="1"/>
    <col min="776" max="776" width="44.42578125" style="2" customWidth="1"/>
    <col min="777" max="781" width="14.85546875" style="2" customWidth="1"/>
    <col min="782" max="782" width="63.85546875" style="2" customWidth="1"/>
    <col min="783" max="783" width="13.28515625" style="2" customWidth="1"/>
    <col min="784" max="969" width="9" style="2"/>
    <col min="970" max="971" width="0" style="2" hidden="1" customWidth="1"/>
    <col min="972" max="972" width="13.7109375" style="2" customWidth="1"/>
    <col min="973" max="973" width="52.85546875" style="2" customWidth="1"/>
    <col min="974" max="1013" width="0" style="2" hidden="1" customWidth="1"/>
    <col min="1014" max="1015" width="14.85546875" style="2" customWidth="1"/>
    <col min="1016" max="1017" width="0" style="2" hidden="1" customWidth="1"/>
    <col min="1018" max="1018" width="14.85546875" style="2" customWidth="1"/>
    <col min="1019" max="1020" width="0" style="2" hidden="1" customWidth="1"/>
    <col min="1021" max="1021" width="14.85546875" style="2" customWidth="1"/>
    <col min="1022" max="1023" width="0" style="2" hidden="1" customWidth="1"/>
    <col min="1024" max="1024" width="14.85546875" style="2" customWidth="1"/>
    <col min="1025" max="1026" width="0" style="2" hidden="1" customWidth="1"/>
    <col min="1027" max="1027" width="14.85546875" style="2" customWidth="1"/>
    <col min="1028" max="1029" width="0" style="2" hidden="1" customWidth="1"/>
    <col min="1030" max="1031" width="14.85546875" style="2" customWidth="1"/>
    <col min="1032" max="1032" width="44.42578125" style="2" customWidth="1"/>
    <col min="1033" max="1037" width="14.85546875" style="2" customWidth="1"/>
    <col min="1038" max="1038" width="63.85546875" style="2" customWidth="1"/>
    <col min="1039" max="1039" width="13.28515625" style="2" customWidth="1"/>
    <col min="1040" max="1225" width="9" style="2"/>
    <col min="1226" max="1227" width="0" style="2" hidden="1" customWidth="1"/>
    <col min="1228" max="1228" width="13.7109375" style="2" customWidth="1"/>
    <col min="1229" max="1229" width="52.85546875" style="2" customWidth="1"/>
    <col min="1230" max="1269" width="0" style="2" hidden="1" customWidth="1"/>
    <col min="1270" max="1271" width="14.85546875" style="2" customWidth="1"/>
    <col min="1272" max="1273" width="0" style="2" hidden="1" customWidth="1"/>
    <col min="1274" max="1274" width="14.85546875" style="2" customWidth="1"/>
    <col min="1275" max="1276" width="0" style="2" hidden="1" customWidth="1"/>
    <col min="1277" max="1277" width="14.85546875" style="2" customWidth="1"/>
    <col min="1278" max="1279" width="0" style="2" hidden="1" customWidth="1"/>
    <col min="1280" max="1280" width="14.85546875" style="2" customWidth="1"/>
    <col min="1281" max="1282" width="0" style="2" hidden="1" customWidth="1"/>
    <col min="1283" max="1283" width="14.85546875" style="2" customWidth="1"/>
    <col min="1284" max="1285" width="0" style="2" hidden="1" customWidth="1"/>
    <col min="1286" max="1287" width="14.85546875" style="2" customWidth="1"/>
    <col min="1288" max="1288" width="44.42578125" style="2" customWidth="1"/>
    <col min="1289" max="1293" width="14.85546875" style="2" customWidth="1"/>
    <col min="1294" max="1294" width="63.85546875" style="2" customWidth="1"/>
    <col min="1295" max="1295" width="13.28515625" style="2" customWidth="1"/>
    <col min="1296" max="1481" width="9" style="2"/>
    <col min="1482" max="1483" width="0" style="2" hidden="1" customWidth="1"/>
    <col min="1484" max="1484" width="13.7109375" style="2" customWidth="1"/>
    <col min="1485" max="1485" width="52.85546875" style="2" customWidth="1"/>
    <col min="1486" max="1525" width="0" style="2" hidden="1" customWidth="1"/>
    <col min="1526" max="1527" width="14.85546875" style="2" customWidth="1"/>
    <col min="1528" max="1529" width="0" style="2" hidden="1" customWidth="1"/>
    <col min="1530" max="1530" width="14.85546875" style="2" customWidth="1"/>
    <col min="1531" max="1532" width="0" style="2" hidden="1" customWidth="1"/>
    <col min="1533" max="1533" width="14.85546875" style="2" customWidth="1"/>
    <col min="1534" max="1535" width="0" style="2" hidden="1" customWidth="1"/>
    <col min="1536" max="1536" width="14.85546875" style="2" customWidth="1"/>
    <col min="1537" max="1538" width="0" style="2" hidden="1" customWidth="1"/>
    <col min="1539" max="1539" width="14.85546875" style="2" customWidth="1"/>
    <col min="1540" max="1541" width="0" style="2" hidden="1" customWidth="1"/>
    <col min="1542" max="1543" width="14.85546875" style="2" customWidth="1"/>
    <col min="1544" max="1544" width="44.42578125" style="2" customWidth="1"/>
    <col min="1545" max="1549" width="14.85546875" style="2" customWidth="1"/>
    <col min="1550" max="1550" width="63.85546875" style="2" customWidth="1"/>
    <col min="1551" max="1551" width="13.28515625" style="2" customWidth="1"/>
    <col min="1552" max="1737" width="9" style="2"/>
    <col min="1738" max="1739" width="0" style="2" hidden="1" customWidth="1"/>
    <col min="1740" max="1740" width="13.7109375" style="2" customWidth="1"/>
    <col min="1741" max="1741" width="52.85546875" style="2" customWidth="1"/>
    <col min="1742" max="1781" width="0" style="2" hidden="1" customWidth="1"/>
    <col min="1782" max="1783" width="14.85546875" style="2" customWidth="1"/>
    <col min="1784" max="1785" width="0" style="2" hidden="1" customWidth="1"/>
    <col min="1786" max="1786" width="14.85546875" style="2" customWidth="1"/>
    <col min="1787" max="1788" width="0" style="2" hidden="1" customWidth="1"/>
    <col min="1789" max="1789" width="14.85546875" style="2" customWidth="1"/>
    <col min="1790" max="1791" width="0" style="2" hidden="1" customWidth="1"/>
    <col min="1792" max="1792" width="14.85546875" style="2" customWidth="1"/>
    <col min="1793" max="1794" width="0" style="2" hidden="1" customWidth="1"/>
    <col min="1795" max="1795" width="14.85546875" style="2" customWidth="1"/>
    <col min="1796" max="1797" width="0" style="2" hidden="1" customWidth="1"/>
    <col min="1798" max="1799" width="14.85546875" style="2" customWidth="1"/>
    <col min="1800" max="1800" width="44.42578125" style="2" customWidth="1"/>
    <col min="1801" max="1805" width="14.85546875" style="2" customWidth="1"/>
    <col min="1806" max="1806" width="63.85546875" style="2" customWidth="1"/>
    <col min="1807" max="1807" width="13.28515625" style="2" customWidth="1"/>
    <col min="1808" max="1993" width="9" style="2"/>
    <col min="1994" max="1995" width="0" style="2" hidden="1" customWidth="1"/>
    <col min="1996" max="1996" width="13.7109375" style="2" customWidth="1"/>
    <col min="1997" max="1997" width="52.85546875" style="2" customWidth="1"/>
    <col min="1998" max="2037" width="0" style="2" hidden="1" customWidth="1"/>
    <col min="2038" max="2039" width="14.85546875" style="2" customWidth="1"/>
    <col min="2040" max="2041" width="0" style="2" hidden="1" customWidth="1"/>
    <col min="2042" max="2042" width="14.85546875" style="2" customWidth="1"/>
    <col min="2043" max="2044" width="0" style="2" hidden="1" customWidth="1"/>
    <col min="2045" max="2045" width="14.85546875" style="2" customWidth="1"/>
    <col min="2046" max="2047" width="0" style="2" hidden="1" customWidth="1"/>
    <col min="2048" max="2048" width="14.85546875" style="2" customWidth="1"/>
    <col min="2049" max="2050" width="0" style="2" hidden="1" customWidth="1"/>
    <col min="2051" max="2051" width="14.85546875" style="2" customWidth="1"/>
    <col min="2052" max="2053" width="0" style="2" hidden="1" customWidth="1"/>
    <col min="2054" max="2055" width="14.85546875" style="2" customWidth="1"/>
    <col min="2056" max="2056" width="44.42578125" style="2" customWidth="1"/>
    <col min="2057" max="2061" width="14.85546875" style="2" customWidth="1"/>
    <col min="2062" max="2062" width="63.85546875" style="2" customWidth="1"/>
    <col min="2063" max="2063" width="13.28515625" style="2" customWidth="1"/>
    <col min="2064" max="2249" width="9" style="2"/>
    <col min="2250" max="2251" width="0" style="2" hidden="1" customWidth="1"/>
    <col min="2252" max="2252" width="13.7109375" style="2" customWidth="1"/>
    <col min="2253" max="2253" width="52.85546875" style="2" customWidth="1"/>
    <col min="2254" max="2293" width="0" style="2" hidden="1" customWidth="1"/>
    <col min="2294" max="2295" width="14.85546875" style="2" customWidth="1"/>
    <col min="2296" max="2297" width="0" style="2" hidden="1" customWidth="1"/>
    <col min="2298" max="2298" width="14.85546875" style="2" customWidth="1"/>
    <col min="2299" max="2300" width="0" style="2" hidden="1" customWidth="1"/>
    <col min="2301" max="2301" width="14.85546875" style="2" customWidth="1"/>
    <col min="2302" max="2303" width="0" style="2" hidden="1" customWidth="1"/>
    <col min="2304" max="2304" width="14.85546875" style="2" customWidth="1"/>
    <col min="2305" max="2306" width="0" style="2" hidden="1" customWidth="1"/>
    <col min="2307" max="2307" width="14.85546875" style="2" customWidth="1"/>
    <col min="2308" max="2309" width="0" style="2" hidden="1" customWidth="1"/>
    <col min="2310" max="2311" width="14.85546875" style="2" customWidth="1"/>
    <col min="2312" max="2312" width="44.42578125" style="2" customWidth="1"/>
    <col min="2313" max="2317" width="14.85546875" style="2" customWidth="1"/>
    <col min="2318" max="2318" width="63.85546875" style="2" customWidth="1"/>
    <col min="2319" max="2319" width="13.28515625" style="2" customWidth="1"/>
    <col min="2320" max="2505" width="9" style="2"/>
    <col min="2506" max="2507" width="0" style="2" hidden="1" customWidth="1"/>
    <col min="2508" max="2508" width="13.7109375" style="2" customWidth="1"/>
    <col min="2509" max="2509" width="52.85546875" style="2" customWidth="1"/>
    <col min="2510" max="2549" width="0" style="2" hidden="1" customWidth="1"/>
    <col min="2550" max="2551" width="14.85546875" style="2" customWidth="1"/>
    <col min="2552" max="2553" width="0" style="2" hidden="1" customWidth="1"/>
    <col min="2554" max="2554" width="14.85546875" style="2" customWidth="1"/>
    <col min="2555" max="2556" width="0" style="2" hidden="1" customWidth="1"/>
    <col min="2557" max="2557" width="14.85546875" style="2" customWidth="1"/>
    <col min="2558" max="2559" width="0" style="2" hidden="1" customWidth="1"/>
    <col min="2560" max="2560" width="14.85546875" style="2" customWidth="1"/>
    <col min="2561" max="2562" width="0" style="2" hidden="1" customWidth="1"/>
    <col min="2563" max="2563" width="14.85546875" style="2" customWidth="1"/>
    <col min="2564" max="2565" width="0" style="2" hidden="1" customWidth="1"/>
    <col min="2566" max="2567" width="14.85546875" style="2" customWidth="1"/>
    <col min="2568" max="2568" width="44.42578125" style="2" customWidth="1"/>
    <col min="2569" max="2573" width="14.85546875" style="2" customWidth="1"/>
    <col min="2574" max="2574" width="63.85546875" style="2" customWidth="1"/>
    <col min="2575" max="2575" width="13.28515625" style="2" customWidth="1"/>
    <col min="2576" max="2761" width="9" style="2"/>
    <col min="2762" max="2763" width="0" style="2" hidden="1" customWidth="1"/>
    <col min="2764" max="2764" width="13.7109375" style="2" customWidth="1"/>
    <col min="2765" max="2765" width="52.85546875" style="2" customWidth="1"/>
    <col min="2766" max="2805" width="0" style="2" hidden="1" customWidth="1"/>
    <col min="2806" max="2807" width="14.85546875" style="2" customWidth="1"/>
    <col min="2808" max="2809" width="0" style="2" hidden="1" customWidth="1"/>
    <col min="2810" max="2810" width="14.85546875" style="2" customWidth="1"/>
    <col min="2811" max="2812" width="0" style="2" hidden="1" customWidth="1"/>
    <col min="2813" max="2813" width="14.85546875" style="2" customWidth="1"/>
    <col min="2814" max="2815" width="0" style="2" hidden="1" customWidth="1"/>
    <col min="2816" max="2816" width="14.85546875" style="2" customWidth="1"/>
    <col min="2817" max="2818" width="0" style="2" hidden="1" customWidth="1"/>
    <col min="2819" max="2819" width="14.85546875" style="2" customWidth="1"/>
    <col min="2820" max="2821" width="0" style="2" hidden="1" customWidth="1"/>
    <col min="2822" max="2823" width="14.85546875" style="2" customWidth="1"/>
    <col min="2824" max="2824" width="44.42578125" style="2" customWidth="1"/>
    <col min="2825" max="2829" width="14.85546875" style="2" customWidth="1"/>
    <col min="2830" max="2830" width="63.85546875" style="2" customWidth="1"/>
    <col min="2831" max="2831" width="13.28515625" style="2" customWidth="1"/>
    <col min="2832" max="3017" width="9" style="2"/>
    <col min="3018" max="3019" width="0" style="2" hidden="1" customWidth="1"/>
    <col min="3020" max="3020" width="13.7109375" style="2" customWidth="1"/>
    <col min="3021" max="3021" width="52.85546875" style="2" customWidth="1"/>
    <col min="3022" max="3061" width="0" style="2" hidden="1" customWidth="1"/>
    <col min="3062" max="3063" width="14.85546875" style="2" customWidth="1"/>
    <col min="3064" max="3065" width="0" style="2" hidden="1" customWidth="1"/>
    <col min="3066" max="3066" width="14.85546875" style="2" customWidth="1"/>
    <col min="3067" max="3068" width="0" style="2" hidden="1" customWidth="1"/>
    <col min="3069" max="3069" width="14.85546875" style="2" customWidth="1"/>
    <col min="3070" max="3071" width="0" style="2" hidden="1" customWidth="1"/>
    <col min="3072" max="3072" width="14.85546875" style="2" customWidth="1"/>
    <col min="3073" max="3074" width="0" style="2" hidden="1" customWidth="1"/>
    <col min="3075" max="3075" width="14.85546875" style="2" customWidth="1"/>
    <col min="3076" max="3077" width="0" style="2" hidden="1" customWidth="1"/>
    <col min="3078" max="3079" width="14.85546875" style="2" customWidth="1"/>
    <col min="3080" max="3080" width="44.42578125" style="2" customWidth="1"/>
    <col min="3081" max="3085" width="14.85546875" style="2" customWidth="1"/>
    <col min="3086" max="3086" width="63.85546875" style="2" customWidth="1"/>
    <col min="3087" max="3087" width="13.28515625" style="2" customWidth="1"/>
    <col min="3088" max="3273" width="9" style="2"/>
    <col min="3274" max="3275" width="0" style="2" hidden="1" customWidth="1"/>
    <col min="3276" max="3276" width="13.7109375" style="2" customWidth="1"/>
    <col min="3277" max="3277" width="52.85546875" style="2" customWidth="1"/>
    <col min="3278" max="3317" width="0" style="2" hidden="1" customWidth="1"/>
    <col min="3318" max="3319" width="14.85546875" style="2" customWidth="1"/>
    <col min="3320" max="3321" width="0" style="2" hidden="1" customWidth="1"/>
    <col min="3322" max="3322" width="14.85546875" style="2" customWidth="1"/>
    <col min="3323" max="3324" width="0" style="2" hidden="1" customWidth="1"/>
    <col min="3325" max="3325" width="14.85546875" style="2" customWidth="1"/>
    <col min="3326" max="3327" width="0" style="2" hidden="1" customWidth="1"/>
    <col min="3328" max="3328" width="14.85546875" style="2" customWidth="1"/>
    <col min="3329" max="3330" width="0" style="2" hidden="1" customWidth="1"/>
    <col min="3331" max="3331" width="14.85546875" style="2" customWidth="1"/>
    <col min="3332" max="3333" width="0" style="2" hidden="1" customWidth="1"/>
    <col min="3334" max="3335" width="14.85546875" style="2" customWidth="1"/>
    <col min="3336" max="3336" width="44.42578125" style="2" customWidth="1"/>
    <col min="3337" max="3341" width="14.85546875" style="2" customWidth="1"/>
    <col min="3342" max="3342" width="63.85546875" style="2" customWidth="1"/>
    <col min="3343" max="3343" width="13.28515625" style="2" customWidth="1"/>
    <col min="3344" max="3529" width="9" style="2"/>
    <col min="3530" max="3531" width="0" style="2" hidden="1" customWidth="1"/>
    <col min="3532" max="3532" width="13.7109375" style="2" customWidth="1"/>
    <col min="3533" max="3533" width="52.85546875" style="2" customWidth="1"/>
    <col min="3534" max="3573" width="0" style="2" hidden="1" customWidth="1"/>
    <col min="3574" max="3575" width="14.85546875" style="2" customWidth="1"/>
    <col min="3576" max="3577" width="0" style="2" hidden="1" customWidth="1"/>
    <col min="3578" max="3578" width="14.85546875" style="2" customWidth="1"/>
    <col min="3579" max="3580" width="0" style="2" hidden="1" customWidth="1"/>
    <col min="3581" max="3581" width="14.85546875" style="2" customWidth="1"/>
    <col min="3582" max="3583" width="0" style="2" hidden="1" customWidth="1"/>
    <col min="3584" max="3584" width="14.85546875" style="2" customWidth="1"/>
    <col min="3585" max="3586" width="0" style="2" hidden="1" customWidth="1"/>
    <col min="3587" max="3587" width="14.85546875" style="2" customWidth="1"/>
    <col min="3588" max="3589" width="0" style="2" hidden="1" customWidth="1"/>
    <col min="3590" max="3591" width="14.85546875" style="2" customWidth="1"/>
    <col min="3592" max="3592" width="44.42578125" style="2" customWidth="1"/>
    <col min="3593" max="3597" width="14.85546875" style="2" customWidth="1"/>
    <col min="3598" max="3598" width="63.85546875" style="2" customWidth="1"/>
    <col min="3599" max="3599" width="13.28515625" style="2" customWidth="1"/>
    <col min="3600" max="3785" width="9" style="2"/>
    <col min="3786" max="3787" width="0" style="2" hidden="1" customWidth="1"/>
    <col min="3788" max="3788" width="13.7109375" style="2" customWidth="1"/>
    <col min="3789" max="3789" width="52.85546875" style="2" customWidth="1"/>
    <col min="3790" max="3829" width="0" style="2" hidden="1" customWidth="1"/>
    <col min="3830" max="3831" width="14.85546875" style="2" customWidth="1"/>
    <col min="3832" max="3833" width="0" style="2" hidden="1" customWidth="1"/>
    <col min="3834" max="3834" width="14.85546875" style="2" customWidth="1"/>
    <col min="3835" max="3836" width="0" style="2" hidden="1" customWidth="1"/>
    <col min="3837" max="3837" width="14.85546875" style="2" customWidth="1"/>
    <col min="3838" max="3839" width="0" style="2" hidden="1" customWidth="1"/>
    <col min="3840" max="3840" width="14.85546875" style="2" customWidth="1"/>
    <col min="3841" max="3842" width="0" style="2" hidden="1" customWidth="1"/>
    <col min="3843" max="3843" width="14.85546875" style="2" customWidth="1"/>
    <col min="3844" max="3845" width="0" style="2" hidden="1" customWidth="1"/>
    <col min="3846" max="3847" width="14.85546875" style="2" customWidth="1"/>
    <col min="3848" max="3848" width="44.42578125" style="2" customWidth="1"/>
    <col min="3849" max="3853" width="14.85546875" style="2" customWidth="1"/>
    <col min="3854" max="3854" width="63.85546875" style="2" customWidth="1"/>
    <col min="3855" max="3855" width="13.28515625" style="2" customWidth="1"/>
    <col min="3856" max="4041" width="9" style="2"/>
    <col min="4042" max="4043" width="0" style="2" hidden="1" customWidth="1"/>
    <col min="4044" max="4044" width="13.7109375" style="2" customWidth="1"/>
    <col min="4045" max="4045" width="52.85546875" style="2" customWidth="1"/>
    <col min="4046" max="4085" width="0" style="2" hidden="1" customWidth="1"/>
    <col min="4086" max="4087" width="14.85546875" style="2" customWidth="1"/>
    <col min="4088" max="4089" width="0" style="2" hidden="1" customWidth="1"/>
    <col min="4090" max="4090" width="14.85546875" style="2" customWidth="1"/>
    <col min="4091" max="4092" width="0" style="2" hidden="1" customWidth="1"/>
    <col min="4093" max="4093" width="14.85546875" style="2" customWidth="1"/>
    <col min="4094" max="4095" width="0" style="2" hidden="1" customWidth="1"/>
    <col min="4096" max="4096" width="14.85546875" style="2" customWidth="1"/>
    <col min="4097" max="4098" width="0" style="2" hidden="1" customWidth="1"/>
    <col min="4099" max="4099" width="14.85546875" style="2" customWidth="1"/>
    <col min="4100" max="4101" width="0" style="2" hidden="1" customWidth="1"/>
    <col min="4102" max="4103" width="14.85546875" style="2" customWidth="1"/>
    <col min="4104" max="4104" width="44.42578125" style="2" customWidth="1"/>
    <col min="4105" max="4109" width="14.85546875" style="2" customWidth="1"/>
    <col min="4110" max="4110" width="63.85546875" style="2" customWidth="1"/>
    <col min="4111" max="4111" width="13.28515625" style="2" customWidth="1"/>
    <col min="4112" max="4297" width="9" style="2"/>
    <col min="4298" max="4299" width="0" style="2" hidden="1" customWidth="1"/>
    <col min="4300" max="4300" width="13.7109375" style="2" customWidth="1"/>
    <col min="4301" max="4301" width="52.85546875" style="2" customWidth="1"/>
    <col min="4302" max="4341" width="0" style="2" hidden="1" customWidth="1"/>
    <col min="4342" max="4343" width="14.85546875" style="2" customWidth="1"/>
    <col min="4344" max="4345" width="0" style="2" hidden="1" customWidth="1"/>
    <col min="4346" max="4346" width="14.85546875" style="2" customWidth="1"/>
    <col min="4347" max="4348" width="0" style="2" hidden="1" customWidth="1"/>
    <col min="4349" max="4349" width="14.85546875" style="2" customWidth="1"/>
    <col min="4350" max="4351" width="0" style="2" hidden="1" customWidth="1"/>
    <col min="4352" max="4352" width="14.85546875" style="2" customWidth="1"/>
    <col min="4353" max="4354" width="0" style="2" hidden="1" customWidth="1"/>
    <col min="4355" max="4355" width="14.85546875" style="2" customWidth="1"/>
    <col min="4356" max="4357" width="0" style="2" hidden="1" customWidth="1"/>
    <col min="4358" max="4359" width="14.85546875" style="2" customWidth="1"/>
    <col min="4360" max="4360" width="44.42578125" style="2" customWidth="1"/>
    <col min="4361" max="4365" width="14.85546875" style="2" customWidth="1"/>
    <col min="4366" max="4366" width="63.85546875" style="2" customWidth="1"/>
    <col min="4367" max="4367" width="13.28515625" style="2" customWidth="1"/>
    <col min="4368" max="4553" width="9" style="2"/>
    <col min="4554" max="4555" width="0" style="2" hidden="1" customWidth="1"/>
    <col min="4556" max="4556" width="13.7109375" style="2" customWidth="1"/>
    <col min="4557" max="4557" width="52.85546875" style="2" customWidth="1"/>
    <col min="4558" max="4597" width="0" style="2" hidden="1" customWidth="1"/>
    <col min="4598" max="4599" width="14.85546875" style="2" customWidth="1"/>
    <col min="4600" max="4601" width="0" style="2" hidden="1" customWidth="1"/>
    <col min="4602" max="4602" width="14.85546875" style="2" customWidth="1"/>
    <col min="4603" max="4604" width="0" style="2" hidden="1" customWidth="1"/>
    <col min="4605" max="4605" width="14.85546875" style="2" customWidth="1"/>
    <col min="4606" max="4607" width="0" style="2" hidden="1" customWidth="1"/>
    <col min="4608" max="4608" width="14.85546875" style="2" customWidth="1"/>
    <col min="4609" max="4610" width="0" style="2" hidden="1" customWidth="1"/>
    <col min="4611" max="4611" width="14.85546875" style="2" customWidth="1"/>
    <col min="4612" max="4613" width="0" style="2" hidden="1" customWidth="1"/>
    <col min="4614" max="4615" width="14.85546875" style="2" customWidth="1"/>
    <col min="4616" max="4616" width="44.42578125" style="2" customWidth="1"/>
    <col min="4617" max="4621" width="14.85546875" style="2" customWidth="1"/>
    <col min="4622" max="4622" width="63.85546875" style="2" customWidth="1"/>
    <col min="4623" max="4623" width="13.28515625" style="2" customWidth="1"/>
    <col min="4624" max="4809" width="9" style="2"/>
    <col min="4810" max="4811" width="0" style="2" hidden="1" customWidth="1"/>
    <col min="4812" max="4812" width="13.7109375" style="2" customWidth="1"/>
    <col min="4813" max="4813" width="52.85546875" style="2" customWidth="1"/>
    <col min="4814" max="4853" width="0" style="2" hidden="1" customWidth="1"/>
    <col min="4854" max="4855" width="14.85546875" style="2" customWidth="1"/>
    <col min="4856" max="4857" width="0" style="2" hidden="1" customWidth="1"/>
    <col min="4858" max="4858" width="14.85546875" style="2" customWidth="1"/>
    <col min="4859" max="4860" width="0" style="2" hidden="1" customWidth="1"/>
    <col min="4861" max="4861" width="14.85546875" style="2" customWidth="1"/>
    <col min="4862" max="4863" width="0" style="2" hidden="1" customWidth="1"/>
    <col min="4864" max="4864" width="14.85546875" style="2" customWidth="1"/>
    <col min="4865" max="4866" width="0" style="2" hidden="1" customWidth="1"/>
    <col min="4867" max="4867" width="14.85546875" style="2" customWidth="1"/>
    <col min="4868" max="4869" width="0" style="2" hidden="1" customWidth="1"/>
    <col min="4870" max="4871" width="14.85546875" style="2" customWidth="1"/>
    <col min="4872" max="4872" width="44.42578125" style="2" customWidth="1"/>
    <col min="4873" max="4877" width="14.85546875" style="2" customWidth="1"/>
    <col min="4878" max="4878" width="63.85546875" style="2" customWidth="1"/>
    <col min="4879" max="4879" width="13.28515625" style="2" customWidth="1"/>
    <col min="4880" max="5065" width="9" style="2"/>
    <col min="5066" max="5067" width="0" style="2" hidden="1" customWidth="1"/>
    <col min="5068" max="5068" width="13.7109375" style="2" customWidth="1"/>
    <col min="5069" max="5069" width="52.85546875" style="2" customWidth="1"/>
    <col min="5070" max="5109" width="0" style="2" hidden="1" customWidth="1"/>
    <col min="5110" max="5111" width="14.85546875" style="2" customWidth="1"/>
    <col min="5112" max="5113" width="0" style="2" hidden="1" customWidth="1"/>
    <col min="5114" max="5114" width="14.85546875" style="2" customWidth="1"/>
    <col min="5115" max="5116" width="0" style="2" hidden="1" customWidth="1"/>
    <col min="5117" max="5117" width="14.85546875" style="2" customWidth="1"/>
    <col min="5118" max="5119" width="0" style="2" hidden="1" customWidth="1"/>
    <col min="5120" max="5120" width="14.85546875" style="2" customWidth="1"/>
    <col min="5121" max="5122" width="0" style="2" hidden="1" customWidth="1"/>
    <col min="5123" max="5123" width="14.85546875" style="2" customWidth="1"/>
    <col min="5124" max="5125" width="0" style="2" hidden="1" customWidth="1"/>
    <col min="5126" max="5127" width="14.85546875" style="2" customWidth="1"/>
    <col min="5128" max="5128" width="44.42578125" style="2" customWidth="1"/>
    <col min="5129" max="5133" width="14.85546875" style="2" customWidth="1"/>
    <col min="5134" max="5134" width="63.85546875" style="2" customWidth="1"/>
    <col min="5135" max="5135" width="13.28515625" style="2" customWidth="1"/>
    <col min="5136" max="5321" width="9" style="2"/>
    <col min="5322" max="5323" width="0" style="2" hidden="1" customWidth="1"/>
    <col min="5324" max="5324" width="13.7109375" style="2" customWidth="1"/>
    <col min="5325" max="5325" width="52.85546875" style="2" customWidth="1"/>
    <col min="5326" max="5365" width="0" style="2" hidden="1" customWidth="1"/>
    <col min="5366" max="5367" width="14.85546875" style="2" customWidth="1"/>
    <col min="5368" max="5369" width="0" style="2" hidden="1" customWidth="1"/>
    <col min="5370" max="5370" width="14.85546875" style="2" customWidth="1"/>
    <col min="5371" max="5372" width="0" style="2" hidden="1" customWidth="1"/>
    <col min="5373" max="5373" width="14.85546875" style="2" customWidth="1"/>
    <col min="5374" max="5375" width="0" style="2" hidden="1" customWidth="1"/>
    <col min="5376" max="5376" width="14.85546875" style="2" customWidth="1"/>
    <col min="5377" max="5378" width="0" style="2" hidden="1" customWidth="1"/>
    <col min="5379" max="5379" width="14.85546875" style="2" customWidth="1"/>
    <col min="5380" max="5381" width="0" style="2" hidden="1" customWidth="1"/>
    <col min="5382" max="5383" width="14.85546875" style="2" customWidth="1"/>
    <col min="5384" max="5384" width="44.42578125" style="2" customWidth="1"/>
    <col min="5385" max="5389" width="14.85546875" style="2" customWidth="1"/>
    <col min="5390" max="5390" width="63.85546875" style="2" customWidth="1"/>
    <col min="5391" max="5391" width="13.28515625" style="2" customWidth="1"/>
    <col min="5392" max="5577" width="9" style="2"/>
    <col min="5578" max="5579" width="0" style="2" hidden="1" customWidth="1"/>
    <col min="5580" max="5580" width="13.7109375" style="2" customWidth="1"/>
    <col min="5581" max="5581" width="52.85546875" style="2" customWidth="1"/>
    <col min="5582" max="5621" width="0" style="2" hidden="1" customWidth="1"/>
    <col min="5622" max="5623" width="14.85546875" style="2" customWidth="1"/>
    <col min="5624" max="5625" width="0" style="2" hidden="1" customWidth="1"/>
    <col min="5626" max="5626" width="14.85546875" style="2" customWidth="1"/>
    <col min="5627" max="5628" width="0" style="2" hidden="1" customWidth="1"/>
    <col min="5629" max="5629" width="14.85546875" style="2" customWidth="1"/>
    <col min="5630" max="5631" width="0" style="2" hidden="1" customWidth="1"/>
    <col min="5632" max="5632" width="14.85546875" style="2" customWidth="1"/>
    <col min="5633" max="5634" width="0" style="2" hidden="1" customWidth="1"/>
    <col min="5635" max="5635" width="14.85546875" style="2" customWidth="1"/>
    <col min="5636" max="5637" width="0" style="2" hidden="1" customWidth="1"/>
    <col min="5638" max="5639" width="14.85546875" style="2" customWidth="1"/>
    <col min="5640" max="5640" width="44.42578125" style="2" customWidth="1"/>
    <col min="5641" max="5645" width="14.85546875" style="2" customWidth="1"/>
    <col min="5646" max="5646" width="63.85546875" style="2" customWidth="1"/>
    <col min="5647" max="5647" width="13.28515625" style="2" customWidth="1"/>
    <col min="5648" max="5833" width="9" style="2"/>
    <col min="5834" max="5835" width="0" style="2" hidden="1" customWidth="1"/>
    <col min="5836" max="5836" width="13.7109375" style="2" customWidth="1"/>
    <col min="5837" max="5837" width="52.85546875" style="2" customWidth="1"/>
    <col min="5838" max="5877" width="0" style="2" hidden="1" customWidth="1"/>
    <col min="5878" max="5879" width="14.85546875" style="2" customWidth="1"/>
    <col min="5880" max="5881" width="0" style="2" hidden="1" customWidth="1"/>
    <col min="5882" max="5882" width="14.85546875" style="2" customWidth="1"/>
    <col min="5883" max="5884" width="0" style="2" hidden="1" customWidth="1"/>
    <col min="5885" max="5885" width="14.85546875" style="2" customWidth="1"/>
    <col min="5886" max="5887" width="0" style="2" hidden="1" customWidth="1"/>
    <col min="5888" max="5888" width="14.85546875" style="2" customWidth="1"/>
    <col min="5889" max="5890" width="0" style="2" hidden="1" customWidth="1"/>
    <col min="5891" max="5891" width="14.85546875" style="2" customWidth="1"/>
    <col min="5892" max="5893" width="0" style="2" hidden="1" customWidth="1"/>
    <col min="5894" max="5895" width="14.85546875" style="2" customWidth="1"/>
    <col min="5896" max="5896" width="44.42578125" style="2" customWidth="1"/>
    <col min="5897" max="5901" width="14.85546875" style="2" customWidth="1"/>
    <col min="5902" max="5902" width="63.85546875" style="2" customWidth="1"/>
    <col min="5903" max="5903" width="13.28515625" style="2" customWidth="1"/>
    <col min="5904" max="6089" width="9" style="2"/>
    <col min="6090" max="6091" width="0" style="2" hidden="1" customWidth="1"/>
    <col min="6092" max="6092" width="13.7109375" style="2" customWidth="1"/>
    <col min="6093" max="6093" width="52.85546875" style="2" customWidth="1"/>
    <col min="6094" max="6133" width="0" style="2" hidden="1" customWidth="1"/>
    <col min="6134" max="6135" width="14.85546875" style="2" customWidth="1"/>
    <col min="6136" max="6137" width="0" style="2" hidden="1" customWidth="1"/>
    <col min="6138" max="6138" width="14.85546875" style="2" customWidth="1"/>
    <col min="6139" max="6140" width="0" style="2" hidden="1" customWidth="1"/>
    <col min="6141" max="6141" width="14.85546875" style="2" customWidth="1"/>
    <col min="6142" max="6143" width="0" style="2" hidden="1" customWidth="1"/>
    <col min="6144" max="6144" width="14.85546875" style="2" customWidth="1"/>
    <col min="6145" max="6146" width="0" style="2" hidden="1" customWidth="1"/>
    <col min="6147" max="6147" width="14.85546875" style="2" customWidth="1"/>
    <col min="6148" max="6149" width="0" style="2" hidden="1" customWidth="1"/>
    <col min="6150" max="6151" width="14.85546875" style="2" customWidth="1"/>
    <col min="6152" max="6152" width="44.42578125" style="2" customWidth="1"/>
    <col min="6153" max="6157" width="14.85546875" style="2" customWidth="1"/>
    <col min="6158" max="6158" width="63.85546875" style="2" customWidth="1"/>
    <col min="6159" max="6159" width="13.28515625" style="2" customWidth="1"/>
    <col min="6160" max="6345" width="9" style="2"/>
    <col min="6346" max="6347" width="0" style="2" hidden="1" customWidth="1"/>
    <col min="6348" max="6348" width="13.7109375" style="2" customWidth="1"/>
    <col min="6349" max="6349" width="52.85546875" style="2" customWidth="1"/>
    <col min="6350" max="6389" width="0" style="2" hidden="1" customWidth="1"/>
    <col min="6390" max="6391" width="14.85546875" style="2" customWidth="1"/>
    <col min="6392" max="6393" width="0" style="2" hidden="1" customWidth="1"/>
    <col min="6394" max="6394" width="14.85546875" style="2" customWidth="1"/>
    <col min="6395" max="6396" width="0" style="2" hidden="1" customWidth="1"/>
    <col min="6397" max="6397" width="14.85546875" style="2" customWidth="1"/>
    <col min="6398" max="6399" width="0" style="2" hidden="1" customWidth="1"/>
    <col min="6400" max="6400" width="14.85546875" style="2" customWidth="1"/>
    <col min="6401" max="6402" width="0" style="2" hidden="1" customWidth="1"/>
    <col min="6403" max="6403" width="14.85546875" style="2" customWidth="1"/>
    <col min="6404" max="6405" width="0" style="2" hidden="1" customWidth="1"/>
    <col min="6406" max="6407" width="14.85546875" style="2" customWidth="1"/>
    <col min="6408" max="6408" width="44.42578125" style="2" customWidth="1"/>
    <col min="6409" max="6413" width="14.85546875" style="2" customWidth="1"/>
    <col min="6414" max="6414" width="63.85546875" style="2" customWidth="1"/>
    <col min="6415" max="6415" width="13.28515625" style="2" customWidth="1"/>
    <col min="6416" max="6601" width="9" style="2"/>
    <col min="6602" max="6603" width="0" style="2" hidden="1" customWidth="1"/>
    <col min="6604" max="6604" width="13.7109375" style="2" customWidth="1"/>
    <col min="6605" max="6605" width="52.85546875" style="2" customWidth="1"/>
    <col min="6606" max="6645" width="0" style="2" hidden="1" customWidth="1"/>
    <col min="6646" max="6647" width="14.85546875" style="2" customWidth="1"/>
    <col min="6648" max="6649" width="0" style="2" hidden="1" customWidth="1"/>
    <col min="6650" max="6650" width="14.85546875" style="2" customWidth="1"/>
    <col min="6651" max="6652" width="0" style="2" hidden="1" customWidth="1"/>
    <col min="6653" max="6653" width="14.85546875" style="2" customWidth="1"/>
    <col min="6654" max="6655" width="0" style="2" hidden="1" customWidth="1"/>
    <col min="6656" max="6656" width="14.85546875" style="2" customWidth="1"/>
    <col min="6657" max="6658" width="0" style="2" hidden="1" customWidth="1"/>
    <col min="6659" max="6659" width="14.85546875" style="2" customWidth="1"/>
    <col min="6660" max="6661" width="0" style="2" hidden="1" customWidth="1"/>
    <col min="6662" max="6663" width="14.85546875" style="2" customWidth="1"/>
    <col min="6664" max="6664" width="44.42578125" style="2" customWidth="1"/>
    <col min="6665" max="6669" width="14.85546875" style="2" customWidth="1"/>
    <col min="6670" max="6670" width="63.85546875" style="2" customWidth="1"/>
    <col min="6671" max="6671" width="13.28515625" style="2" customWidth="1"/>
    <col min="6672" max="6857" width="9" style="2"/>
    <col min="6858" max="6859" width="0" style="2" hidden="1" customWidth="1"/>
    <col min="6860" max="6860" width="13.7109375" style="2" customWidth="1"/>
    <col min="6861" max="6861" width="52.85546875" style="2" customWidth="1"/>
    <col min="6862" max="6901" width="0" style="2" hidden="1" customWidth="1"/>
    <col min="6902" max="6903" width="14.85546875" style="2" customWidth="1"/>
    <col min="6904" max="6905" width="0" style="2" hidden="1" customWidth="1"/>
    <col min="6906" max="6906" width="14.85546875" style="2" customWidth="1"/>
    <col min="6907" max="6908" width="0" style="2" hidden="1" customWidth="1"/>
    <col min="6909" max="6909" width="14.85546875" style="2" customWidth="1"/>
    <col min="6910" max="6911" width="0" style="2" hidden="1" customWidth="1"/>
    <col min="6912" max="6912" width="14.85546875" style="2" customWidth="1"/>
    <col min="6913" max="6914" width="0" style="2" hidden="1" customWidth="1"/>
    <col min="6915" max="6915" width="14.85546875" style="2" customWidth="1"/>
    <col min="6916" max="6917" width="0" style="2" hidden="1" customWidth="1"/>
    <col min="6918" max="6919" width="14.85546875" style="2" customWidth="1"/>
    <col min="6920" max="6920" width="44.42578125" style="2" customWidth="1"/>
    <col min="6921" max="6925" width="14.85546875" style="2" customWidth="1"/>
    <col min="6926" max="6926" width="63.85546875" style="2" customWidth="1"/>
    <col min="6927" max="6927" width="13.28515625" style="2" customWidth="1"/>
    <col min="6928" max="7113" width="9" style="2"/>
    <col min="7114" max="7115" width="0" style="2" hidden="1" customWidth="1"/>
    <col min="7116" max="7116" width="13.7109375" style="2" customWidth="1"/>
    <col min="7117" max="7117" width="52.85546875" style="2" customWidth="1"/>
    <col min="7118" max="7157" width="0" style="2" hidden="1" customWidth="1"/>
    <col min="7158" max="7159" width="14.85546875" style="2" customWidth="1"/>
    <col min="7160" max="7161" width="0" style="2" hidden="1" customWidth="1"/>
    <col min="7162" max="7162" width="14.85546875" style="2" customWidth="1"/>
    <col min="7163" max="7164" width="0" style="2" hidden="1" customWidth="1"/>
    <col min="7165" max="7165" width="14.85546875" style="2" customWidth="1"/>
    <col min="7166" max="7167" width="0" style="2" hidden="1" customWidth="1"/>
    <col min="7168" max="7168" width="14.85546875" style="2" customWidth="1"/>
    <col min="7169" max="7170" width="0" style="2" hidden="1" customWidth="1"/>
    <col min="7171" max="7171" width="14.85546875" style="2" customWidth="1"/>
    <col min="7172" max="7173" width="0" style="2" hidden="1" customWidth="1"/>
    <col min="7174" max="7175" width="14.85546875" style="2" customWidth="1"/>
    <col min="7176" max="7176" width="44.42578125" style="2" customWidth="1"/>
    <col min="7177" max="7181" width="14.85546875" style="2" customWidth="1"/>
    <col min="7182" max="7182" width="63.85546875" style="2" customWidth="1"/>
    <col min="7183" max="7183" width="13.28515625" style="2" customWidth="1"/>
    <col min="7184" max="7369" width="9" style="2"/>
    <col min="7370" max="7371" width="0" style="2" hidden="1" customWidth="1"/>
    <col min="7372" max="7372" width="13.7109375" style="2" customWidth="1"/>
    <col min="7373" max="7373" width="52.85546875" style="2" customWidth="1"/>
    <col min="7374" max="7413" width="0" style="2" hidden="1" customWidth="1"/>
    <col min="7414" max="7415" width="14.85546875" style="2" customWidth="1"/>
    <col min="7416" max="7417" width="0" style="2" hidden="1" customWidth="1"/>
    <col min="7418" max="7418" width="14.85546875" style="2" customWidth="1"/>
    <col min="7419" max="7420" width="0" style="2" hidden="1" customWidth="1"/>
    <col min="7421" max="7421" width="14.85546875" style="2" customWidth="1"/>
    <col min="7422" max="7423" width="0" style="2" hidden="1" customWidth="1"/>
    <col min="7424" max="7424" width="14.85546875" style="2" customWidth="1"/>
    <col min="7425" max="7426" width="0" style="2" hidden="1" customWidth="1"/>
    <col min="7427" max="7427" width="14.85546875" style="2" customWidth="1"/>
    <col min="7428" max="7429" width="0" style="2" hidden="1" customWidth="1"/>
    <col min="7430" max="7431" width="14.85546875" style="2" customWidth="1"/>
    <col min="7432" max="7432" width="44.42578125" style="2" customWidth="1"/>
    <col min="7433" max="7437" width="14.85546875" style="2" customWidth="1"/>
    <col min="7438" max="7438" width="63.85546875" style="2" customWidth="1"/>
    <col min="7439" max="7439" width="13.28515625" style="2" customWidth="1"/>
    <col min="7440" max="7625" width="9" style="2"/>
    <col min="7626" max="7627" width="0" style="2" hidden="1" customWidth="1"/>
    <col min="7628" max="7628" width="13.7109375" style="2" customWidth="1"/>
    <col min="7629" max="7629" width="52.85546875" style="2" customWidth="1"/>
    <col min="7630" max="7669" width="0" style="2" hidden="1" customWidth="1"/>
    <col min="7670" max="7671" width="14.85546875" style="2" customWidth="1"/>
    <col min="7672" max="7673" width="0" style="2" hidden="1" customWidth="1"/>
    <col min="7674" max="7674" width="14.85546875" style="2" customWidth="1"/>
    <col min="7675" max="7676" width="0" style="2" hidden="1" customWidth="1"/>
    <col min="7677" max="7677" width="14.85546875" style="2" customWidth="1"/>
    <col min="7678" max="7679" width="0" style="2" hidden="1" customWidth="1"/>
    <col min="7680" max="7680" width="14.85546875" style="2" customWidth="1"/>
    <col min="7681" max="7682" width="0" style="2" hidden="1" customWidth="1"/>
    <col min="7683" max="7683" width="14.85546875" style="2" customWidth="1"/>
    <col min="7684" max="7685" width="0" style="2" hidden="1" customWidth="1"/>
    <col min="7686" max="7687" width="14.85546875" style="2" customWidth="1"/>
    <col min="7688" max="7688" width="44.42578125" style="2" customWidth="1"/>
    <col min="7689" max="7693" width="14.85546875" style="2" customWidth="1"/>
    <col min="7694" max="7694" width="63.85546875" style="2" customWidth="1"/>
    <col min="7695" max="7695" width="13.28515625" style="2" customWidth="1"/>
    <col min="7696" max="7881" width="9" style="2"/>
    <col min="7882" max="7883" width="0" style="2" hidden="1" customWidth="1"/>
    <col min="7884" max="7884" width="13.7109375" style="2" customWidth="1"/>
    <col min="7885" max="7885" width="52.85546875" style="2" customWidth="1"/>
    <col min="7886" max="7925" width="0" style="2" hidden="1" customWidth="1"/>
    <col min="7926" max="7927" width="14.85546875" style="2" customWidth="1"/>
    <col min="7928" max="7929" width="0" style="2" hidden="1" customWidth="1"/>
    <col min="7930" max="7930" width="14.85546875" style="2" customWidth="1"/>
    <col min="7931" max="7932" width="0" style="2" hidden="1" customWidth="1"/>
    <col min="7933" max="7933" width="14.85546875" style="2" customWidth="1"/>
    <col min="7934" max="7935" width="0" style="2" hidden="1" customWidth="1"/>
    <col min="7936" max="7936" width="14.85546875" style="2" customWidth="1"/>
    <col min="7937" max="7938" width="0" style="2" hidden="1" customWidth="1"/>
    <col min="7939" max="7939" width="14.85546875" style="2" customWidth="1"/>
    <col min="7940" max="7941" width="0" style="2" hidden="1" customWidth="1"/>
    <col min="7942" max="7943" width="14.85546875" style="2" customWidth="1"/>
    <col min="7944" max="7944" width="44.42578125" style="2" customWidth="1"/>
    <col min="7945" max="7949" width="14.85546875" style="2" customWidth="1"/>
    <col min="7950" max="7950" width="63.85546875" style="2" customWidth="1"/>
    <col min="7951" max="7951" width="13.28515625" style="2" customWidth="1"/>
    <col min="7952" max="8137" width="9" style="2"/>
    <col min="8138" max="8139" width="0" style="2" hidden="1" customWidth="1"/>
    <col min="8140" max="8140" width="13.7109375" style="2" customWidth="1"/>
    <col min="8141" max="8141" width="52.85546875" style="2" customWidth="1"/>
    <col min="8142" max="8181" width="0" style="2" hidden="1" customWidth="1"/>
    <col min="8182" max="8183" width="14.85546875" style="2" customWidth="1"/>
    <col min="8184" max="8185" width="0" style="2" hidden="1" customWidth="1"/>
    <col min="8186" max="8186" width="14.85546875" style="2" customWidth="1"/>
    <col min="8187" max="8188" width="0" style="2" hidden="1" customWidth="1"/>
    <col min="8189" max="8189" width="14.85546875" style="2" customWidth="1"/>
    <col min="8190" max="8191" width="0" style="2" hidden="1" customWidth="1"/>
    <col min="8192" max="8192" width="14.85546875" style="2" customWidth="1"/>
    <col min="8193" max="8194" width="0" style="2" hidden="1" customWidth="1"/>
    <col min="8195" max="8195" width="14.85546875" style="2" customWidth="1"/>
    <col min="8196" max="8197" width="0" style="2" hidden="1" customWidth="1"/>
    <col min="8198" max="8199" width="14.85546875" style="2" customWidth="1"/>
    <col min="8200" max="8200" width="44.42578125" style="2" customWidth="1"/>
    <col min="8201" max="8205" width="14.85546875" style="2" customWidth="1"/>
    <col min="8206" max="8206" width="63.85546875" style="2" customWidth="1"/>
    <col min="8207" max="8207" width="13.28515625" style="2" customWidth="1"/>
    <col min="8208" max="8393" width="9" style="2"/>
    <col min="8394" max="8395" width="0" style="2" hidden="1" customWidth="1"/>
    <col min="8396" max="8396" width="13.7109375" style="2" customWidth="1"/>
    <col min="8397" max="8397" width="52.85546875" style="2" customWidth="1"/>
    <col min="8398" max="8437" width="0" style="2" hidden="1" customWidth="1"/>
    <col min="8438" max="8439" width="14.85546875" style="2" customWidth="1"/>
    <col min="8440" max="8441" width="0" style="2" hidden="1" customWidth="1"/>
    <col min="8442" max="8442" width="14.85546875" style="2" customWidth="1"/>
    <col min="8443" max="8444" width="0" style="2" hidden="1" customWidth="1"/>
    <col min="8445" max="8445" width="14.85546875" style="2" customWidth="1"/>
    <col min="8446" max="8447" width="0" style="2" hidden="1" customWidth="1"/>
    <col min="8448" max="8448" width="14.85546875" style="2" customWidth="1"/>
    <col min="8449" max="8450" width="0" style="2" hidden="1" customWidth="1"/>
    <col min="8451" max="8451" width="14.85546875" style="2" customWidth="1"/>
    <col min="8452" max="8453" width="0" style="2" hidden="1" customWidth="1"/>
    <col min="8454" max="8455" width="14.85546875" style="2" customWidth="1"/>
    <col min="8456" max="8456" width="44.42578125" style="2" customWidth="1"/>
    <col min="8457" max="8461" width="14.85546875" style="2" customWidth="1"/>
    <col min="8462" max="8462" width="63.85546875" style="2" customWidth="1"/>
    <col min="8463" max="8463" width="13.28515625" style="2" customWidth="1"/>
    <col min="8464" max="8649" width="9" style="2"/>
    <col min="8650" max="8651" width="0" style="2" hidden="1" customWidth="1"/>
    <col min="8652" max="8652" width="13.7109375" style="2" customWidth="1"/>
    <col min="8653" max="8653" width="52.85546875" style="2" customWidth="1"/>
    <col min="8654" max="8693" width="0" style="2" hidden="1" customWidth="1"/>
    <col min="8694" max="8695" width="14.85546875" style="2" customWidth="1"/>
    <col min="8696" max="8697" width="0" style="2" hidden="1" customWidth="1"/>
    <col min="8698" max="8698" width="14.85546875" style="2" customWidth="1"/>
    <col min="8699" max="8700" width="0" style="2" hidden="1" customWidth="1"/>
    <col min="8701" max="8701" width="14.85546875" style="2" customWidth="1"/>
    <col min="8702" max="8703" width="0" style="2" hidden="1" customWidth="1"/>
    <col min="8704" max="8704" width="14.85546875" style="2" customWidth="1"/>
    <col min="8705" max="8706" width="0" style="2" hidden="1" customWidth="1"/>
    <col min="8707" max="8707" width="14.85546875" style="2" customWidth="1"/>
    <col min="8708" max="8709" width="0" style="2" hidden="1" customWidth="1"/>
    <col min="8710" max="8711" width="14.85546875" style="2" customWidth="1"/>
    <col min="8712" max="8712" width="44.42578125" style="2" customWidth="1"/>
    <col min="8713" max="8717" width="14.85546875" style="2" customWidth="1"/>
    <col min="8718" max="8718" width="63.85546875" style="2" customWidth="1"/>
    <col min="8719" max="8719" width="13.28515625" style="2" customWidth="1"/>
    <col min="8720" max="8905" width="9" style="2"/>
    <col min="8906" max="8907" width="0" style="2" hidden="1" customWidth="1"/>
    <col min="8908" max="8908" width="13.7109375" style="2" customWidth="1"/>
    <col min="8909" max="8909" width="52.85546875" style="2" customWidth="1"/>
    <col min="8910" max="8949" width="0" style="2" hidden="1" customWidth="1"/>
    <col min="8950" max="8951" width="14.85546875" style="2" customWidth="1"/>
    <col min="8952" max="8953" width="0" style="2" hidden="1" customWidth="1"/>
    <col min="8954" max="8954" width="14.85546875" style="2" customWidth="1"/>
    <col min="8955" max="8956" width="0" style="2" hidden="1" customWidth="1"/>
    <col min="8957" max="8957" width="14.85546875" style="2" customWidth="1"/>
    <col min="8958" max="8959" width="0" style="2" hidden="1" customWidth="1"/>
    <col min="8960" max="8960" width="14.85546875" style="2" customWidth="1"/>
    <col min="8961" max="8962" width="0" style="2" hidden="1" customWidth="1"/>
    <col min="8963" max="8963" width="14.85546875" style="2" customWidth="1"/>
    <col min="8964" max="8965" width="0" style="2" hidden="1" customWidth="1"/>
    <col min="8966" max="8967" width="14.85546875" style="2" customWidth="1"/>
    <col min="8968" max="8968" width="44.42578125" style="2" customWidth="1"/>
    <col min="8969" max="8973" width="14.85546875" style="2" customWidth="1"/>
    <col min="8974" max="8974" width="63.85546875" style="2" customWidth="1"/>
    <col min="8975" max="8975" width="13.28515625" style="2" customWidth="1"/>
    <col min="8976" max="9161" width="9" style="2"/>
    <col min="9162" max="9163" width="0" style="2" hidden="1" customWidth="1"/>
    <col min="9164" max="9164" width="13.7109375" style="2" customWidth="1"/>
    <col min="9165" max="9165" width="52.85546875" style="2" customWidth="1"/>
    <col min="9166" max="9205" width="0" style="2" hidden="1" customWidth="1"/>
    <col min="9206" max="9207" width="14.85546875" style="2" customWidth="1"/>
    <col min="9208" max="9209" width="0" style="2" hidden="1" customWidth="1"/>
    <col min="9210" max="9210" width="14.85546875" style="2" customWidth="1"/>
    <col min="9211" max="9212" width="0" style="2" hidden="1" customWidth="1"/>
    <col min="9213" max="9213" width="14.85546875" style="2" customWidth="1"/>
    <col min="9214" max="9215" width="0" style="2" hidden="1" customWidth="1"/>
    <col min="9216" max="9216" width="14.85546875" style="2" customWidth="1"/>
    <col min="9217" max="9218" width="0" style="2" hidden="1" customWidth="1"/>
    <col min="9219" max="9219" width="14.85546875" style="2" customWidth="1"/>
    <col min="9220" max="9221" width="0" style="2" hidden="1" customWidth="1"/>
    <col min="9222" max="9223" width="14.85546875" style="2" customWidth="1"/>
    <col min="9224" max="9224" width="44.42578125" style="2" customWidth="1"/>
    <col min="9225" max="9229" width="14.85546875" style="2" customWidth="1"/>
    <col min="9230" max="9230" width="63.85546875" style="2" customWidth="1"/>
    <col min="9231" max="9231" width="13.28515625" style="2" customWidth="1"/>
    <col min="9232" max="9417" width="9" style="2"/>
    <col min="9418" max="9419" width="0" style="2" hidden="1" customWidth="1"/>
    <col min="9420" max="9420" width="13.7109375" style="2" customWidth="1"/>
    <col min="9421" max="9421" width="52.85546875" style="2" customWidth="1"/>
    <col min="9422" max="9461" width="0" style="2" hidden="1" customWidth="1"/>
    <col min="9462" max="9463" width="14.85546875" style="2" customWidth="1"/>
    <col min="9464" max="9465" width="0" style="2" hidden="1" customWidth="1"/>
    <col min="9466" max="9466" width="14.85546875" style="2" customWidth="1"/>
    <col min="9467" max="9468" width="0" style="2" hidden="1" customWidth="1"/>
    <col min="9469" max="9469" width="14.85546875" style="2" customWidth="1"/>
    <col min="9470" max="9471" width="0" style="2" hidden="1" customWidth="1"/>
    <col min="9472" max="9472" width="14.85546875" style="2" customWidth="1"/>
    <col min="9473" max="9474" width="0" style="2" hidden="1" customWidth="1"/>
    <col min="9475" max="9475" width="14.85546875" style="2" customWidth="1"/>
    <col min="9476" max="9477" width="0" style="2" hidden="1" customWidth="1"/>
    <col min="9478" max="9479" width="14.85546875" style="2" customWidth="1"/>
    <col min="9480" max="9480" width="44.42578125" style="2" customWidth="1"/>
    <col min="9481" max="9485" width="14.85546875" style="2" customWidth="1"/>
    <col min="9486" max="9486" width="63.85546875" style="2" customWidth="1"/>
    <col min="9487" max="9487" width="13.28515625" style="2" customWidth="1"/>
    <col min="9488" max="9673" width="9" style="2"/>
    <col min="9674" max="9675" width="0" style="2" hidden="1" customWidth="1"/>
    <col min="9676" max="9676" width="13.7109375" style="2" customWidth="1"/>
    <col min="9677" max="9677" width="52.85546875" style="2" customWidth="1"/>
    <col min="9678" max="9717" width="0" style="2" hidden="1" customWidth="1"/>
    <col min="9718" max="9719" width="14.85546875" style="2" customWidth="1"/>
    <col min="9720" max="9721" width="0" style="2" hidden="1" customWidth="1"/>
    <col min="9722" max="9722" width="14.85546875" style="2" customWidth="1"/>
    <col min="9723" max="9724" width="0" style="2" hidden="1" customWidth="1"/>
    <col min="9725" max="9725" width="14.85546875" style="2" customWidth="1"/>
    <col min="9726" max="9727" width="0" style="2" hidden="1" customWidth="1"/>
    <col min="9728" max="9728" width="14.85546875" style="2" customWidth="1"/>
    <col min="9729" max="9730" width="0" style="2" hidden="1" customWidth="1"/>
    <col min="9731" max="9731" width="14.85546875" style="2" customWidth="1"/>
    <col min="9732" max="9733" width="0" style="2" hidden="1" customWidth="1"/>
    <col min="9734" max="9735" width="14.85546875" style="2" customWidth="1"/>
    <col min="9736" max="9736" width="44.42578125" style="2" customWidth="1"/>
    <col min="9737" max="9741" width="14.85546875" style="2" customWidth="1"/>
    <col min="9742" max="9742" width="63.85546875" style="2" customWidth="1"/>
    <col min="9743" max="9743" width="13.28515625" style="2" customWidth="1"/>
    <col min="9744" max="9929" width="9" style="2"/>
    <col min="9930" max="9931" width="0" style="2" hidden="1" customWidth="1"/>
    <col min="9932" max="9932" width="13.7109375" style="2" customWidth="1"/>
    <col min="9933" max="9933" width="52.85546875" style="2" customWidth="1"/>
    <col min="9934" max="9973" width="0" style="2" hidden="1" customWidth="1"/>
    <col min="9974" max="9975" width="14.85546875" style="2" customWidth="1"/>
    <col min="9976" max="9977" width="0" style="2" hidden="1" customWidth="1"/>
    <col min="9978" max="9978" width="14.85546875" style="2" customWidth="1"/>
    <col min="9979" max="9980" width="0" style="2" hidden="1" customWidth="1"/>
    <col min="9981" max="9981" width="14.85546875" style="2" customWidth="1"/>
    <col min="9982" max="9983" width="0" style="2" hidden="1" customWidth="1"/>
    <col min="9984" max="9984" width="14.85546875" style="2" customWidth="1"/>
    <col min="9985" max="9986" width="0" style="2" hidden="1" customWidth="1"/>
    <col min="9987" max="9987" width="14.85546875" style="2" customWidth="1"/>
    <col min="9988" max="9989" width="0" style="2" hidden="1" customWidth="1"/>
    <col min="9990" max="9991" width="14.85546875" style="2" customWidth="1"/>
    <col min="9992" max="9992" width="44.42578125" style="2" customWidth="1"/>
    <col min="9993" max="9997" width="14.85546875" style="2" customWidth="1"/>
    <col min="9998" max="9998" width="63.85546875" style="2" customWidth="1"/>
    <col min="9999" max="9999" width="13.28515625" style="2" customWidth="1"/>
    <col min="10000" max="10185" width="9" style="2"/>
    <col min="10186" max="10187" width="0" style="2" hidden="1" customWidth="1"/>
    <col min="10188" max="10188" width="13.7109375" style="2" customWidth="1"/>
    <col min="10189" max="10189" width="52.85546875" style="2" customWidth="1"/>
    <col min="10190" max="10229" width="0" style="2" hidden="1" customWidth="1"/>
    <col min="10230" max="10231" width="14.85546875" style="2" customWidth="1"/>
    <col min="10232" max="10233" width="0" style="2" hidden="1" customWidth="1"/>
    <col min="10234" max="10234" width="14.85546875" style="2" customWidth="1"/>
    <col min="10235" max="10236" width="0" style="2" hidden="1" customWidth="1"/>
    <col min="10237" max="10237" width="14.85546875" style="2" customWidth="1"/>
    <col min="10238" max="10239" width="0" style="2" hidden="1" customWidth="1"/>
    <col min="10240" max="10240" width="14.85546875" style="2" customWidth="1"/>
    <col min="10241" max="10242" width="0" style="2" hidden="1" customWidth="1"/>
    <col min="10243" max="10243" width="14.85546875" style="2" customWidth="1"/>
    <col min="10244" max="10245" width="0" style="2" hidden="1" customWidth="1"/>
    <col min="10246" max="10247" width="14.85546875" style="2" customWidth="1"/>
    <col min="10248" max="10248" width="44.42578125" style="2" customWidth="1"/>
    <col min="10249" max="10253" width="14.85546875" style="2" customWidth="1"/>
    <col min="10254" max="10254" width="63.85546875" style="2" customWidth="1"/>
    <col min="10255" max="10255" width="13.28515625" style="2" customWidth="1"/>
    <col min="10256" max="10441" width="9" style="2"/>
    <col min="10442" max="10443" width="0" style="2" hidden="1" customWidth="1"/>
    <col min="10444" max="10444" width="13.7109375" style="2" customWidth="1"/>
    <col min="10445" max="10445" width="52.85546875" style="2" customWidth="1"/>
    <col min="10446" max="10485" width="0" style="2" hidden="1" customWidth="1"/>
    <col min="10486" max="10487" width="14.85546875" style="2" customWidth="1"/>
    <col min="10488" max="10489" width="0" style="2" hidden="1" customWidth="1"/>
    <col min="10490" max="10490" width="14.85546875" style="2" customWidth="1"/>
    <col min="10491" max="10492" width="0" style="2" hidden="1" customWidth="1"/>
    <col min="10493" max="10493" width="14.85546875" style="2" customWidth="1"/>
    <col min="10494" max="10495" width="0" style="2" hidden="1" customWidth="1"/>
    <col min="10496" max="10496" width="14.85546875" style="2" customWidth="1"/>
    <col min="10497" max="10498" width="0" style="2" hidden="1" customWidth="1"/>
    <col min="10499" max="10499" width="14.85546875" style="2" customWidth="1"/>
    <col min="10500" max="10501" width="0" style="2" hidden="1" customWidth="1"/>
    <col min="10502" max="10503" width="14.85546875" style="2" customWidth="1"/>
    <col min="10504" max="10504" width="44.42578125" style="2" customWidth="1"/>
    <col min="10505" max="10509" width="14.85546875" style="2" customWidth="1"/>
    <col min="10510" max="10510" width="63.85546875" style="2" customWidth="1"/>
    <col min="10511" max="10511" width="13.28515625" style="2" customWidth="1"/>
    <col min="10512" max="10697" width="9" style="2"/>
    <col min="10698" max="10699" width="0" style="2" hidden="1" customWidth="1"/>
    <col min="10700" max="10700" width="13.7109375" style="2" customWidth="1"/>
    <col min="10701" max="10701" width="52.85546875" style="2" customWidth="1"/>
    <col min="10702" max="10741" width="0" style="2" hidden="1" customWidth="1"/>
    <col min="10742" max="10743" width="14.85546875" style="2" customWidth="1"/>
    <col min="10744" max="10745" width="0" style="2" hidden="1" customWidth="1"/>
    <col min="10746" max="10746" width="14.85546875" style="2" customWidth="1"/>
    <col min="10747" max="10748" width="0" style="2" hidden="1" customWidth="1"/>
    <col min="10749" max="10749" width="14.85546875" style="2" customWidth="1"/>
    <col min="10750" max="10751" width="0" style="2" hidden="1" customWidth="1"/>
    <col min="10752" max="10752" width="14.85546875" style="2" customWidth="1"/>
    <col min="10753" max="10754" width="0" style="2" hidden="1" customWidth="1"/>
    <col min="10755" max="10755" width="14.85546875" style="2" customWidth="1"/>
    <col min="10756" max="10757" width="0" style="2" hidden="1" customWidth="1"/>
    <col min="10758" max="10759" width="14.85546875" style="2" customWidth="1"/>
    <col min="10760" max="10760" width="44.42578125" style="2" customWidth="1"/>
    <col min="10761" max="10765" width="14.85546875" style="2" customWidth="1"/>
    <col min="10766" max="10766" width="63.85546875" style="2" customWidth="1"/>
    <col min="10767" max="10767" width="13.28515625" style="2" customWidth="1"/>
    <col min="10768" max="10953" width="9" style="2"/>
    <col min="10954" max="10955" width="0" style="2" hidden="1" customWidth="1"/>
    <col min="10956" max="10956" width="13.7109375" style="2" customWidth="1"/>
    <col min="10957" max="10957" width="52.85546875" style="2" customWidth="1"/>
    <col min="10958" max="10997" width="0" style="2" hidden="1" customWidth="1"/>
    <col min="10998" max="10999" width="14.85546875" style="2" customWidth="1"/>
    <col min="11000" max="11001" width="0" style="2" hidden="1" customWidth="1"/>
    <col min="11002" max="11002" width="14.85546875" style="2" customWidth="1"/>
    <col min="11003" max="11004" width="0" style="2" hidden="1" customWidth="1"/>
    <col min="11005" max="11005" width="14.85546875" style="2" customWidth="1"/>
    <col min="11006" max="11007" width="0" style="2" hidden="1" customWidth="1"/>
    <col min="11008" max="11008" width="14.85546875" style="2" customWidth="1"/>
    <col min="11009" max="11010" width="0" style="2" hidden="1" customWidth="1"/>
    <col min="11011" max="11011" width="14.85546875" style="2" customWidth="1"/>
    <col min="11012" max="11013" width="0" style="2" hidden="1" customWidth="1"/>
    <col min="11014" max="11015" width="14.85546875" style="2" customWidth="1"/>
    <col min="11016" max="11016" width="44.42578125" style="2" customWidth="1"/>
    <col min="11017" max="11021" width="14.85546875" style="2" customWidth="1"/>
    <col min="11022" max="11022" width="63.85546875" style="2" customWidth="1"/>
    <col min="11023" max="11023" width="13.28515625" style="2" customWidth="1"/>
    <col min="11024" max="11209" width="9" style="2"/>
    <col min="11210" max="11211" width="0" style="2" hidden="1" customWidth="1"/>
    <col min="11212" max="11212" width="13.7109375" style="2" customWidth="1"/>
    <col min="11213" max="11213" width="52.85546875" style="2" customWidth="1"/>
    <col min="11214" max="11253" width="0" style="2" hidden="1" customWidth="1"/>
    <col min="11254" max="11255" width="14.85546875" style="2" customWidth="1"/>
    <col min="11256" max="11257" width="0" style="2" hidden="1" customWidth="1"/>
    <col min="11258" max="11258" width="14.85546875" style="2" customWidth="1"/>
    <col min="11259" max="11260" width="0" style="2" hidden="1" customWidth="1"/>
    <col min="11261" max="11261" width="14.85546875" style="2" customWidth="1"/>
    <col min="11262" max="11263" width="0" style="2" hidden="1" customWidth="1"/>
    <col min="11264" max="11264" width="14.85546875" style="2" customWidth="1"/>
    <col min="11265" max="11266" width="0" style="2" hidden="1" customWidth="1"/>
    <col min="11267" max="11267" width="14.85546875" style="2" customWidth="1"/>
    <col min="11268" max="11269" width="0" style="2" hidden="1" customWidth="1"/>
    <col min="11270" max="11271" width="14.85546875" style="2" customWidth="1"/>
    <col min="11272" max="11272" width="44.42578125" style="2" customWidth="1"/>
    <col min="11273" max="11277" width="14.85546875" style="2" customWidth="1"/>
    <col min="11278" max="11278" width="63.85546875" style="2" customWidth="1"/>
    <col min="11279" max="11279" width="13.28515625" style="2" customWidth="1"/>
    <col min="11280" max="11465" width="9" style="2"/>
    <col min="11466" max="11467" width="0" style="2" hidden="1" customWidth="1"/>
    <col min="11468" max="11468" width="13.7109375" style="2" customWidth="1"/>
    <col min="11469" max="11469" width="52.85546875" style="2" customWidth="1"/>
    <col min="11470" max="11509" width="0" style="2" hidden="1" customWidth="1"/>
    <col min="11510" max="11511" width="14.85546875" style="2" customWidth="1"/>
    <col min="11512" max="11513" width="0" style="2" hidden="1" customWidth="1"/>
    <col min="11514" max="11514" width="14.85546875" style="2" customWidth="1"/>
    <col min="11515" max="11516" width="0" style="2" hidden="1" customWidth="1"/>
    <col min="11517" max="11517" width="14.85546875" style="2" customWidth="1"/>
    <col min="11518" max="11519" width="0" style="2" hidden="1" customWidth="1"/>
    <col min="11520" max="11520" width="14.85546875" style="2" customWidth="1"/>
    <col min="11521" max="11522" width="0" style="2" hidden="1" customWidth="1"/>
    <col min="11523" max="11523" width="14.85546875" style="2" customWidth="1"/>
    <col min="11524" max="11525" width="0" style="2" hidden="1" customWidth="1"/>
    <col min="11526" max="11527" width="14.85546875" style="2" customWidth="1"/>
    <col min="11528" max="11528" width="44.42578125" style="2" customWidth="1"/>
    <col min="11529" max="11533" width="14.85546875" style="2" customWidth="1"/>
    <col min="11534" max="11534" width="63.85546875" style="2" customWidth="1"/>
    <col min="11535" max="11535" width="13.28515625" style="2" customWidth="1"/>
    <col min="11536" max="11721" width="9" style="2"/>
    <col min="11722" max="11723" width="0" style="2" hidden="1" customWidth="1"/>
    <col min="11724" max="11724" width="13.7109375" style="2" customWidth="1"/>
    <col min="11725" max="11725" width="52.85546875" style="2" customWidth="1"/>
    <col min="11726" max="11765" width="0" style="2" hidden="1" customWidth="1"/>
    <col min="11766" max="11767" width="14.85546875" style="2" customWidth="1"/>
    <col min="11768" max="11769" width="0" style="2" hidden="1" customWidth="1"/>
    <col min="11770" max="11770" width="14.85546875" style="2" customWidth="1"/>
    <col min="11771" max="11772" width="0" style="2" hidden="1" customWidth="1"/>
    <col min="11773" max="11773" width="14.85546875" style="2" customWidth="1"/>
    <col min="11774" max="11775" width="0" style="2" hidden="1" customWidth="1"/>
    <col min="11776" max="11776" width="14.85546875" style="2" customWidth="1"/>
    <col min="11777" max="11778" width="0" style="2" hidden="1" customWidth="1"/>
    <col min="11779" max="11779" width="14.85546875" style="2" customWidth="1"/>
    <col min="11780" max="11781" width="0" style="2" hidden="1" customWidth="1"/>
    <col min="11782" max="11783" width="14.85546875" style="2" customWidth="1"/>
    <col min="11784" max="11784" width="44.42578125" style="2" customWidth="1"/>
    <col min="11785" max="11789" width="14.85546875" style="2" customWidth="1"/>
    <col min="11790" max="11790" width="63.85546875" style="2" customWidth="1"/>
    <col min="11791" max="11791" width="13.28515625" style="2" customWidth="1"/>
    <col min="11792" max="11977" width="9" style="2"/>
    <col min="11978" max="11979" width="0" style="2" hidden="1" customWidth="1"/>
    <col min="11980" max="11980" width="13.7109375" style="2" customWidth="1"/>
    <col min="11981" max="11981" width="52.85546875" style="2" customWidth="1"/>
    <col min="11982" max="12021" width="0" style="2" hidden="1" customWidth="1"/>
    <col min="12022" max="12023" width="14.85546875" style="2" customWidth="1"/>
    <col min="12024" max="12025" width="0" style="2" hidden="1" customWidth="1"/>
    <col min="12026" max="12026" width="14.85546875" style="2" customWidth="1"/>
    <col min="12027" max="12028" width="0" style="2" hidden="1" customWidth="1"/>
    <col min="12029" max="12029" width="14.85546875" style="2" customWidth="1"/>
    <col min="12030" max="12031" width="0" style="2" hidden="1" customWidth="1"/>
    <col min="12032" max="12032" width="14.85546875" style="2" customWidth="1"/>
    <col min="12033" max="12034" width="0" style="2" hidden="1" customWidth="1"/>
    <col min="12035" max="12035" width="14.85546875" style="2" customWidth="1"/>
    <col min="12036" max="12037" width="0" style="2" hidden="1" customWidth="1"/>
    <col min="12038" max="12039" width="14.85546875" style="2" customWidth="1"/>
    <col min="12040" max="12040" width="44.42578125" style="2" customWidth="1"/>
    <col min="12041" max="12045" width="14.85546875" style="2" customWidth="1"/>
    <col min="12046" max="12046" width="63.85546875" style="2" customWidth="1"/>
    <col min="12047" max="12047" width="13.28515625" style="2" customWidth="1"/>
    <col min="12048" max="12233" width="9" style="2"/>
    <col min="12234" max="12235" width="0" style="2" hidden="1" customWidth="1"/>
    <col min="12236" max="12236" width="13.7109375" style="2" customWidth="1"/>
    <col min="12237" max="12237" width="52.85546875" style="2" customWidth="1"/>
    <col min="12238" max="12277" width="0" style="2" hidden="1" customWidth="1"/>
    <col min="12278" max="12279" width="14.85546875" style="2" customWidth="1"/>
    <col min="12280" max="12281" width="0" style="2" hidden="1" customWidth="1"/>
    <col min="12282" max="12282" width="14.85546875" style="2" customWidth="1"/>
    <col min="12283" max="12284" width="0" style="2" hidden="1" customWidth="1"/>
    <col min="12285" max="12285" width="14.85546875" style="2" customWidth="1"/>
    <col min="12286" max="12287" width="0" style="2" hidden="1" customWidth="1"/>
    <col min="12288" max="12288" width="14.85546875" style="2" customWidth="1"/>
    <col min="12289" max="12290" width="0" style="2" hidden="1" customWidth="1"/>
    <col min="12291" max="12291" width="14.85546875" style="2" customWidth="1"/>
    <col min="12292" max="12293" width="0" style="2" hidden="1" customWidth="1"/>
    <col min="12294" max="12295" width="14.85546875" style="2" customWidth="1"/>
    <col min="12296" max="12296" width="44.42578125" style="2" customWidth="1"/>
    <col min="12297" max="12301" width="14.85546875" style="2" customWidth="1"/>
    <col min="12302" max="12302" width="63.85546875" style="2" customWidth="1"/>
    <col min="12303" max="12303" width="13.28515625" style="2" customWidth="1"/>
    <col min="12304" max="12489" width="9" style="2"/>
    <col min="12490" max="12491" width="0" style="2" hidden="1" customWidth="1"/>
    <col min="12492" max="12492" width="13.7109375" style="2" customWidth="1"/>
    <col min="12493" max="12493" width="52.85546875" style="2" customWidth="1"/>
    <col min="12494" max="12533" width="0" style="2" hidden="1" customWidth="1"/>
    <col min="12534" max="12535" width="14.85546875" style="2" customWidth="1"/>
    <col min="12536" max="12537" width="0" style="2" hidden="1" customWidth="1"/>
    <col min="12538" max="12538" width="14.85546875" style="2" customWidth="1"/>
    <col min="12539" max="12540" width="0" style="2" hidden="1" customWidth="1"/>
    <col min="12541" max="12541" width="14.85546875" style="2" customWidth="1"/>
    <col min="12542" max="12543" width="0" style="2" hidden="1" customWidth="1"/>
    <col min="12544" max="12544" width="14.85546875" style="2" customWidth="1"/>
    <col min="12545" max="12546" width="0" style="2" hidden="1" customWidth="1"/>
    <col min="12547" max="12547" width="14.85546875" style="2" customWidth="1"/>
    <col min="12548" max="12549" width="0" style="2" hidden="1" customWidth="1"/>
    <col min="12550" max="12551" width="14.85546875" style="2" customWidth="1"/>
    <col min="12552" max="12552" width="44.42578125" style="2" customWidth="1"/>
    <col min="12553" max="12557" width="14.85546875" style="2" customWidth="1"/>
    <col min="12558" max="12558" width="63.85546875" style="2" customWidth="1"/>
    <col min="12559" max="12559" width="13.28515625" style="2" customWidth="1"/>
    <col min="12560" max="12745" width="9" style="2"/>
    <col min="12746" max="12747" width="0" style="2" hidden="1" customWidth="1"/>
    <col min="12748" max="12748" width="13.7109375" style="2" customWidth="1"/>
    <col min="12749" max="12749" width="52.85546875" style="2" customWidth="1"/>
    <col min="12750" max="12789" width="0" style="2" hidden="1" customWidth="1"/>
    <col min="12790" max="12791" width="14.85546875" style="2" customWidth="1"/>
    <col min="12792" max="12793" width="0" style="2" hidden="1" customWidth="1"/>
    <col min="12794" max="12794" width="14.85546875" style="2" customWidth="1"/>
    <col min="12795" max="12796" width="0" style="2" hidden="1" customWidth="1"/>
    <col min="12797" max="12797" width="14.85546875" style="2" customWidth="1"/>
    <col min="12798" max="12799" width="0" style="2" hidden="1" customWidth="1"/>
    <col min="12800" max="12800" width="14.85546875" style="2" customWidth="1"/>
    <col min="12801" max="12802" width="0" style="2" hidden="1" customWidth="1"/>
    <col min="12803" max="12803" width="14.85546875" style="2" customWidth="1"/>
    <col min="12804" max="12805" width="0" style="2" hidden="1" customWidth="1"/>
    <col min="12806" max="12807" width="14.85546875" style="2" customWidth="1"/>
    <col min="12808" max="12808" width="44.42578125" style="2" customWidth="1"/>
    <col min="12809" max="12813" width="14.85546875" style="2" customWidth="1"/>
    <col min="12814" max="12814" width="63.85546875" style="2" customWidth="1"/>
    <col min="12815" max="12815" width="13.28515625" style="2" customWidth="1"/>
    <col min="12816" max="13001" width="9" style="2"/>
    <col min="13002" max="13003" width="0" style="2" hidden="1" customWidth="1"/>
    <col min="13004" max="13004" width="13.7109375" style="2" customWidth="1"/>
    <col min="13005" max="13005" width="52.85546875" style="2" customWidth="1"/>
    <col min="13006" max="13045" width="0" style="2" hidden="1" customWidth="1"/>
    <col min="13046" max="13047" width="14.85546875" style="2" customWidth="1"/>
    <col min="13048" max="13049" width="0" style="2" hidden="1" customWidth="1"/>
    <col min="13050" max="13050" width="14.85546875" style="2" customWidth="1"/>
    <col min="13051" max="13052" width="0" style="2" hidden="1" customWidth="1"/>
    <col min="13053" max="13053" width="14.85546875" style="2" customWidth="1"/>
    <col min="13054" max="13055" width="0" style="2" hidden="1" customWidth="1"/>
    <col min="13056" max="13056" width="14.85546875" style="2" customWidth="1"/>
    <col min="13057" max="13058" width="0" style="2" hidden="1" customWidth="1"/>
    <col min="13059" max="13059" width="14.85546875" style="2" customWidth="1"/>
    <col min="13060" max="13061" width="0" style="2" hidden="1" customWidth="1"/>
    <col min="13062" max="13063" width="14.85546875" style="2" customWidth="1"/>
    <col min="13064" max="13064" width="44.42578125" style="2" customWidth="1"/>
    <col min="13065" max="13069" width="14.85546875" style="2" customWidth="1"/>
    <col min="13070" max="13070" width="63.85546875" style="2" customWidth="1"/>
    <col min="13071" max="13071" width="13.28515625" style="2" customWidth="1"/>
    <col min="13072" max="13257" width="9" style="2"/>
    <col min="13258" max="13259" width="0" style="2" hidden="1" customWidth="1"/>
    <col min="13260" max="13260" width="13.7109375" style="2" customWidth="1"/>
    <col min="13261" max="13261" width="52.85546875" style="2" customWidth="1"/>
    <col min="13262" max="13301" width="0" style="2" hidden="1" customWidth="1"/>
    <col min="13302" max="13303" width="14.85546875" style="2" customWidth="1"/>
    <col min="13304" max="13305" width="0" style="2" hidden="1" customWidth="1"/>
    <col min="13306" max="13306" width="14.85546875" style="2" customWidth="1"/>
    <col min="13307" max="13308" width="0" style="2" hidden="1" customWidth="1"/>
    <col min="13309" max="13309" width="14.85546875" style="2" customWidth="1"/>
    <col min="13310" max="13311" width="0" style="2" hidden="1" customWidth="1"/>
    <col min="13312" max="13312" width="14.85546875" style="2" customWidth="1"/>
    <col min="13313" max="13314" width="0" style="2" hidden="1" customWidth="1"/>
    <col min="13315" max="13315" width="14.85546875" style="2" customWidth="1"/>
    <col min="13316" max="13317" width="0" style="2" hidden="1" customWidth="1"/>
    <col min="13318" max="13319" width="14.85546875" style="2" customWidth="1"/>
    <col min="13320" max="13320" width="44.42578125" style="2" customWidth="1"/>
    <col min="13321" max="13325" width="14.85546875" style="2" customWidth="1"/>
    <col min="13326" max="13326" width="63.85546875" style="2" customWidth="1"/>
    <col min="13327" max="13327" width="13.28515625" style="2" customWidth="1"/>
    <col min="13328" max="13513" width="9" style="2"/>
    <col min="13514" max="13515" width="0" style="2" hidden="1" customWidth="1"/>
    <col min="13516" max="13516" width="13.7109375" style="2" customWidth="1"/>
    <col min="13517" max="13517" width="52.85546875" style="2" customWidth="1"/>
    <col min="13518" max="13557" width="0" style="2" hidden="1" customWidth="1"/>
    <col min="13558" max="13559" width="14.85546875" style="2" customWidth="1"/>
    <col min="13560" max="13561" width="0" style="2" hidden="1" customWidth="1"/>
    <col min="13562" max="13562" width="14.85546875" style="2" customWidth="1"/>
    <col min="13563" max="13564" width="0" style="2" hidden="1" customWidth="1"/>
    <col min="13565" max="13565" width="14.85546875" style="2" customWidth="1"/>
    <col min="13566" max="13567" width="0" style="2" hidden="1" customWidth="1"/>
    <col min="13568" max="13568" width="14.85546875" style="2" customWidth="1"/>
    <col min="13569" max="13570" width="0" style="2" hidden="1" customWidth="1"/>
    <col min="13571" max="13571" width="14.85546875" style="2" customWidth="1"/>
    <col min="13572" max="13573" width="0" style="2" hidden="1" customWidth="1"/>
    <col min="13574" max="13575" width="14.85546875" style="2" customWidth="1"/>
    <col min="13576" max="13576" width="44.42578125" style="2" customWidth="1"/>
    <col min="13577" max="13581" width="14.85546875" style="2" customWidth="1"/>
    <col min="13582" max="13582" width="63.85546875" style="2" customWidth="1"/>
    <col min="13583" max="13583" width="13.28515625" style="2" customWidth="1"/>
    <col min="13584" max="13769" width="9" style="2"/>
    <col min="13770" max="13771" width="0" style="2" hidden="1" customWidth="1"/>
    <col min="13772" max="13772" width="13.7109375" style="2" customWidth="1"/>
    <col min="13773" max="13773" width="52.85546875" style="2" customWidth="1"/>
    <col min="13774" max="13813" width="0" style="2" hidden="1" customWidth="1"/>
    <col min="13814" max="13815" width="14.85546875" style="2" customWidth="1"/>
    <col min="13816" max="13817" width="0" style="2" hidden="1" customWidth="1"/>
    <col min="13818" max="13818" width="14.85546875" style="2" customWidth="1"/>
    <col min="13819" max="13820" width="0" style="2" hidden="1" customWidth="1"/>
    <col min="13821" max="13821" width="14.85546875" style="2" customWidth="1"/>
    <col min="13822" max="13823" width="0" style="2" hidden="1" customWidth="1"/>
    <col min="13824" max="13824" width="14.85546875" style="2" customWidth="1"/>
    <col min="13825" max="13826" width="0" style="2" hidden="1" customWidth="1"/>
    <col min="13827" max="13827" width="14.85546875" style="2" customWidth="1"/>
    <col min="13828" max="13829" width="0" style="2" hidden="1" customWidth="1"/>
    <col min="13830" max="13831" width="14.85546875" style="2" customWidth="1"/>
    <col min="13832" max="13832" width="44.42578125" style="2" customWidth="1"/>
    <col min="13833" max="13837" width="14.85546875" style="2" customWidth="1"/>
    <col min="13838" max="13838" width="63.85546875" style="2" customWidth="1"/>
    <col min="13839" max="13839" width="13.28515625" style="2" customWidth="1"/>
    <col min="13840" max="14025" width="9" style="2"/>
    <col min="14026" max="14027" width="0" style="2" hidden="1" customWidth="1"/>
    <col min="14028" max="14028" width="13.7109375" style="2" customWidth="1"/>
    <col min="14029" max="14029" width="52.85546875" style="2" customWidth="1"/>
    <col min="14030" max="14069" width="0" style="2" hidden="1" customWidth="1"/>
    <col min="14070" max="14071" width="14.85546875" style="2" customWidth="1"/>
    <col min="14072" max="14073" width="0" style="2" hidden="1" customWidth="1"/>
    <col min="14074" max="14074" width="14.85546875" style="2" customWidth="1"/>
    <col min="14075" max="14076" width="0" style="2" hidden="1" customWidth="1"/>
    <col min="14077" max="14077" width="14.85546875" style="2" customWidth="1"/>
    <col min="14078" max="14079" width="0" style="2" hidden="1" customWidth="1"/>
    <col min="14080" max="14080" width="14.85546875" style="2" customWidth="1"/>
    <col min="14081" max="14082" width="0" style="2" hidden="1" customWidth="1"/>
    <col min="14083" max="14083" width="14.85546875" style="2" customWidth="1"/>
    <col min="14084" max="14085" width="0" style="2" hidden="1" customWidth="1"/>
    <col min="14086" max="14087" width="14.85546875" style="2" customWidth="1"/>
    <col min="14088" max="14088" width="44.42578125" style="2" customWidth="1"/>
    <col min="14089" max="14093" width="14.85546875" style="2" customWidth="1"/>
    <col min="14094" max="14094" width="63.85546875" style="2" customWidth="1"/>
    <col min="14095" max="14095" width="13.28515625" style="2" customWidth="1"/>
    <col min="14096" max="14281" width="9" style="2"/>
    <col min="14282" max="14283" width="0" style="2" hidden="1" customWidth="1"/>
    <col min="14284" max="14284" width="13.7109375" style="2" customWidth="1"/>
    <col min="14285" max="14285" width="52.85546875" style="2" customWidth="1"/>
    <col min="14286" max="14325" width="0" style="2" hidden="1" customWidth="1"/>
    <col min="14326" max="14327" width="14.85546875" style="2" customWidth="1"/>
    <col min="14328" max="14329" width="0" style="2" hidden="1" customWidth="1"/>
    <col min="14330" max="14330" width="14.85546875" style="2" customWidth="1"/>
    <col min="14331" max="14332" width="0" style="2" hidden="1" customWidth="1"/>
    <col min="14333" max="14333" width="14.85546875" style="2" customWidth="1"/>
    <col min="14334" max="14335" width="0" style="2" hidden="1" customWidth="1"/>
    <col min="14336" max="14336" width="14.85546875" style="2" customWidth="1"/>
    <col min="14337" max="14338" width="0" style="2" hidden="1" customWidth="1"/>
    <col min="14339" max="14339" width="14.85546875" style="2" customWidth="1"/>
    <col min="14340" max="14341" width="0" style="2" hidden="1" customWidth="1"/>
    <col min="14342" max="14343" width="14.85546875" style="2" customWidth="1"/>
    <col min="14344" max="14344" width="44.42578125" style="2" customWidth="1"/>
    <col min="14345" max="14349" width="14.85546875" style="2" customWidth="1"/>
    <col min="14350" max="14350" width="63.85546875" style="2" customWidth="1"/>
    <col min="14351" max="14351" width="13.28515625" style="2" customWidth="1"/>
    <col min="14352" max="14537" width="9" style="2"/>
    <col min="14538" max="14539" width="0" style="2" hidden="1" customWidth="1"/>
    <col min="14540" max="14540" width="13.7109375" style="2" customWidth="1"/>
    <col min="14541" max="14541" width="52.85546875" style="2" customWidth="1"/>
    <col min="14542" max="14581" width="0" style="2" hidden="1" customWidth="1"/>
    <col min="14582" max="14583" width="14.85546875" style="2" customWidth="1"/>
    <col min="14584" max="14585" width="0" style="2" hidden="1" customWidth="1"/>
    <col min="14586" max="14586" width="14.85546875" style="2" customWidth="1"/>
    <col min="14587" max="14588" width="0" style="2" hidden="1" customWidth="1"/>
    <col min="14589" max="14589" width="14.85546875" style="2" customWidth="1"/>
    <col min="14590" max="14591" width="0" style="2" hidden="1" customWidth="1"/>
    <col min="14592" max="14592" width="14.85546875" style="2" customWidth="1"/>
    <col min="14593" max="14594" width="0" style="2" hidden="1" customWidth="1"/>
    <col min="14595" max="14595" width="14.85546875" style="2" customWidth="1"/>
    <col min="14596" max="14597" width="0" style="2" hidden="1" customWidth="1"/>
    <col min="14598" max="14599" width="14.85546875" style="2" customWidth="1"/>
    <col min="14600" max="14600" width="44.42578125" style="2" customWidth="1"/>
    <col min="14601" max="14605" width="14.85546875" style="2" customWidth="1"/>
    <col min="14606" max="14606" width="63.85546875" style="2" customWidth="1"/>
    <col min="14607" max="14607" width="13.28515625" style="2" customWidth="1"/>
    <col min="14608" max="14793" width="9" style="2"/>
    <col min="14794" max="14795" width="0" style="2" hidden="1" customWidth="1"/>
    <col min="14796" max="14796" width="13.7109375" style="2" customWidth="1"/>
    <col min="14797" max="14797" width="52.85546875" style="2" customWidth="1"/>
    <col min="14798" max="14837" width="0" style="2" hidden="1" customWidth="1"/>
    <col min="14838" max="14839" width="14.85546875" style="2" customWidth="1"/>
    <col min="14840" max="14841" width="0" style="2" hidden="1" customWidth="1"/>
    <col min="14842" max="14842" width="14.85546875" style="2" customWidth="1"/>
    <col min="14843" max="14844" width="0" style="2" hidden="1" customWidth="1"/>
    <col min="14845" max="14845" width="14.85546875" style="2" customWidth="1"/>
    <col min="14846" max="14847" width="0" style="2" hidden="1" customWidth="1"/>
    <col min="14848" max="14848" width="14.85546875" style="2" customWidth="1"/>
    <col min="14849" max="14850" width="0" style="2" hidden="1" customWidth="1"/>
    <col min="14851" max="14851" width="14.85546875" style="2" customWidth="1"/>
    <col min="14852" max="14853" width="0" style="2" hidden="1" customWidth="1"/>
    <col min="14854" max="14855" width="14.85546875" style="2" customWidth="1"/>
    <col min="14856" max="14856" width="44.42578125" style="2" customWidth="1"/>
    <col min="14857" max="14861" width="14.85546875" style="2" customWidth="1"/>
    <col min="14862" max="14862" width="63.85546875" style="2" customWidth="1"/>
    <col min="14863" max="14863" width="13.28515625" style="2" customWidth="1"/>
    <col min="14864" max="15049" width="9" style="2"/>
    <col min="15050" max="15051" width="0" style="2" hidden="1" customWidth="1"/>
    <col min="15052" max="15052" width="13.7109375" style="2" customWidth="1"/>
    <col min="15053" max="15053" width="52.85546875" style="2" customWidth="1"/>
    <col min="15054" max="15093" width="0" style="2" hidden="1" customWidth="1"/>
    <col min="15094" max="15095" width="14.85546875" style="2" customWidth="1"/>
    <col min="15096" max="15097" width="0" style="2" hidden="1" customWidth="1"/>
    <col min="15098" max="15098" width="14.85546875" style="2" customWidth="1"/>
    <col min="15099" max="15100" width="0" style="2" hidden="1" customWidth="1"/>
    <col min="15101" max="15101" width="14.85546875" style="2" customWidth="1"/>
    <col min="15102" max="15103" width="0" style="2" hidden="1" customWidth="1"/>
    <col min="15104" max="15104" width="14.85546875" style="2" customWidth="1"/>
    <col min="15105" max="15106" width="0" style="2" hidden="1" customWidth="1"/>
    <col min="15107" max="15107" width="14.85546875" style="2" customWidth="1"/>
    <col min="15108" max="15109" width="0" style="2" hidden="1" customWidth="1"/>
    <col min="15110" max="15111" width="14.85546875" style="2" customWidth="1"/>
    <col min="15112" max="15112" width="44.42578125" style="2" customWidth="1"/>
    <col min="15113" max="15117" width="14.85546875" style="2" customWidth="1"/>
    <col min="15118" max="15118" width="63.85546875" style="2" customWidth="1"/>
    <col min="15119" max="15119" width="13.28515625" style="2" customWidth="1"/>
    <col min="15120" max="15305" width="9" style="2"/>
    <col min="15306" max="15307" width="0" style="2" hidden="1" customWidth="1"/>
    <col min="15308" max="15308" width="13.7109375" style="2" customWidth="1"/>
    <col min="15309" max="15309" width="52.85546875" style="2" customWidth="1"/>
    <col min="15310" max="15349" width="0" style="2" hidden="1" customWidth="1"/>
    <col min="15350" max="15351" width="14.85546875" style="2" customWidth="1"/>
    <col min="15352" max="15353" width="0" style="2" hidden="1" customWidth="1"/>
    <col min="15354" max="15354" width="14.85546875" style="2" customWidth="1"/>
    <col min="15355" max="15356" width="0" style="2" hidden="1" customWidth="1"/>
    <col min="15357" max="15357" width="14.85546875" style="2" customWidth="1"/>
    <col min="15358" max="15359" width="0" style="2" hidden="1" customWidth="1"/>
    <col min="15360" max="15360" width="14.85546875" style="2" customWidth="1"/>
    <col min="15361" max="15362" width="0" style="2" hidden="1" customWidth="1"/>
    <col min="15363" max="15363" width="14.85546875" style="2" customWidth="1"/>
    <col min="15364" max="15365" width="0" style="2" hidden="1" customWidth="1"/>
    <col min="15366" max="15367" width="14.85546875" style="2" customWidth="1"/>
    <col min="15368" max="15368" width="44.42578125" style="2" customWidth="1"/>
    <col min="15369" max="15373" width="14.85546875" style="2" customWidth="1"/>
    <col min="15374" max="15374" width="63.85546875" style="2" customWidth="1"/>
    <col min="15375" max="15375" width="13.28515625" style="2" customWidth="1"/>
    <col min="15376" max="15561" width="9" style="2"/>
    <col min="15562" max="15563" width="0" style="2" hidden="1" customWidth="1"/>
    <col min="15564" max="15564" width="13.7109375" style="2" customWidth="1"/>
    <col min="15565" max="15565" width="52.85546875" style="2" customWidth="1"/>
    <col min="15566" max="15605" width="0" style="2" hidden="1" customWidth="1"/>
    <col min="15606" max="15607" width="14.85546875" style="2" customWidth="1"/>
    <col min="15608" max="15609" width="0" style="2" hidden="1" customWidth="1"/>
    <col min="15610" max="15610" width="14.85546875" style="2" customWidth="1"/>
    <col min="15611" max="15612" width="0" style="2" hidden="1" customWidth="1"/>
    <col min="15613" max="15613" width="14.85546875" style="2" customWidth="1"/>
    <col min="15614" max="15615" width="0" style="2" hidden="1" customWidth="1"/>
    <col min="15616" max="15616" width="14.85546875" style="2" customWidth="1"/>
    <col min="15617" max="15618" width="0" style="2" hidden="1" customWidth="1"/>
    <col min="15619" max="15619" width="14.85546875" style="2" customWidth="1"/>
    <col min="15620" max="15621" width="0" style="2" hidden="1" customWidth="1"/>
    <col min="15622" max="15623" width="14.85546875" style="2" customWidth="1"/>
    <col min="15624" max="15624" width="44.42578125" style="2" customWidth="1"/>
    <col min="15625" max="15629" width="14.85546875" style="2" customWidth="1"/>
    <col min="15630" max="15630" width="63.85546875" style="2" customWidth="1"/>
    <col min="15631" max="15631" width="13.28515625" style="2" customWidth="1"/>
    <col min="15632" max="15817" width="9" style="2"/>
    <col min="15818" max="15819" width="0" style="2" hidden="1" customWidth="1"/>
    <col min="15820" max="15820" width="13.7109375" style="2" customWidth="1"/>
    <col min="15821" max="15821" width="52.85546875" style="2" customWidth="1"/>
    <col min="15822" max="15861" width="0" style="2" hidden="1" customWidth="1"/>
    <col min="15862" max="15863" width="14.85546875" style="2" customWidth="1"/>
    <col min="15864" max="15865" width="0" style="2" hidden="1" customWidth="1"/>
    <col min="15866" max="15866" width="14.85546875" style="2" customWidth="1"/>
    <col min="15867" max="15868" width="0" style="2" hidden="1" customWidth="1"/>
    <col min="15869" max="15869" width="14.85546875" style="2" customWidth="1"/>
    <col min="15870" max="15871" width="0" style="2" hidden="1" customWidth="1"/>
    <col min="15872" max="15872" width="14.85546875" style="2" customWidth="1"/>
    <col min="15873" max="15874" width="0" style="2" hidden="1" customWidth="1"/>
    <col min="15875" max="15875" width="14.85546875" style="2" customWidth="1"/>
    <col min="15876" max="15877" width="0" style="2" hidden="1" customWidth="1"/>
    <col min="15878" max="15879" width="14.85546875" style="2" customWidth="1"/>
    <col min="15880" max="15880" width="44.42578125" style="2" customWidth="1"/>
    <col min="15881" max="15885" width="14.85546875" style="2" customWidth="1"/>
    <col min="15886" max="15886" width="63.85546875" style="2" customWidth="1"/>
    <col min="15887" max="15887" width="13.28515625" style="2" customWidth="1"/>
    <col min="15888" max="16073" width="9" style="2"/>
    <col min="16074" max="16075" width="0" style="2" hidden="1" customWidth="1"/>
    <col min="16076" max="16076" width="13.7109375" style="2" customWidth="1"/>
    <col min="16077" max="16077" width="52.85546875" style="2" customWidth="1"/>
    <col min="16078" max="16117" width="0" style="2" hidden="1" customWidth="1"/>
    <col min="16118" max="16119" width="14.85546875" style="2" customWidth="1"/>
    <col min="16120" max="16121" width="0" style="2" hidden="1" customWidth="1"/>
    <col min="16122" max="16122" width="14.85546875" style="2" customWidth="1"/>
    <col min="16123" max="16124" width="0" style="2" hidden="1" customWidth="1"/>
    <col min="16125" max="16125" width="14.85546875" style="2" customWidth="1"/>
    <col min="16126" max="16127" width="0" style="2" hidden="1" customWidth="1"/>
    <col min="16128" max="16128" width="14.85546875" style="2" customWidth="1"/>
    <col min="16129" max="16130" width="0" style="2" hidden="1" customWidth="1"/>
    <col min="16131" max="16131" width="14.85546875" style="2" customWidth="1"/>
    <col min="16132" max="16133" width="0" style="2" hidden="1" customWidth="1"/>
    <col min="16134" max="16135" width="14.85546875" style="2" customWidth="1"/>
    <col min="16136" max="16136" width="44.42578125" style="2" customWidth="1"/>
    <col min="16137" max="16141" width="14.85546875" style="2" customWidth="1"/>
    <col min="16142" max="16142" width="63.85546875" style="2" customWidth="1"/>
    <col min="16143" max="16143" width="13.28515625" style="2" customWidth="1"/>
    <col min="16144" max="16342" width="9" style="2"/>
    <col min="16343" max="16375" width="9.140625" style="2" customWidth="1"/>
    <col min="16376" max="16384" width="9.140625" style="2"/>
  </cols>
  <sheetData>
    <row r="1" spans="1:42" ht="25.5" outlineLevel="1" x14ac:dyDescent="0.35">
      <c r="C1" s="59" t="s">
        <v>316</v>
      </c>
      <c r="D1" s="533"/>
      <c r="E1" s="342"/>
      <c r="F1" s="195"/>
      <c r="G1" s="3"/>
      <c r="H1" s="378"/>
      <c r="I1" s="541"/>
      <c r="J1" s="3"/>
      <c r="K1" s="123"/>
      <c r="L1" s="218"/>
      <c r="M1" s="3"/>
      <c r="N1" s="123"/>
      <c r="O1" s="502"/>
      <c r="P1" s="3"/>
      <c r="Q1" s="123"/>
      <c r="R1" s="218"/>
      <c r="S1" s="3"/>
      <c r="T1" s="123"/>
      <c r="U1" s="218"/>
      <c r="V1" s="3"/>
      <c r="W1" s="123"/>
      <c r="X1" s="218"/>
      <c r="Y1" s="3"/>
      <c r="Z1" s="123"/>
      <c r="AA1" s="218"/>
      <c r="AB1" s="3"/>
      <c r="AC1" s="378"/>
      <c r="AD1" s="218"/>
      <c r="AE1" s="3"/>
      <c r="AF1" s="123"/>
      <c r="AG1" s="378"/>
      <c r="AH1" s="378"/>
      <c r="AI1" s="378"/>
      <c r="AJ1" s="378"/>
      <c r="AK1" s="378"/>
      <c r="AL1" s="378"/>
      <c r="AM1" s="378"/>
      <c r="AN1" s="378"/>
      <c r="AO1" s="378"/>
      <c r="AP1" s="378"/>
    </row>
    <row r="2" spans="1:42" ht="25.5" outlineLevel="1" x14ac:dyDescent="0.35">
      <c r="C2" s="620" t="s">
        <v>712</v>
      </c>
      <c r="D2" s="620"/>
      <c r="G2" s="40"/>
      <c r="H2" s="379"/>
      <c r="I2" s="40"/>
      <c r="J2" s="40"/>
      <c r="K2" s="124"/>
      <c r="L2" s="40"/>
      <c r="M2" s="40"/>
      <c r="N2" s="124"/>
      <c r="O2" s="40"/>
      <c r="P2" s="40"/>
      <c r="Q2" s="124"/>
      <c r="R2" s="40"/>
      <c r="S2" s="40"/>
      <c r="T2" s="124"/>
      <c r="U2" s="40"/>
      <c r="V2" s="40"/>
      <c r="W2" s="124"/>
      <c r="X2" s="40"/>
      <c r="Z2" s="124"/>
      <c r="AA2" s="40"/>
      <c r="AC2" s="379"/>
      <c r="AD2" s="40"/>
      <c r="AF2" s="124"/>
      <c r="AG2" s="379"/>
      <c r="AH2" s="379"/>
      <c r="AI2" s="379"/>
      <c r="AJ2" s="379"/>
      <c r="AK2" s="379"/>
      <c r="AL2" s="379"/>
      <c r="AM2" s="379"/>
      <c r="AN2" s="379"/>
      <c r="AO2" s="379"/>
      <c r="AP2" s="379"/>
    </row>
    <row r="3" spans="1:42" ht="20.25" outlineLevel="1" x14ac:dyDescent="0.3">
      <c r="C3" s="621" t="s">
        <v>0</v>
      </c>
      <c r="D3" s="621"/>
      <c r="E3" s="283"/>
      <c r="F3" s="118"/>
      <c r="G3" s="44"/>
      <c r="I3" s="44"/>
      <c r="J3" s="44"/>
      <c r="L3" s="118"/>
      <c r="M3" s="44"/>
      <c r="O3" s="118"/>
      <c r="P3" s="44"/>
      <c r="R3" s="118"/>
      <c r="S3" s="44"/>
      <c r="U3" s="118"/>
      <c r="V3" s="44"/>
      <c r="X3" s="118"/>
      <c r="AA3" s="118"/>
      <c r="AD3" s="118"/>
      <c r="AG3" s="380"/>
      <c r="AH3" s="380"/>
      <c r="AI3" s="380"/>
      <c r="AJ3" s="380"/>
      <c r="AK3" s="380"/>
      <c r="AL3" s="380"/>
      <c r="AM3" s="380"/>
      <c r="AN3" s="380"/>
      <c r="AO3" s="380"/>
      <c r="AP3" s="380"/>
    </row>
    <row r="4" spans="1:42" ht="15.75" outlineLevel="1" thickBot="1" x14ac:dyDescent="0.3">
      <c r="C4" s="100"/>
      <c r="E4" s="283"/>
      <c r="F4" s="118"/>
      <c r="G4" s="1"/>
      <c r="I4" s="118"/>
      <c r="J4" s="1"/>
      <c r="L4" s="118"/>
      <c r="M4" s="1"/>
      <c r="O4" s="118"/>
      <c r="P4" s="1"/>
      <c r="R4" s="118"/>
      <c r="S4" s="1"/>
      <c r="U4" s="118"/>
      <c r="V4" s="1"/>
      <c r="X4" s="118"/>
      <c r="Y4" s="1"/>
      <c r="AA4" s="118"/>
      <c r="AB4" s="1"/>
      <c r="AD4" s="118"/>
      <c r="AE4" s="1"/>
      <c r="AG4" s="380"/>
      <c r="AH4" s="380"/>
      <c r="AI4" s="380"/>
      <c r="AJ4" s="380"/>
      <c r="AK4" s="380"/>
      <c r="AL4" s="380"/>
      <c r="AM4" s="380"/>
      <c r="AN4" s="380"/>
      <c r="AO4" s="380"/>
      <c r="AP4" s="380"/>
    </row>
    <row r="5" spans="1:42" ht="55.15" customHeight="1" thickBot="1" x14ac:dyDescent="0.3">
      <c r="C5" s="6" t="s">
        <v>1</v>
      </c>
      <c r="D5" s="7" t="s">
        <v>2</v>
      </c>
      <c r="E5" s="359" t="s">
        <v>698</v>
      </c>
      <c r="F5" s="359" t="s">
        <v>707</v>
      </c>
      <c r="G5" s="45" t="s">
        <v>708</v>
      </c>
      <c r="H5" s="381" t="s">
        <v>255</v>
      </c>
      <c r="I5" s="45" t="s">
        <v>798</v>
      </c>
      <c r="J5" s="45" t="s">
        <v>799</v>
      </c>
      <c r="K5" s="48" t="s">
        <v>255</v>
      </c>
      <c r="L5" s="45" t="s">
        <v>817</v>
      </c>
      <c r="M5" s="45" t="s">
        <v>818</v>
      </c>
      <c r="N5" s="48" t="s">
        <v>255</v>
      </c>
      <c r="O5" s="45" t="s">
        <v>832</v>
      </c>
      <c r="P5" s="45" t="s">
        <v>833</v>
      </c>
      <c r="Q5" s="48" t="s">
        <v>255</v>
      </c>
      <c r="R5" s="45" t="s">
        <v>880</v>
      </c>
      <c r="S5" s="45" t="s">
        <v>881</v>
      </c>
      <c r="T5" s="48" t="s">
        <v>255</v>
      </c>
      <c r="U5" s="45" t="s">
        <v>914</v>
      </c>
      <c r="V5" s="45" t="s">
        <v>915</v>
      </c>
      <c r="W5" s="48" t="s">
        <v>255</v>
      </c>
      <c r="X5" s="45" t="s">
        <v>958</v>
      </c>
      <c r="Y5" s="45" t="s">
        <v>947</v>
      </c>
      <c r="Z5" s="48" t="s">
        <v>255</v>
      </c>
      <c r="AA5" s="45" t="s">
        <v>959</v>
      </c>
      <c r="AB5" s="45" t="s">
        <v>960</v>
      </c>
      <c r="AC5" s="381" t="s">
        <v>255</v>
      </c>
      <c r="AD5" s="45" t="s">
        <v>980</v>
      </c>
      <c r="AE5" s="45" t="s">
        <v>981</v>
      </c>
      <c r="AF5" s="48" t="s">
        <v>255</v>
      </c>
      <c r="AG5" s="45" t="s">
        <v>987</v>
      </c>
      <c r="AH5" s="201" t="s">
        <v>1025</v>
      </c>
      <c r="AI5" s="48" t="s">
        <v>4</v>
      </c>
    </row>
    <row r="6" spans="1:42" x14ac:dyDescent="0.25">
      <c r="C6" s="65" t="s">
        <v>420</v>
      </c>
      <c r="D6" s="66" t="s">
        <v>5</v>
      </c>
      <c r="E6" s="55">
        <v>38074624</v>
      </c>
      <c r="F6" s="55">
        <f t="shared" ref="F6" si="0">ROUND((F7+F10+F13+F16+F19),0)</f>
        <v>38074624</v>
      </c>
      <c r="G6" s="8">
        <f>F6-E6</f>
        <v>0</v>
      </c>
      <c r="H6" s="382"/>
      <c r="I6" s="55">
        <f>ROUND((I7+I10+I13+I16+I19),0)</f>
        <v>38519847</v>
      </c>
      <c r="J6" s="8">
        <f>I6-F6</f>
        <v>445223</v>
      </c>
      <c r="K6" s="125"/>
      <c r="L6" s="55">
        <f>ROUND((L7+L10+L13+L16+L19),0)</f>
        <v>38519847</v>
      </c>
      <c r="M6" s="8">
        <f>L6-I6</f>
        <v>0</v>
      </c>
      <c r="N6" s="125"/>
      <c r="O6" s="55">
        <f>ROUND((O7+O10+O13+O16+O19),0)</f>
        <v>38519847</v>
      </c>
      <c r="P6" s="8">
        <f>O6-L6</f>
        <v>0</v>
      </c>
      <c r="Q6" s="125"/>
      <c r="R6" s="55">
        <f>ROUND((R7+R10+R13+R16+R19),0)</f>
        <v>38539687</v>
      </c>
      <c r="S6" s="8">
        <f>R6-O6</f>
        <v>19840</v>
      </c>
      <c r="T6" s="125"/>
      <c r="U6" s="55">
        <f>ROUND((U7+U10+U13+U16+U19),0)</f>
        <v>38539687</v>
      </c>
      <c r="V6" s="8">
        <f>U6-R6</f>
        <v>0</v>
      </c>
      <c r="W6" s="125"/>
      <c r="X6" s="55">
        <f>ROUND((X7+X10+X13+X16+X19),0)</f>
        <v>38539687</v>
      </c>
      <c r="Y6" s="8">
        <f>X6-U6</f>
        <v>0</v>
      </c>
      <c r="Z6" s="125"/>
      <c r="AA6" s="55">
        <f>ROUND((AA7+AA10+AA13+AA16+AA19),0)</f>
        <v>38539687</v>
      </c>
      <c r="AB6" s="8">
        <f>AA6-X6</f>
        <v>0</v>
      </c>
      <c r="AC6" s="382"/>
      <c r="AD6" s="55">
        <f>ROUND((AD7+AD10+AD13+AD16+AD19),0)</f>
        <v>40405140</v>
      </c>
      <c r="AE6" s="8">
        <f>AD6-AA6</f>
        <v>1865453</v>
      </c>
      <c r="AF6" s="125"/>
      <c r="AG6" s="549">
        <f>ROUND((AG7+AG10+AG13+AG16+AG19),0)</f>
        <v>40500478</v>
      </c>
      <c r="AH6" s="202">
        <f>AG6/AD6</f>
        <v>1.0023595512848118</v>
      </c>
      <c r="AI6" s="551"/>
    </row>
    <row r="7" spans="1:42" x14ac:dyDescent="0.25">
      <c r="B7" s="2" t="s">
        <v>6</v>
      </c>
      <c r="C7" s="67" t="s">
        <v>7</v>
      </c>
      <c r="D7" s="68" t="s">
        <v>8</v>
      </c>
      <c r="E7" s="347">
        <v>34831773</v>
      </c>
      <c r="F7" s="347">
        <f t="shared" ref="F7" si="1">SUM(F8:F8)</f>
        <v>34831773</v>
      </c>
      <c r="G7" s="9">
        <f t="shared" ref="G7:G71" si="2">F7-E7</f>
        <v>0</v>
      </c>
      <c r="H7" s="383"/>
      <c r="I7" s="9">
        <f>SUM(I8:I8)</f>
        <v>35276996</v>
      </c>
      <c r="J7" s="9">
        <f>I7-F7</f>
        <v>445223</v>
      </c>
      <c r="K7" s="126"/>
      <c r="L7" s="9">
        <f>SUM(L8:L8)</f>
        <v>35276996</v>
      </c>
      <c r="M7" s="9">
        <f>L7-I7</f>
        <v>0</v>
      </c>
      <c r="N7" s="126"/>
      <c r="O7" s="9">
        <f>SUM(O8:O8)</f>
        <v>35276996</v>
      </c>
      <c r="P7" s="9">
        <f>O7-L7</f>
        <v>0</v>
      </c>
      <c r="Q7" s="126"/>
      <c r="R7" s="9">
        <f>SUM(R8:R8)</f>
        <v>35296836</v>
      </c>
      <c r="S7" s="9">
        <f>R7-O7</f>
        <v>19840</v>
      </c>
      <c r="T7" s="126"/>
      <c r="U7" s="9">
        <f>SUM(U8:U8)</f>
        <v>35296836</v>
      </c>
      <c r="V7" s="9">
        <f>U7-R7</f>
        <v>0</v>
      </c>
      <c r="W7" s="126"/>
      <c r="X7" s="9">
        <f>SUM(X8:X8)</f>
        <v>35296836</v>
      </c>
      <c r="Y7" s="9">
        <f>X7-U7</f>
        <v>0</v>
      </c>
      <c r="Z7" s="126"/>
      <c r="AA7" s="9">
        <f>SUM(AA8:AA8)</f>
        <v>35296836</v>
      </c>
      <c r="AB7" s="9">
        <f>AA7-X7</f>
        <v>0</v>
      </c>
      <c r="AC7" s="383"/>
      <c r="AD7" s="9">
        <f>SUM(AD8:AD8)</f>
        <v>37162289</v>
      </c>
      <c r="AE7" s="9">
        <f>AD7-AA7</f>
        <v>1865453</v>
      </c>
      <c r="AF7" s="126"/>
      <c r="AG7" s="550">
        <f>SUM(AG8:AG8)</f>
        <v>37162288.229999997</v>
      </c>
      <c r="AH7" s="203">
        <f t="shared" ref="AH7:AH70" si="3">AG7/AD7</f>
        <v>0.99999997928007067</v>
      </c>
      <c r="AI7" s="552"/>
    </row>
    <row r="8" spans="1:42" ht="43.5" customHeight="1" x14ac:dyDescent="0.25">
      <c r="A8" s="2" t="s">
        <v>9</v>
      </c>
      <c r="B8" s="10" t="s">
        <v>11</v>
      </c>
      <c r="C8" s="69" t="s">
        <v>10</v>
      </c>
      <c r="D8" s="70" t="s">
        <v>13</v>
      </c>
      <c r="E8" s="346">
        <v>34831773</v>
      </c>
      <c r="F8" s="346">
        <f>ROUND(E8,0)</f>
        <v>34831773</v>
      </c>
      <c r="G8" s="11">
        <f t="shared" si="2"/>
        <v>0</v>
      </c>
      <c r="H8" s="384"/>
      <c r="I8" s="11">
        <f>ROUND(F8,0)+331540+113683</f>
        <v>35276996</v>
      </c>
      <c r="J8" s="11">
        <f>I8-F8</f>
        <v>445223</v>
      </c>
      <c r="K8" s="127" t="s">
        <v>778</v>
      </c>
      <c r="L8" s="11">
        <f>ROUND(I8,0)</f>
        <v>35276996</v>
      </c>
      <c r="M8" s="11">
        <f>L8-I8</f>
        <v>0</v>
      </c>
      <c r="N8" s="127"/>
      <c r="O8" s="11">
        <f>ROUND(L8,0)</f>
        <v>35276996</v>
      </c>
      <c r="P8" s="11">
        <f>O8-L8</f>
        <v>0</v>
      </c>
      <c r="Q8" s="127"/>
      <c r="R8" s="11">
        <f>ROUND(O8,0)+19840</f>
        <v>35296836</v>
      </c>
      <c r="S8" s="11">
        <f>R8-O8</f>
        <v>19840</v>
      </c>
      <c r="T8" s="135" t="s">
        <v>902</v>
      </c>
      <c r="U8" s="11">
        <f>ROUND(R8,0)</f>
        <v>35296836</v>
      </c>
      <c r="V8" s="11">
        <f>U8-R8</f>
        <v>0</v>
      </c>
      <c r="W8" s="135"/>
      <c r="X8" s="11">
        <f>ROUND(U8,0)</f>
        <v>35296836</v>
      </c>
      <c r="Y8" s="11">
        <f>X8-U8</f>
        <v>0</v>
      </c>
      <c r="Z8" s="135"/>
      <c r="AA8" s="11">
        <f>ROUND(X8,0)</f>
        <v>35296836</v>
      </c>
      <c r="AB8" s="11">
        <f>AA8-X8</f>
        <v>0</v>
      </c>
      <c r="AC8" s="392"/>
      <c r="AD8" s="11">
        <f>ROUND(AA8,0)+1865453</f>
        <v>37162289</v>
      </c>
      <c r="AE8" s="11">
        <f>AD8-AA8</f>
        <v>1865453</v>
      </c>
      <c r="AF8" s="135" t="s">
        <v>982</v>
      </c>
      <c r="AG8" s="474">
        <v>37162288.229999997</v>
      </c>
      <c r="AH8" s="200">
        <f t="shared" si="3"/>
        <v>0.99999997928007067</v>
      </c>
      <c r="AI8" s="474" t="s">
        <v>750</v>
      </c>
    </row>
    <row r="9" spans="1:42" ht="32.450000000000003" customHeight="1" x14ac:dyDescent="0.25">
      <c r="C9" s="65" t="s">
        <v>421</v>
      </c>
      <c r="D9" s="66" t="s">
        <v>422</v>
      </c>
      <c r="E9" s="55">
        <v>3172850.61</v>
      </c>
      <c r="F9" s="55">
        <f>F10+F13+F16</f>
        <v>3172851</v>
      </c>
      <c r="G9" s="8">
        <f t="shared" si="2"/>
        <v>0.39000000013038516</v>
      </c>
      <c r="H9" s="382"/>
      <c r="I9" s="55">
        <f>I10+I13+I16</f>
        <v>3172851</v>
      </c>
      <c r="J9" s="8">
        <f t="shared" ref="J9:J76" si="4">I9-F9</f>
        <v>0</v>
      </c>
      <c r="K9" s="125"/>
      <c r="L9" s="55">
        <f>L10+L13+L16</f>
        <v>3172851</v>
      </c>
      <c r="M9" s="8">
        <f t="shared" ref="M9:M76" si="5">L9-I9</f>
        <v>0</v>
      </c>
      <c r="N9" s="125"/>
      <c r="O9" s="55">
        <f>O10+O13+O16</f>
        <v>3172851</v>
      </c>
      <c r="P9" s="8">
        <f t="shared" ref="P9:P76" si="6">O9-L9</f>
        <v>0</v>
      </c>
      <c r="Q9" s="125"/>
      <c r="R9" s="55">
        <f>R10+R13+R16</f>
        <v>3172851</v>
      </c>
      <c r="S9" s="8">
        <f t="shared" ref="S9:S63" si="7">R9-O9</f>
        <v>0</v>
      </c>
      <c r="T9" s="125"/>
      <c r="U9" s="55">
        <f>U10+U13+U16</f>
        <v>3172851</v>
      </c>
      <c r="V9" s="8">
        <f t="shared" ref="V9:V63" si="8">U9-R9</f>
        <v>0</v>
      </c>
      <c r="W9" s="125"/>
      <c r="X9" s="55">
        <f>X10+X13+X16</f>
        <v>3172851</v>
      </c>
      <c r="Y9" s="8">
        <f t="shared" ref="Y9:Y63" si="9">X9-U9</f>
        <v>0</v>
      </c>
      <c r="Z9" s="125"/>
      <c r="AA9" s="55">
        <f>AA10+AA13+AA16</f>
        <v>3172851</v>
      </c>
      <c r="AB9" s="8">
        <f t="shared" ref="AB9:AB63" si="10">AA9-X9</f>
        <v>0</v>
      </c>
      <c r="AC9" s="382"/>
      <c r="AD9" s="55">
        <f>AD10+AD13+AD16</f>
        <v>3172851</v>
      </c>
      <c r="AE9" s="8">
        <f t="shared" ref="AE9:AE63" si="11">AD9-AA9</f>
        <v>0</v>
      </c>
      <c r="AF9" s="125"/>
      <c r="AG9" s="549">
        <f>AG10+AG13+AG16</f>
        <v>3269291.4699999997</v>
      </c>
      <c r="AH9" s="202">
        <f t="shared" si="3"/>
        <v>1.0303955244037617</v>
      </c>
      <c r="AI9" s="553" t="s">
        <v>621</v>
      </c>
    </row>
    <row r="10" spans="1:42" x14ac:dyDescent="0.25">
      <c r="B10" s="2" t="s">
        <v>14</v>
      </c>
      <c r="C10" s="71" t="s">
        <v>15</v>
      </c>
      <c r="D10" s="72" t="s">
        <v>16</v>
      </c>
      <c r="E10" s="345">
        <v>2040017.74</v>
      </c>
      <c r="F10" s="345">
        <f>SUM(F11:F12)</f>
        <v>2040018</v>
      </c>
      <c r="G10" s="13">
        <f t="shared" si="2"/>
        <v>0.26000000000931323</v>
      </c>
      <c r="H10" s="386"/>
      <c r="I10" s="13">
        <f>SUM(I11:I12)</f>
        <v>2040018</v>
      </c>
      <c r="J10" s="13">
        <f t="shared" si="4"/>
        <v>0</v>
      </c>
      <c r="K10" s="129"/>
      <c r="L10" s="13">
        <f>SUM(L11:L12)</f>
        <v>2040018</v>
      </c>
      <c r="M10" s="13">
        <f t="shared" si="5"/>
        <v>0</v>
      </c>
      <c r="N10" s="129"/>
      <c r="O10" s="13">
        <f>SUM(O11:O12)</f>
        <v>2040018</v>
      </c>
      <c r="P10" s="13">
        <f t="shared" si="6"/>
        <v>0</v>
      </c>
      <c r="Q10" s="129"/>
      <c r="R10" s="13">
        <f>SUM(R11:R12)</f>
        <v>2040018</v>
      </c>
      <c r="S10" s="13">
        <f t="shared" si="7"/>
        <v>0</v>
      </c>
      <c r="T10" s="129"/>
      <c r="U10" s="13">
        <f>SUM(U11:U12)</f>
        <v>2040018</v>
      </c>
      <c r="V10" s="13">
        <f t="shared" si="8"/>
        <v>0</v>
      </c>
      <c r="W10" s="129"/>
      <c r="X10" s="13">
        <f>SUM(X11:X12)</f>
        <v>2040018</v>
      </c>
      <c r="Y10" s="13">
        <f t="shared" si="9"/>
        <v>0</v>
      </c>
      <c r="Z10" s="129"/>
      <c r="AA10" s="13">
        <f>SUM(AA11:AA12)</f>
        <v>2040018</v>
      </c>
      <c r="AB10" s="13">
        <f t="shared" si="10"/>
        <v>0</v>
      </c>
      <c r="AC10" s="386"/>
      <c r="AD10" s="13">
        <f>SUM(AD11:AD12)</f>
        <v>2040018</v>
      </c>
      <c r="AE10" s="13">
        <f t="shared" si="11"/>
        <v>0</v>
      </c>
      <c r="AF10" s="129"/>
      <c r="AG10" s="517">
        <f>SUM(AG11:AG12)</f>
        <v>2068066.06</v>
      </c>
      <c r="AH10" s="199">
        <f t="shared" si="3"/>
        <v>1.0137489277055398</v>
      </c>
      <c r="AI10" s="526"/>
    </row>
    <row r="11" spans="1:42" x14ac:dyDescent="0.25">
      <c r="A11" s="2" t="s">
        <v>9</v>
      </c>
      <c r="B11" s="10" t="s">
        <v>17</v>
      </c>
      <c r="C11" s="69" t="s">
        <v>18</v>
      </c>
      <c r="D11" s="70" t="s">
        <v>13</v>
      </c>
      <c r="E11" s="346">
        <v>1900000</v>
      </c>
      <c r="F11" s="346">
        <f>ROUND(E11,0)</f>
        <v>1900000</v>
      </c>
      <c r="G11" s="11">
        <f t="shared" si="2"/>
        <v>0</v>
      </c>
      <c r="H11" s="387"/>
      <c r="I11" s="11">
        <f>ROUND(F11,0)</f>
        <v>1900000</v>
      </c>
      <c r="J11" s="11">
        <f t="shared" si="4"/>
        <v>0</v>
      </c>
      <c r="K11" s="130"/>
      <c r="L11" s="11">
        <f>ROUND(I11,0)</f>
        <v>1900000</v>
      </c>
      <c r="M11" s="11">
        <f t="shared" si="5"/>
        <v>0</v>
      </c>
      <c r="N11" s="130"/>
      <c r="O11" s="11">
        <f>ROUND(L11,0)</f>
        <v>1900000</v>
      </c>
      <c r="P11" s="11">
        <f t="shared" si="6"/>
        <v>0</v>
      </c>
      <c r="Q11" s="130"/>
      <c r="R11" s="11">
        <f>ROUND(O11,0)</f>
        <v>1900000</v>
      </c>
      <c r="S11" s="11">
        <f t="shared" si="7"/>
        <v>0</v>
      </c>
      <c r="T11" s="130"/>
      <c r="U11" s="11">
        <f>ROUND(R11,0)</f>
        <v>1900000</v>
      </c>
      <c r="V11" s="11">
        <f t="shared" si="8"/>
        <v>0</v>
      </c>
      <c r="W11" s="130"/>
      <c r="X11" s="11">
        <f>ROUND(U11,0)</f>
        <v>1900000</v>
      </c>
      <c r="Y11" s="11">
        <f t="shared" si="9"/>
        <v>0</v>
      </c>
      <c r="Z11" s="130"/>
      <c r="AA11" s="11">
        <f>ROUND(X11,0)</f>
        <v>1900000</v>
      </c>
      <c r="AB11" s="11">
        <f t="shared" si="10"/>
        <v>0</v>
      </c>
      <c r="AC11" s="387"/>
      <c r="AD11" s="11">
        <f>ROUND(AA11,0)</f>
        <v>1900000</v>
      </c>
      <c r="AE11" s="11">
        <f t="shared" si="11"/>
        <v>0</v>
      </c>
      <c r="AF11" s="130"/>
      <c r="AG11" s="474">
        <v>1979539.04</v>
      </c>
      <c r="AH11" s="200">
        <f t="shared" si="3"/>
        <v>1.0418626526315791</v>
      </c>
      <c r="AI11" s="504"/>
    </row>
    <row r="12" spans="1:42" x14ac:dyDescent="0.25">
      <c r="A12" s="2" t="s">
        <v>9</v>
      </c>
      <c r="B12" s="10" t="s">
        <v>19</v>
      </c>
      <c r="C12" s="69" t="s">
        <v>20</v>
      </c>
      <c r="D12" s="70" t="s">
        <v>21</v>
      </c>
      <c r="E12" s="346">
        <v>140017.74</v>
      </c>
      <c r="F12" s="346">
        <f>ROUND(E12,0)</f>
        <v>140018</v>
      </c>
      <c r="G12" s="11">
        <f t="shared" si="2"/>
        <v>0.26000000000931323</v>
      </c>
      <c r="H12" s="384"/>
      <c r="I12" s="11">
        <f>ROUND(F12,0)</f>
        <v>140018</v>
      </c>
      <c r="J12" s="11">
        <f t="shared" si="4"/>
        <v>0</v>
      </c>
      <c r="K12" s="127"/>
      <c r="L12" s="11">
        <f>ROUND(I12,0)</f>
        <v>140018</v>
      </c>
      <c r="M12" s="11">
        <f t="shared" si="5"/>
        <v>0</v>
      </c>
      <c r="N12" s="127"/>
      <c r="O12" s="11">
        <f>ROUND(L12,0)</f>
        <v>140018</v>
      </c>
      <c r="P12" s="11">
        <f t="shared" si="6"/>
        <v>0</v>
      </c>
      <c r="Q12" s="127"/>
      <c r="R12" s="11">
        <f>ROUND(O12,0)</f>
        <v>140018</v>
      </c>
      <c r="S12" s="11">
        <f t="shared" si="7"/>
        <v>0</v>
      </c>
      <c r="T12" s="127"/>
      <c r="U12" s="11">
        <f>ROUND(R12,0)</f>
        <v>140018</v>
      </c>
      <c r="V12" s="11">
        <f t="shared" si="8"/>
        <v>0</v>
      </c>
      <c r="W12" s="127"/>
      <c r="X12" s="11">
        <f>ROUND(U12,0)</f>
        <v>140018</v>
      </c>
      <c r="Y12" s="11">
        <f t="shared" si="9"/>
        <v>0</v>
      </c>
      <c r="Z12" s="127"/>
      <c r="AA12" s="11">
        <f>ROUND(X12,0)</f>
        <v>140018</v>
      </c>
      <c r="AB12" s="11">
        <f t="shared" si="10"/>
        <v>0</v>
      </c>
      <c r="AC12" s="384"/>
      <c r="AD12" s="11">
        <f>ROUND(AA12,0)</f>
        <v>140018</v>
      </c>
      <c r="AE12" s="11">
        <f t="shared" si="11"/>
        <v>0</v>
      </c>
      <c r="AF12" s="127"/>
      <c r="AG12" s="474">
        <v>88527.02</v>
      </c>
      <c r="AH12" s="200">
        <f t="shared" si="3"/>
        <v>0.63225456726992246</v>
      </c>
      <c r="AI12" s="504"/>
    </row>
    <row r="13" spans="1:42" x14ac:dyDescent="0.25">
      <c r="B13" s="2" t="s">
        <v>22</v>
      </c>
      <c r="C13" s="71" t="s">
        <v>23</v>
      </c>
      <c r="D13" s="72" t="s">
        <v>24</v>
      </c>
      <c r="E13" s="345">
        <v>410966.93</v>
      </c>
      <c r="F13" s="345">
        <f>SUM(F14:F15)</f>
        <v>410967</v>
      </c>
      <c r="G13" s="13">
        <f t="shared" si="2"/>
        <v>7.0000000006984919E-2</v>
      </c>
      <c r="H13" s="386"/>
      <c r="I13" s="13">
        <f>SUM(I14:I15)</f>
        <v>410967</v>
      </c>
      <c r="J13" s="13">
        <f t="shared" si="4"/>
        <v>0</v>
      </c>
      <c r="K13" s="129"/>
      <c r="L13" s="13">
        <f>SUM(L14:L15)</f>
        <v>410967</v>
      </c>
      <c r="M13" s="13">
        <f t="shared" si="5"/>
        <v>0</v>
      </c>
      <c r="N13" s="129"/>
      <c r="O13" s="13">
        <f>SUM(O14:O15)</f>
        <v>410967</v>
      </c>
      <c r="P13" s="13">
        <f t="shared" si="6"/>
        <v>0</v>
      </c>
      <c r="Q13" s="129"/>
      <c r="R13" s="13">
        <f>SUM(R14:R15)</f>
        <v>410967</v>
      </c>
      <c r="S13" s="13">
        <f t="shared" si="7"/>
        <v>0</v>
      </c>
      <c r="T13" s="129"/>
      <c r="U13" s="13">
        <f>SUM(U14:U15)</f>
        <v>410967</v>
      </c>
      <c r="V13" s="13">
        <f t="shared" si="8"/>
        <v>0</v>
      </c>
      <c r="W13" s="129"/>
      <c r="X13" s="13">
        <f>SUM(X14:X15)</f>
        <v>410967</v>
      </c>
      <c r="Y13" s="13">
        <f t="shared" si="9"/>
        <v>0</v>
      </c>
      <c r="Z13" s="129"/>
      <c r="AA13" s="13">
        <f>SUM(AA14:AA15)</f>
        <v>410967</v>
      </c>
      <c r="AB13" s="13">
        <f t="shared" si="10"/>
        <v>0</v>
      </c>
      <c r="AC13" s="386"/>
      <c r="AD13" s="13">
        <f>SUM(AD14:AD15)</f>
        <v>410967</v>
      </c>
      <c r="AE13" s="13">
        <f t="shared" si="11"/>
        <v>0</v>
      </c>
      <c r="AF13" s="129"/>
      <c r="AG13" s="517">
        <f>SUM(AG14:AG15)</f>
        <v>425104.32</v>
      </c>
      <c r="AH13" s="199">
        <f t="shared" si="3"/>
        <v>1.0344001343173539</v>
      </c>
      <c r="AI13" s="526"/>
    </row>
    <row r="14" spans="1:42" x14ac:dyDescent="0.25">
      <c r="A14" s="2" t="s">
        <v>9</v>
      </c>
      <c r="B14" s="10" t="s">
        <v>25</v>
      </c>
      <c r="C14" s="69" t="s">
        <v>26</v>
      </c>
      <c r="D14" s="70" t="s">
        <v>27</v>
      </c>
      <c r="E14" s="346">
        <v>350989</v>
      </c>
      <c r="F14" s="346">
        <f>ROUND(E14,0)</f>
        <v>350989</v>
      </c>
      <c r="G14" s="11">
        <f t="shared" si="2"/>
        <v>0</v>
      </c>
      <c r="H14" s="388"/>
      <c r="I14" s="11">
        <f>ROUND(F14,0)</f>
        <v>350989</v>
      </c>
      <c r="J14" s="11">
        <f t="shared" si="4"/>
        <v>0</v>
      </c>
      <c r="K14" s="131"/>
      <c r="L14" s="11">
        <f>ROUND(I14,0)</f>
        <v>350989</v>
      </c>
      <c r="M14" s="11">
        <f t="shared" si="5"/>
        <v>0</v>
      </c>
      <c r="N14" s="131"/>
      <c r="O14" s="11">
        <f>ROUND(L14,0)</f>
        <v>350989</v>
      </c>
      <c r="P14" s="11">
        <f t="shared" si="6"/>
        <v>0</v>
      </c>
      <c r="Q14" s="131"/>
      <c r="R14" s="11">
        <f>ROUND(O14,0)</f>
        <v>350989</v>
      </c>
      <c r="S14" s="11">
        <f t="shared" si="7"/>
        <v>0</v>
      </c>
      <c r="T14" s="131"/>
      <c r="U14" s="11">
        <f>ROUND(R14,0)</f>
        <v>350989</v>
      </c>
      <c r="V14" s="11">
        <f t="shared" si="8"/>
        <v>0</v>
      </c>
      <c r="W14" s="131"/>
      <c r="X14" s="11">
        <f>ROUND(U14,0)</f>
        <v>350989</v>
      </c>
      <c r="Y14" s="11">
        <f t="shared" si="9"/>
        <v>0</v>
      </c>
      <c r="Z14" s="131"/>
      <c r="AA14" s="11">
        <f>ROUND(X14,0)</f>
        <v>350989</v>
      </c>
      <c r="AB14" s="11">
        <f t="shared" si="10"/>
        <v>0</v>
      </c>
      <c r="AC14" s="388"/>
      <c r="AD14" s="11">
        <f>ROUND(AA14,0)</f>
        <v>350989</v>
      </c>
      <c r="AE14" s="11">
        <f t="shared" si="11"/>
        <v>0</v>
      </c>
      <c r="AF14" s="131"/>
      <c r="AG14" s="474">
        <v>382137.81</v>
      </c>
      <c r="AH14" s="200">
        <f t="shared" si="3"/>
        <v>1.0887458296413848</v>
      </c>
      <c r="AI14" s="504"/>
    </row>
    <row r="15" spans="1:42" x14ac:dyDescent="0.25">
      <c r="A15" s="2" t="s">
        <v>9</v>
      </c>
      <c r="B15" s="10" t="s">
        <v>28</v>
      </c>
      <c r="C15" s="69" t="s">
        <v>29</v>
      </c>
      <c r="D15" s="70" t="s">
        <v>21</v>
      </c>
      <c r="E15" s="346">
        <v>59977.93</v>
      </c>
      <c r="F15" s="346">
        <f>ROUND(E15,0)</f>
        <v>59978</v>
      </c>
      <c r="G15" s="11">
        <f t="shared" si="2"/>
        <v>6.9999999999708962E-2</v>
      </c>
      <c r="H15" s="384"/>
      <c r="I15" s="11">
        <f>ROUND(F15,0)</f>
        <v>59978</v>
      </c>
      <c r="J15" s="11">
        <f t="shared" si="4"/>
        <v>0</v>
      </c>
      <c r="K15" s="127"/>
      <c r="L15" s="11">
        <f>ROUND(I15,0)</f>
        <v>59978</v>
      </c>
      <c r="M15" s="11">
        <f t="shared" si="5"/>
        <v>0</v>
      </c>
      <c r="N15" s="127"/>
      <c r="O15" s="11">
        <f>ROUND(L15,0)</f>
        <v>59978</v>
      </c>
      <c r="P15" s="11">
        <f t="shared" si="6"/>
        <v>0</v>
      </c>
      <c r="Q15" s="127"/>
      <c r="R15" s="11">
        <f>ROUND(O15,0)</f>
        <v>59978</v>
      </c>
      <c r="S15" s="11">
        <f t="shared" si="7"/>
        <v>0</v>
      </c>
      <c r="T15" s="127"/>
      <c r="U15" s="11">
        <f>ROUND(R15,0)</f>
        <v>59978</v>
      </c>
      <c r="V15" s="11">
        <f t="shared" si="8"/>
        <v>0</v>
      </c>
      <c r="W15" s="127"/>
      <c r="X15" s="11">
        <f>ROUND(U15,0)</f>
        <v>59978</v>
      </c>
      <c r="Y15" s="11">
        <f t="shared" si="9"/>
        <v>0</v>
      </c>
      <c r="Z15" s="127"/>
      <c r="AA15" s="11">
        <f>ROUND(X15,0)</f>
        <v>59978</v>
      </c>
      <c r="AB15" s="11">
        <f t="shared" si="10"/>
        <v>0</v>
      </c>
      <c r="AC15" s="384"/>
      <c r="AD15" s="11">
        <f>ROUND(AA15,0)</f>
        <v>59978</v>
      </c>
      <c r="AE15" s="11">
        <f t="shared" si="11"/>
        <v>0</v>
      </c>
      <c r="AF15" s="127"/>
      <c r="AG15" s="474">
        <v>42966.51</v>
      </c>
      <c r="AH15" s="200">
        <f t="shared" si="3"/>
        <v>0.71637116942879064</v>
      </c>
      <c r="AI15" s="504"/>
    </row>
    <row r="16" spans="1:42" ht="29.25" x14ac:dyDescent="0.25">
      <c r="B16" s="2" t="s">
        <v>30</v>
      </c>
      <c r="C16" s="71" t="s">
        <v>31</v>
      </c>
      <c r="D16" s="72" t="s">
        <v>32</v>
      </c>
      <c r="E16" s="345">
        <v>721865.94</v>
      </c>
      <c r="F16" s="345">
        <f>SUM(F17:F18)</f>
        <v>721866</v>
      </c>
      <c r="G16" s="13">
        <f t="shared" si="2"/>
        <v>6.0000000055879354E-2</v>
      </c>
      <c r="H16" s="386"/>
      <c r="I16" s="13">
        <f>SUM(I17:I18)</f>
        <v>721866</v>
      </c>
      <c r="J16" s="13">
        <f t="shared" si="4"/>
        <v>0</v>
      </c>
      <c r="K16" s="129"/>
      <c r="L16" s="13">
        <f>SUM(L17:L18)</f>
        <v>721866</v>
      </c>
      <c r="M16" s="13">
        <f t="shared" si="5"/>
        <v>0</v>
      </c>
      <c r="N16" s="129"/>
      <c r="O16" s="13">
        <f>SUM(O17:O18)</f>
        <v>721866</v>
      </c>
      <c r="P16" s="13">
        <f t="shared" si="6"/>
        <v>0</v>
      </c>
      <c r="Q16" s="129"/>
      <c r="R16" s="13">
        <f>SUM(R17:R18)</f>
        <v>721866</v>
      </c>
      <c r="S16" s="13">
        <f t="shared" si="7"/>
        <v>0</v>
      </c>
      <c r="T16" s="129"/>
      <c r="U16" s="13">
        <f>SUM(U17:U18)</f>
        <v>721866</v>
      </c>
      <c r="V16" s="13">
        <f t="shared" si="8"/>
        <v>0</v>
      </c>
      <c r="W16" s="129"/>
      <c r="X16" s="13">
        <f>SUM(X17:X18)</f>
        <v>721866</v>
      </c>
      <c r="Y16" s="13">
        <f t="shared" si="9"/>
        <v>0</v>
      </c>
      <c r="Z16" s="129"/>
      <c r="AA16" s="13">
        <f>SUM(AA17:AA18)</f>
        <v>721866</v>
      </c>
      <c r="AB16" s="13">
        <f t="shared" si="10"/>
        <v>0</v>
      </c>
      <c r="AC16" s="386"/>
      <c r="AD16" s="13">
        <f>SUM(AD17:AD18)</f>
        <v>721866</v>
      </c>
      <c r="AE16" s="13">
        <f t="shared" si="11"/>
        <v>0</v>
      </c>
      <c r="AF16" s="129"/>
      <c r="AG16" s="517">
        <f>SUM(AG17:AG18)</f>
        <v>776121.09</v>
      </c>
      <c r="AH16" s="199">
        <f t="shared" si="3"/>
        <v>1.0751595032873136</v>
      </c>
      <c r="AI16" s="526"/>
    </row>
    <row r="17" spans="1:35" ht="18.75" customHeight="1" x14ac:dyDescent="0.25">
      <c r="A17" s="2" t="s">
        <v>9</v>
      </c>
      <c r="B17" s="10" t="s">
        <v>33</v>
      </c>
      <c r="C17" s="69" t="s">
        <v>34</v>
      </c>
      <c r="D17" s="70" t="s">
        <v>27</v>
      </c>
      <c r="E17" s="346">
        <v>650000</v>
      </c>
      <c r="F17" s="346">
        <f>ROUND(E17,0)</f>
        <v>650000</v>
      </c>
      <c r="G17" s="11">
        <f t="shared" si="2"/>
        <v>0</v>
      </c>
      <c r="H17" s="388"/>
      <c r="I17" s="11">
        <f>ROUND(F17,0)</f>
        <v>650000</v>
      </c>
      <c r="J17" s="11">
        <f t="shared" si="4"/>
        <v>0</v>
      </c>
      <c r="K17" s="131"/>
      <c r="L17" s="11">
        <f>ROUND(I17,0)</f>
        <v>650000</v>
      </c>
      <c r="M17" s="11">
        <f t="shared" si="5"/>
        <v>0</v>
      </c>
      <c r="N17" s="131"/>
      <c r="O17" s="11">
        <f>ROUND(L17,0)</f>
        <v>650000</v>
      </c>
      <c r="P17" s="11">
        <f t="shared" si="6"/>
        <v>0</v>
      </c>
      <c r="Q17" s="131"/>
      <c r="R17" s="11">
        <f>ROUND(O17,0)</f>
        <v>650000</v>
      </c>
      <c r="S17" s="11">
        <f t="shared" si="7"/>
        <v>0</v>
      </c>
      <c r="T17" s="131"/>
      <c r="U17" s="11">
        <f>ROUND(R17,0)</f>
        <v>650000</v>
      </c>
      <c r="V17" s="11">
        <f t="shared" si="8"/>
        <v>0</v>
      </c>
      <c r="W17" s="131"/>
      <c r="X17" s="11">
        <f>ROUND(U17,0)</f>
        <v>650000</v>
      </c>
      <c r="Y17" s="11">
        <f t="shared" si="9"/>
        <v>0</v>
      </c>
      <c r="Z17" s="131"/>
      <c r="AA17" s="11">
        <f>ROUND(X17,0)</f>
        <v>650000</v>
      </c>
      <c r="AB17" s="11">
        <f t="shared" si="10"/>
        <v>0</v>
      </c>
      <c r="AC17" s="388"/>
      <c r="AD17" s="11">
        <f>ROUND(AA17,0)</f>
        <v>650000</v>
      </c>
      <c r="AE17" s="11">
        <f t="shared" si="11"/>
        <v>0</v>
      </c>
      <c r="AF17" s="131"/>
      <c r="AG17" s="474">
        <v>733234.6</v>
      </c>
      <c r="AH17" s="200">
        <f t="shared" si="3"/>
        <v>1.1280532307692308</v>
      </c>
      <c r="AI17" s="504"/>
    </row>
    <row r="18" spans="1:35" x14ac:dyDescent="0.25">
      <c r="A18" s="2" t="s">
        <v>9</v>
      </c>
      <c r="B18" s="10" t="s">
        <v>35</v>
      </c>
      <c r="C18" s="69" t="s">
        <v>36</v>
      </c>
      <c r="D18" s="70" t="s">
        <v>21</v>
      </c>
      <c r="E18" s="346">
        <v>71865.94</v>
      </c>
      <c r="F18" s="346">
        <f>ROUND(E18,0)</f>
        <v>71866</v>
      </c>
      <c r="G18" s="11">
        <f t="shared" si="2"/>
        <v>5.9999999997671694E-2</v>
      </c>
      <c r="H18" s="387"/>
      <c r="I18" s="11">
        <f>ROUND(F18,0)</f>
        <v>71866</v>
      </c>
      <c r="J18" s="11">
        <f t="shared" si="4"/>
        <v>0</v>
      </c>
      <c r="K18" s="130"/>
      <c r="L18" s="11">
        <f>ROUND(I18,0)</f>
        <v>71866</v>
      </c>
      <c r="M18" s="11">
        <f t="shared" si="5"/>
        <v>0</v>
      </c>
      <c r="N18" s="130"/>
      <c r="O18" s="11">
        <f>ROUND(L18,0)</f>
        <v>71866</v>
      </c>
      <c r="P18" s="11">
        <f t="shared" si="6"/>
        <v>0</v>
      </c>
      <c r="Q18" s="130"/>
      <c r="R18" s="11">
        <f>ROUND(O18,0)</f>
        <v>71866</v>
      </c>
      <c r="S18" s="11">
        <f t="shared" si="7"/>
        <v>0</v>
      </c>
      <c r="T18" s="130"/>
      <c r="U18" s="11">
        <f>ROUND(R18,0)</f>
        <v>71866</v>
      </c>
      <c r="V18" s="11">
        <f t="shared" si="8"/>
        <v>0</v>
      </c>
      <c r="W18" s="130"/>
      <c r="X18" s="11">
        <f>ROUND(U18,0)</f>
        <v>71866</v>
      </c>
      <c r="Y18" s="11">
        <f t="shared" si="9"/>
        <v>0</v>
      </c>
      <c r="Z18" s="130"/>
      <c r="AA18" s="11">
        <f>ROUND(X18,0)</f>
        <v>71866</v>
      </c>
      <c r="AB18" s="11">
        <f t="shared" si="10"/>
        <v>0</v>
      </c>
      <c r="AC18" s="387"/>
      <c r="AD18" s="11">
        <f>ROUND(AA18,0)</f>
        <v>71866</v>
      </c>
      <c r="AE18" s="11">
        <f t="shared" si="11"/>
        <v>0</v>
      </c>
      <c r="AF18" s="130"/>
      <c r="AG18" s="474">
        <v>42886.49</v>
      </c>
      <c r="AH18" s="200">
        <f t="shared" si="3"/>
        <v>0.59675632427016945</v>
      </c>
      <c r="AI18" s="504"/>
    </row>
    <row r="19" spans="1:35" ht="29.25" x14ac:dyDescent="0.25">
      <c r="B19" s="56"/>
      <c r="C19" s="71" t="s">
        <v>37</v>
      </c>
      <c r="D19" s="72" t="s">
        <v>348</v>
      </c>
      <c r="E19" s="345">
        <v>70000</v>
      </c>
      <c r="F19" s="345">
        <f t="shared" ref="F19" si="12">SUM(F20:F21)</f>
        <v>70000</v>
      </c>
      <c r="G19" s="13">
        <f t="shared" si="2"/>
        <v>0</v>
      </c>
      <c r="H19" s="386"/>
      <c r="I19" s="13">
        <f>SUM(I20:I21)</f>
        <v>70000</v>
      </c>
      <c r="J19" s="13">
        <f t="shared" si="4"/>
        <v>0</v>
      </c>
      <c r="K19" s="129"/>
      <c r="L19" s="13">
        <f>SUM(L20:L21)</f>
        <v>70000</v>
      </c>
      <c r="M19" s="13">
        <f t="shared" si="5"/>
        <v>0</v>
      </c>
      <c r="N19" s="129"/>
      <c r="O19" s="13">
        <f>SUM(O20:O21)</f>
        <v>70000</v>
      </c>
      <c r="P19" s="13">
        <f t="shared" si="6"/>
        <v>0</v>
      </c>
      <c r="Q19" s="129"/>
      <c r="R19" s="13">
        <f>SUM(R20:R21)</f>
        <v>70000</v>
      </c>
      <c r="S19" s="13">
        <f t="shared" si="7"/>
        <v>0</v>
      </c>
      <c r="T19" s="129"/>
      <c r="U19" s="13">
        <f>SUM(U20:U21)</f>
        <v>70000</v>
      </c>
      <c r="V19" s="13">
        <f t="shared" si="8"/>
        <v>0</v>
      </c>
      <c r="W19" s="129"/>
      <c r="X19" s="13">
        <f>SUM(X20:X21)</f>
        <v>70000</v>
      </c>
      <c r="Y19" s="13">
        <f t="shared" si="9"/>
        <v>0</v>
      </c>
      <c r="Z19" s="129"/>
      <c r="AA19" s="13">
        <f>SUM(AA20:AA21)</f>
        <v>70000</v>
      </c>
      <c r="AB19" s="13">
        <f t="shared" si="10"/>
        <v>0</v>
      </c>
      <c r="AC19" s="386"/>
      <c r="AD19" s="13">
        <f>SUM(AD20:AD21)</f>
        <v>70000</v>
      </c>
      <c r="AE19" s="13">
        <f t="shared" si="11"/>
        <v>0</v>
      </c>
      <c r="AF19" s="129"/>
      <c r="AG19" s="517">
        <f>SUM(AG20:AG21)</f>
        <v>68898.739999999991</v>
      </c>
      <c r="AH19" s="199">
        <f t="shared" si="3"/>
        <v>0.98426771428571413</v>
      </c>
      <c r="AI19" s="526"/>
    </row>
    <row r="20" spans="1:35" ht="14.45" customHeight="1" outlineLevel="1" x14ac:dyDescent="0.25">
      <c r="B20" s="10" t="s">
        <v>425</v>
      </c>
      <c r="C20" s="69" t="s">
        <v>162</v>
      </c>
      <c r="D20" s="70" t="s">
        <v>38</v>
      </c>
      <c r="E20" s="346">
        <v>0</v>
      </c>
      <c r="F20" s="346">
        <f>ROUND(E20,0)</f>
        <v>0</v>
      </c>
      <c r="G20" s="11">
        <f t="shared" si="2"/>
        <v>0</v>
      </c>
      <c r="H20" s="388"/>
      <c r="I20" s="11">
        <f>ROUND(F20,0)</f>
        <v>0</v>
      </c>
      <c r="J20" s="11">
        <f t="shared" si="4"/>
        <v>0</v>
      </c>
      <c r="K20" s="131"/>
      <c r="L20" s="11">
        <f>ROUND(I20,0)</f>
        <v>0</v>
      </c>
      <c r="M20" s="11">
        <f t="shared" si="5"/>
        <v>0</v>
      </c>
      <c r="N20" s="131"/>
      <c r="O20" s="11">
        <f>ROUND(L20,0)</f>
        <v>0</v>
      </c>
      <c r="P20" s="11">
        <f t="shared" si="6"/>
        <v>0</v>
      </c>
      <c r="Q20" s="131"/>
      <c r="R20" s="11">
        <f>ROUND(O20,0)</f>
        <v>0</v>
      </c>
      <c r="S20" s="11">
        <f t="shared" si="7"/>
        <v>0</v>
      </c>
      <c r="T20" s="131"/>
      <c r="U20" s="11">
        <f>ROUND(R20,0)</f>
        <v>0</v>
      </c>
      <c r="V20" s="11">
        <f t="shared" si="8"/>
        <v>0</v>
      </c>
      <c r="W20" s="131"/>
      <c r="X20" s="11">
        <f>ROUND(U20,0)</f>
        <v>0</v>
      </c>
      <c r="Y20" s="11">
        <f t="shared" si="9"/>
        <v>0</v>
      </c>
      <c r="Z20" s="131"/>
      <c r="AA20" s="11">
        <f>ROUND(X20,0)</f>
        <v>0</v>
      </c>
      <c r="AB20" s="11">
        <f t="shared" si="10"/>
        <v>0</v>
      </c>
      <c r="AC20" s="388"/>
      <c r="AD20" s="11">
        <f>ROUND(AA20,0)</f>
        <v>0</v>
      </c>
      <c r="AE20" s="11">
        <f t="shared" si="11"/>
        <v>0</v>
      </c>
      <c r="AF20" s="131"/>
      <c r="AG20" s="474">
        <v>5747.5</v>
      </c>
      <c r="AH20" s="200"/>
      <c r="AI20" s="504"/>
    </row>
    <row r="21" spans="1:35" ht="15.6" customHeight="1" x14ac:dyDescent="0.25">
      <c r="B21" s="10" t="s">
        <v>424</v>
      </c>
      <c r="C21" s="69" t="s">
        <v>162</v>
      </c>
      <c r="D21" s="70" t="s">
        <v>423</v>
      </c>
      <c r="E21" s="346">
        <v>70000</v>
      </c>
      <c r="F21" s="346">
        <f>ROUND(E21,0)</f>
        <v>70000</v>
      </c>
      <c r="G21" s="11">
        <f t="shared" si="2"/>
        <v>0</v>
      </c>
      <c r="H21" s="389"/>
      <c r="I21" s="11">
        <f>ROUND(F21,0)</f>
        <v>70000</v>
      </c>
      <c r="J21" s="11">
        <f t="shared" si="4"/>
        <v>0</v>
      </c>
      <c r="K21" s="132"/>
      <c r="L21" s="11">
        <f>ROUND(I21,0)</f>
        <v>70000</v>
      </c>
      <c r="M21" s="11">
        <f t="shared" si="5"/>
        <v>0</v>
      </c>
      <c r="N21" s="132"/>
      <c r="O21" s="11">
        <f>ROUND(L21,0)</f>
        <v>70000</v>
      </c>
      <c r="P21" s="11">
        <f t="shared" si="6"/>
        <v>0</v>
      </c>
      <c r="Q21" s="132"/>
      <c r="R21" s="11">
        <f>ROUND(O21,0)</f>
        <v>70000</v>
      </c>
      <c r="S21" s="11">
        <f t="shared" si="7"/>
        <v>0</v>
      </c>
      <c r="T21" s="132"/>
      <c r="U21" s="11">
        <f>ROUND(R21,0)</f>
        <v>70000</v>
      </c>
      <c r="V21" s="11">
        <f t="shared" si="8"/>
        <v>0</v>
      </c>
      <c r="W21" s="132"/>
      <c r="X21" s="11">
        <f>ROUND(U21,0)</f>
        <v>70000</v>
      </c>
      <c r="Y21" s="11">
        <f t="shared" si="9"/>
        <v>0</v>
      </c>
      <c r="Z21" s="132"/>
      <c r="AA21" s="11">
        <f>ROUND(X21,0)</f>
        <v>70000</v>
      </c>
      <c r="AB21" s="11">
        <f t="shared" si="10"/>
        <v>0</v>
      </c>
      <c r="AC21" s="389"/>
      <c r="AD21" s="11">
        <f>ROUND(AA21,0)</f>
        <v>70000</v>
      </c>
      <c r="AE21" s="11">
        <f t="shared" si="11"/>
        <v>0</v>
      </c>
      <c r="AF21" s="132"/>
      <c r="AG21" s="474">
        <v>63151.24</v>
      </c>
      <c r="AH21" s="200">
        <f t="shared" si="3"/>
        <v>0.90216057142857142</v>
      </c>
      <c r="AI21" s="504"/>
    </row>
    <row r="22" spans="1:35" ht="15.75" customHeight="1" x14ac:dyDescent="0.25">
      <c r="B22" s="2" t="s">
        <v>39</v>
      </c>
      <c r="C22" s="71" t="s">
        <v>40</v>
      </c>
      <c r="D22" s="72" t="s">
        <v>41</v>
      </c>
      <c r="E22" s="345">
        <v>160000</v>
      </c>
      <c r="F22" s="345">
        <f t="shared" ref="F22" si="13">F23+F27</f>
        <v>160000</v>
      </c>
      <c r="G22" s="13">
        <f t="shared" si="2"/>
        <v>0</v>
      </c>
      <c r="H22" s="386"/>
      <c r="I22" s="13">
        <f>I23+I27</f>
        <v>160000</v>
      </c>
      <c r="J22" s="13">
        <f t="shared" si="4"/>
        <v>0</v>
      </c>
      <c r="K22" s="129"/>
      <c r="L22" s="13">
        <f>L23+L27</f>
        <v>160000</v>
      </c>
      <c r="M22" s="13">
        <f t="shared" si="5"/>
        <v>0</v>
      </c>
      <c r="N22" s="129"/>
      <c r="O22" s="13">
        <f>O23+O27</f>
        <v>167000</v>
      </c>
      <c r="P22" s="13">
        <f t="shared" si="6"/>
        <v>7000</v>
      </c>
      <c r="Q22" s="129"/>
      <c r="R22" s="13">
        <f>R23+R27</f>
        <v>167000</v>
      </c>
      <c r="S22" s="13">
        <f t="shared" si="7"/>
        <v>0</v>
      </c>
      <c r="T22" s="129"/>
      <c r="U22" s="13">
        <f>U23+U27</f>
        <v>167000</v>
      </c>
      <c r="V22" s="13">
        <f t="shared" si="8"/>
        <v>0</v>
      </c>
      <c r="W22" s="129"/>
      <c r="X22" s="13">
        <f>X23+X27</f>
        <v>167000</v>
      </c>
      <c r="Y22" s="13">
        <f t="shared" si="9"/>
        <v>0</v>
      </c>
      <c r="Z22" s="129"/>
      <c r="AA22" s="13">
        <f>AA23+AA27</f>
        <v>167000</v>
      </c>
      <c r="AB22" s="13">
        <f t="shared" si="10"/>
        <v>0</v>
      </c>
      <c r="AC22" s="386"/>
      <c r="AD22" s="13">
        <f>AD23+AD27</f>
        <v>167000</v>
      </c>
      <c r="AE22" s="13">
        <f t="shared" si="11"/>
        <v>0</v>
      </c>
      <c r="AF22" s="129"/>
      <c r="AG22" s="517">
        <f>AG23+AG27</f>
        <v>172735.56</v>
      </c>
      <c r="AH22" s="199">
        <f t="shared" si="3"/>
        <v>1.0343446706586825</v>
      </c>
      <c r="AI22" s="554"/>
    </row>
    <row r="23" spans="1:35" x14ac:dyDescent="0.25">
      <c r="A23" s="2" t="s">
        <v>9</v>
      </c>
      <c r="B23" s="2" t="s">
        <v>42</v>
      </c>
      <c r="C23" s="69" t="s">
        <v>43</v>
      </c>
      <c r="D23" s="70" t="s">
        <v>44</v>
      </c>
      <c r="E23" s="346">
        <v>6700</v>
      </c>
      <c r="F23" s="346">
        <f>F24+F25+F26</f>
        <v>6700</v>
      </c>
      <c r="G23" s="11">
        <f>F23-E23</f>
        <v>0</v>
      </c>
      <c r="H23" s="387"/>
      <c r="I23" s="11">
        <f>I24+I25+I26</f>
        <v>6700</v>
      </c>
      <c r="J23" s="11">
        <f t="shared" si="4"/>
        <v>0</v>
      </c>
      <c r="K23" s="130"/>
      <c r="L23" s="11">
        <f>L24+L25+L26</f>
        <v>6700</v>
      </c>
      <c r="M23" s="11">
        <f t="shared" si="5"/>
        <v>0</v>
      </c>
      <c r="N23" s="130"/>
      <c r="O23" s="11">
        <f>O24+O25+O26</f>
        <v>6700</v>
      </c>
      <c r="P23" s="11">
        <f t="shared" si="6"/>
        <v>0</v>
      </c>
      <c r="Q23" s="130"/>
      <c r="R23" s="11">
        <f>R24+R25+R26</f>
        <v>6700</v>
      </c>
      <c r="S23" s="11">
        <f t="shared" si="7"/>
        <v>0</v>
      </c>
      <c r="T23" s="130"/>
      <c r="U23" s="11">
        <f>U24+U25+U26</f>
        <v>6700</v>
      </c>
      <c r="V23" s="11">
        <f t="shared" si="8"/>
        <v>0</v>
      </c>
      <c r="W23" s="130"/>
      <c r="X23" s="11">
        <f>X24+X25+X26</f>
        <v>6700</v>
      </c>
      <c r="Y23" s="11">
        <f t="shared" si="9"/>
        <v>0</v>
      </c>
      <c r="Z23" s="130"/>
      <c r="AA23" s="11">
        <f>AA24+AA25+AA26</f>
        <v>6700</v>
      </c>
      <c r="AB23" s="11">
        <f t="shared" si="10"/>
        <v>0</v>
      </c>
      <c r="AC23" s="387"/>
      <c r="AD23" s="11">
        <f>AD24+AD25+AD26</f>
        <v>6700</v>
      </c>
      <c r="AE23" s="11">
        <f t="shared" si="11"/>
        <v>0</v>
      </c>
      <c r="AF23" s="130"/>
      <c r="AG23" s="474">
        <f>AG24+AG25+AG26</f>
        <v>6315.68</v>
      </c>
      <c r="AH23" s="204">
        <f t="shared" si="3"/>
        <v>0.94263880597014926</v>
      </c>
      <c r="AI23" s="504"/>
    </row>
    <row r="24" spans="1:35" ht="26.25" x14ac:dyDescent="0.25">
      <c r="B24" s="10" t="s">
        <v>45</v>
      </c>
      <c r="C24" s="73" t="s">
        <v>46</v>
      </c>
      <c r="D24" s="74" t="s">
        <v>47</v>
      </c>
      <c r="E24" s="346">
        <v>1700</v>
      </c>
      <c r="F24" s="346">
        <f>ROUND(E24,0)</f>
        <v>1700</v>
      </c>
      <c r="G24" s="11">
        <f t="shared" si="2"/>
        <v>0</v>
      </c>
      <c r="H24" s="387"/>
      <c r="I24" s="11">
        <f>ROUND(F24,0)</f>
        <v>1700</v>
      </c>
      <c r="J24" s="11">
        <f t="shared" si="4"/>
        <v>0</v>
      </c>
      <c r="K24" s="130"/>
      <c r="L24" s="11">
        <f>ROUND(I24,0)</f>
        <v>1700</v>
      </c>
      <c r="M24" s="11">
        <f t="shared" si="5"/>
        <v>0</v>
      </c>
      <c r="N24" s="130"/>
      <c r="O24" s="11">
        <f>ROUND(L24,0)</f>
        <v>1700</v>
      </c>
      <c r="P24" s="11">
        <f t="shared" si="6"/>
        <v>0</v>
      </c>
      <c r="Q24" s="130"/>
      <c r="R24" s="11">
        <f>ROUND(O24,0)</f>
        <v>1700</v>
      </c>
      <c r="S24" s="11">
        <f t="shared" si="7"/>
        <v>0</v>
      </c>
      <c r="T24" s="130"/>
      <c r="U24" s="11">
        <f>ROUND(R24,0)</f>
        <v>1700</v>
      </c>
      <c r="V24" s="11">
        <f t="shared" si="8"/>
        <v>0</v>
      </c>
      <c r="W24" s="130"/>
      <c r="X24" s="11">
        <f>ROUND(U24,0)</f>
        <v>1700</v>
      </c>
      <c r="Y24" s="11">
        <f t="shared" si="9"/>
        <v>0</v>
      </c>
      <c r="Z24" s="130"/>
      <c r="AA24" s="11">
        <f>ROUND(X24,0)</f>
        <v>1700</v>
      </c>
      <c r="AB24" s="11">
        <f t="shared" si="10"/>
        <v>0</v>
      </c>
      <c r="AC24" s="387"/>
      <c r="AD24" s="11">
        <f>ROUND(AA24,0)</f>
        <v>1700</v>
      </c>
      <c r="AE24" s="11">
        <f t="shared" si="11"/>
        <v>0</v>
      </c>
      <c r="AF24" s="130"/>
      <c r="AG24" s="474">
        <v>1505.43</v>
      </c>
      <c r="AH24" s="200">
        <f t="shared" si="3"/>
        <v>0.88554705882352946</v>
      </c>
      <c r="AI24" s="504"/>
    </row>
    <row r="25" spans="1:35" ht="26.25" x14ac:dyDescent="0.25">
      <c r="B25" s="10" t="s">
        <v>48</v>
      </c>
      <c r="C25" s="73" t="s">
        <v>49</v>
      </c>
      <c r="D25" s="74" t="s">
        <v>271</v>
      </c>
      <c r="E25" s="346">
        <v>4500</v>
      </c>
      <c r="F25" s="346">
        <f>ROUND(E25,0)</f>
        <v>4500</v>
      </c>
      <c r="G25" s="11">
        <f t="shared" si="2"/>
        <v>0</v>
      </c>
      <c r="H25" s="387"/>
      <c r="I25" s="11">
        <f>ROUND(F25,0)</f>
        <v>4500</v>
      </c>
      <c r="J25" s="11">
        <f t="shared" si="4"/>
        <v>0</v>
      </c>
      <c r="K25" s="130"/>
      <c r="L25" s="11">
        <f>ROUND(I25,0)</f>
        <v>4500</v>
      </c>
      <c r="M25" s="11">
        <f t="shared" si="5"/>
        <v>0</v>
      </c>
      <c r="N25" s="130"/>
      <c r="O25" s="11">
        <f>ROUND(L25,0)</f>
        <v>4500</v>
      </c>
      <c r="P25" s="11">
        <f t="shared" si="6"/>
        <v>0</v>
      </c>
      <c r="Q25" s="130"/>
      <c r="R25" s="11">
        <f>ROUND(O25,0)</f>
        <v>4500</v>
      </c>
      <c r="S25" s="11">
        <f t="shared" si="7"/>
        <v>0</v>
      </c>
      <c r="T25" s="130"/>
      <c r="U25" s="11">
        <f>ROUND(R25,0)</f>
        <v>4500</v>
      </c>
      <c r="V25" s="11">
        <f t="shared" si="8"/>
        <v>0</v>
      </c>
      <c r="W25" s="130"/>
      <c r="X25" s="11">
        <f>ROUND(U25,0)</f>
        <v>4500</v>
      </c>
      <c r="Y25" s="11">
        <f t="shared" si="9"/>
        <v>0</v>
      </c>
      <c r="Z25" s="130"/>
      <c r="AA25" s="11">
        <f>ROUND(X25,0)</f>
        <v>4500</v>
      </c>
      <c r="AB25" s="11">
        <f t="shared" si="10"/>
        <v>0</v>
      </c>
      <c r="AC25" s="387"/>
      <c r="AD25" s="11">
        <f>ROUND(AA25,0)</f>
        <v>4500</v>
      </c>
      <c r="AE25" s="11">
        <f t="shared" si="11"/>
        <v>0</v>
      </c>
      <c r="AF25" s="130"/>
      <c r="AG25" s="474">
        <v>4044.45</v>
      </c>
      <c r="AH25" s="200">
        <f t="shared" si="3"/>
        <v>0.8987666666666666</v>
      </c>
      <c r="AI25" s="504"/>
    </row>
    <row r="26" spans="1:35" ht="26.25" x14ac:dyDescent="0.25">
      <c r="B26" s="10" t="s">
        <v>50</v>
      </c>
      <c r="C26" s="73" t="s">
        <v>51</v>
      </c>
      <c r="D26" s="74" t="s">
        <v>272</v>
      </c>
      <c r="E26" s="346">
        <v>500</v>
      </c>
      <c r="F26" s="346">
        <f>ROUND(E26,0)</f>
        <v>500</v>
      </c>
      <c r="G26" s="11">
        <f t="shared" si="2"/>
        <v>0</v>
      </c>
      <c r="H26" s="387"/>
      <c r="I26" s="11">
        <f>ROUND(F26,0)</f>
        <v>500</v>
      </c>
      <c r="J26" s="11">
        <f t="shared" si="4"/>
        <v>0</v>
      </c>
      <c r="K26" s="130"/>
      <c r="L26" s="11">
        <f>ROUND(I26,0)</f>
        <v>500</v>
      </c>
      <c r="M26" s="11">
        <f t="shared" si="5"/>
        <v>0</v>
      </c>
      <c r="N26" s="130"/>
      <c r="O26" s="11">
        <f>ROUND(L26,0)</f>
        <v>500</v>
      </c>
      <c r="P26" s="11">
        <f t="shared" si="6"/>
        <v>0</v>
      </c>
      <c r="Q26" s="130"/>
      <c r="R26" s="11">
        <f>ROUND(O26,0)</f>
        <v>500</v>
      </c>
      <c r="S26" s="11">
        <f t="shared" si="7"/>
        <v>0</v>
      </c>
      <c r="T26" s="130"/>
      <c r="U26" s="11">
        <f>ROUND(R26,0)</f>
        <v>500</v>
      </c>
      <c r="V26" s="11">
        <f t="shared" si="8"/>
        <v>0</v>
      </c>
      <c r="W26" s="130"/>
      <c r="X26" s="11">
        <f>ROUND(U26,0)</f>
        <v>500</v>
      </c>
      <c r="Y26" s="11">
        <f t="shared" si="9"/>
        <v>0</v>
      </c>
      <c r="Z26" s="130"/>
      <c r="AA26" s="11">
        <f>ROUND(X26,0)</f>
        <v>500</v>
      </c>
      <c r="AB26" s="11">
        <f t="shared" si="10"/>
        <v>0</v>
      </c>
      <c r="AC26" s="387"/>
      <c r="AD26" s="11">
        <f>ROUND(AA26,0)</f>
        <v>500</v>
      </c>
      <c r="AE26" s="11">
        <f t="shared" si="11"/>
        <v>0</v>
      </c>
      <c r="AF26" s="130"/>
      <c r="AG26" s="474">
        <f>391.29+374.51</f>
        <v>765.8</v>
      </c>
      <c r="AH26" s="200">
        <f t="shared" si="3"/>
        <v>1.5315999999999999</v>
      </c>
      <c r="AI26" s="504"/>
    </row>
    <row r="27" spans="1:35" x14ac:dyDescent="0.25">
      <c r="A27" s="2" t="s">
        <v>9</v>
      </c>
      <c r="B27" s="2" t="s">
        <v>52</v>
      </c>
      <c r="C27" s="69" t="s">
        <v>53</v>
      </c>
      <c r="D27" s="70" t="s">
        <v>54</v>
      </c>
      <c r="E27" s="346">
        <v>153300</v>
      </c>
      <c r="F27" s="346">
        <f t="shared" ref="F27" si="14">SUM(F28:F33)</f>
        <v>153300</v>
      </c>
      <c r="G27" s="11">
        <f t="shared" si="2"/>
        <v>0</v>
      </c>
      <c r="H27" s="387"/>
      <c r="I27" s="11">
        <f>SUM(I28:I33)</f>
        <v>153300</v>
      </c>
      <c r="J27" s="11">
        <f t="shared" si="4"/>
        <v>0</v>
      </c>
      <c r="K27" s="130"/>
      <c r="L27" s="11">
        <f>SUM(L28:L33)</f>
        <v>153300</v>
      </c>
      <c r="M27" s="11">
        <f t="shared" si="5"/>
        <v>0</v>
      </c>
      <c r="N27" s="130"/>
      <c r="O27" s="11">
        <f>SUM(O28:O33)</f>
        <v>160300</v>
      </c>
      <c r="P27" s="11">
        <f t="shared" si="6"/>
        <v>7000</v>
      </c>
      <c r="Q27" s="130"/>
      <c r="R27" s="11">
        <f>SUM(R28:R33)</f>
        <v>160300</v>
      </c>
      <c r="S27" s="11">
        <f t="shared" si="7"/>
        <v>0</v>
      </c>
      <c r="T27" s="130"/>
      <c r="U27" s="11">
        <f>SUM(U28:U33)</f>
        <v>160300</v>
      </c>
      <c r="V27" s="11">
        <f t="shared" si="8"/>
        <v>0</v>
      </c>
      <c r="W27" s="130"/>
      <c r="X27" s="11">
        <f>SUM(X28:X33)</f>
        <v>160300</v>
      </c>
      <c r="Y27" s="11">
        <f t="shared" si="9"/>
        <v>0</v>
      </c>
      <c r="Z27" s="130"/>
      <c r="AA27" s="11">
        <f>SUM(AA28:AA33)</f>
        <v>160300</v>
      </c>
      <c r="AB27" s="11">
        <f t="shared" si="10"/>
        <v>0</v>
      </c>
      <c r="AC27" s="387"/>
      <c r="AD27" s="11">
        <f>SUM(AD28:AD33)</f>
        <v>160300</v>
      </c>
      <c r="AE27" s="11">
        <f t="shared" si="11"/>
        <v>0</v>
      </c>
      <c r="AF27" s="130"/>
      <c r="AG27" s="474">
        <f>SUM(AG28:AG33)</f>
        <v>166419.88</v>
      </c>
      <c r="AH27" s="204">
        <f t="shared" si="3"/>
        <v>1.0381776668746101</v>
      </c>
      <c r="AI27" s="504"/>
    </row>
    <row r="28" spans="1:35" ht="26.25" x14ac:dyDescent="0.25">
      <c r="B28" s="10" t="s">
        <v>55</v>
      </c>
      <c r="C28" s="73" t="s">
        <v>56</v>
      </c>
      <c r="D28" s="74" t="s">
        <v>273</v>
      </c>
      <c r="E28" s="346">
        <v>350</v>
      </c>
      <c r="F28" s="346">
        <f t="shared" ref="F28:F33" si="15">ROUND(E28,0)</f>
        <v>350</v>
      </c>
      <c r="G28" s="11">
        <f t="shared" si="2"/>
        <v>0</v>
      </c>
      <c r="H28" s="387"/>
      <c r="I28" s="11">
        <f t="shared" ref="I28:I33" si="16">ROUND(F28,0)</f>
        <v>350</v>
      </c>
      <c r="J28" s="11">
        <f t="shared" si="4"/>
        <v>0</v>
      </c>
      <c r="K28" s="130"/>
      <c r="L28" s="11">
        <f t="shared" ref="L28:L33" si="17">ROUND(I28,0)</f>
        <v>350</v>
      </c>
      <c r="M28" s="11">
        <f t="shared" si="5"/>
        <v>0</v>
      </c>
      <c r="N28" s="130"/>
      <c r="O28" s="11">
        <f t="shared" ref="O28:O33" si="18">ROUND(L28,0)</f>
        <v>350</v>
      </c>
      <c r="P28" s="11">
        <f t="shared" si="6"/>
        <v>0</v>
      </c>
      <c r="Q28" s="130"/>
      <c r="R28" s="11">
        <f t="shared" ref="R28:R33" si="19">ROUND(O28,0)</f>
        <v>350</v>
      </c>
      <c r="S28" s="11">
        <f t="shared" si="7"/>
        <v>0</v>
      </c>
      <c r="T28" s="130"/>
      <c r="U28" s="11">
        <f t="shared" ref="U28:U33" si="20">ROUND(R28,0)</f>
        <v>350</v>
      </c>
      <c r="V28" s="11">
        <f t="shared" si="8"/>
        <v>0</v>
      </c>
      <c r="W28" s="130"/>
      <c r="X28" s="11">
        <f t="shared" ref="X28:X33" si="21">ROUND(U28,0)</f>
        <v>350</v>
      </c>
      <c r="Y28" s="11">
        <f t="shared" si="9"/>
        <v>0</v>
      </c>
      <c r="Z28" s="130"/>
      <c r="AA28" s="11">
        <f t="shared" ref="AA28:AA33" si="22">ROUND(X28,0)</f>
        <v>350</v>
      </c>
      <c r="AB28" s="11">
        <f t="shared" si="10"/>
        <v>0</v>
      </c>
      <c r="AC28" s="387"/>
      <c r="AD28" s="11">
        <f t="shared" ref="AD28:AD33" si="23">ROUND(AA28,0)</f>
        <v>350</v>
      </c>
      <c r="AE28" s="11">
        <f t="shared" si="11"/>
        <v>0</v>
      </c>
      <c r="AF28" s="130"/>
      <c r="AG28" s="474">
        <v>102.5</v>
      </c>
      <c r="AH28" s="200">
        <f t="shared" si="3"/>
        <v>0.29285714285714287</v>
      </c>
      <c r="AI28" s="504"/>
    </row>
    <row r="29" spans="1:35" ht="26.25" x14ac:dyDescent="0.25">
      <c r="B29" s="62" t="s">
        <v>525</v>
      </c>
      <c r="C29" s="73" t="s">
        <v>58</v>
      </c>
      <c r="D29" s="74" t="s">
        <v>280</v>
      </c>
      <c r="E29" s="346">
        <v>1100</v>
      </c>
      <c r="F29" s="346">
        <f t="shared" si="15"/>
        <v>1100</v>
      </c>
      <c r="G29" s="54">
        <f t="shared" si="2"/>
        <v>0</v>
      </c>
      <c r="H29" s="390"/>
      <c r="I29" s="11">
        <f t="shared" si="16"/>
        <v>1100</v>
      </c>
      <c r="J29" s="54">
        <f t="shared" si="4"/>
        <v>0</v>
      </c>
      <c r="K29" s="133"/>
      <c r="L29" s="11">
        <f t="shared" si="17"/>
        <v>1100</v>
      </c>
      <c r="M29" s="54">
        <f t="shared" si="5"/>
        <v>0</v>
      </c>
      <c r="N29" s="133"/>
      <c r="O29" s="11">
        <f t="shared" si="18"/>
        <v>1100</v>
      </c>
      <c r="P29" s="54">
        <f t="shared" si="6"/>
        <v>0</v>
      </c>
      <c r="Q29" s="133"/>
      <c r="R29" s="11">
        <f t="shared" si="19"/>
        <v>1100</v>
      </c>
      <c r="S29" s="54">
        <f t="shared" si="7"/>
        <v>0</v>
      </c>
      <c r="T29" s="133"/>
      <c r="U29" s="11">
        <f t="shared" si="20"/>
        <v>1100</v>
      </c>
      <c r="V29" s="54">
        <f t="shared" si="8"/>
        <v>0</v>
      </c>
      <c r="W29" s="133"/>
      <c r="X29" s="11">
        <f t="shared" si="21"/>
        <v>1100</v>
      </c>
      <c r="Y29" s="54">
        <f t="shared" si="9"/>
        <v>0</v>
      </c>
      <c r="Z29" s="133"/>
      <c r="AA29" s="11">
        <f t="shared" si="22"/>
        <v>1100</v>
      </c>
      <c r="AB29" s="54">
        <f t="shared" si="10"/>
        <v>0</v>
      </c>
      <c r="AC29" s="390"/>
      <c r="AD29" s="11">
        <f t="shared" si="23"/>
        <v>1100</v>
      </c>
      <c r="AE29" s="54">
        <f t="shared" si="11"/>
        <v>0</v>
      </c>
      <c r="AF29" s="133"/>
      <c r="AG29" s="474">
        <v>2015.98</v>
      </c>
      <c r="AH29" s="205">
        <f t="shared" si="3"/>
        <v>1.8327090909090908</v>
      </c>
      <c r="AI29" s="504"/>
    </row>
    <row r="30" spans="1:35" ht="60" x14ac:dyDescent="0.25">
      <c r="B30" s="10" t="s">
        <v>57</v>
      </c>
      <c r="C30" s="73" t="s">
        <v>59</v>
      </c>
      <c r="D30" s="74" t="s">
        <v>274</v>
      </c>
      <c r="E30" s="346">
        <v>27000</v>
      </c>
      <c r="F30" s="346">
        <f t="shared" si="15"/>
        <v>27000</v>
      </c>
      <c r="G30" s="11">
        <f t="shared" si="2"/>
        <v>0</v>
      </c>
      <c r="H30" s="387"/>
      <c r="I30" s="11">
        <f t="shared" si="16"/>
        <v>27000</v>
      </c>
      <c r="J30" s="11">
        <f t="shared" si="4"/>
        <v>0</v>
      </c>
      <c r="K30" s="130"/>
      <c r="L30" s="11">
        <f t="shared" si="17"/>
        <v>27000</v>
      </c>
      <c r="M30" s="11">
        <f t="shared" si="5"/>
        <v>0</v>
      </c>
      <c r="N30" s="130"/>
      <c r="O30" s="11">
        <f>ROUND(L30,0)+7000</f>
        <v>34000</v>
      </c>
      <c r="P30" s="11">
        <f t="shared" si="6"/>
        <v>7000</v>
      </c>
      <c r="Q30" s="170" t="s">
        <v>850</v>
      </c>
      <c r="R30" s="11">
        <f t="shared" si="19"/>
        <v>34000</v>
      </c>
      <c r="S30" s="11">
        <f t="shared" si="7"/>
        <v>0</v>
      </c>
      <c r="T30" s="170"/>
      <c r="U30" s="11">
        <f t="shared" si="20"/>
        <v>34000</v>
      </c>
      <c r="V30" s="11">
        <f t="shared" si="8"/>
        <v>0</v>
      </c>
      <c r="W30" s="170"/>
      <c r="X30" s="11">
        <f t="shared" si="21"/>
        <v>34000</v>
      </c>
      <c r="Y30" s="11">
        <f t="shared" si="9"/>
        <v>0</v>
      </c>
      <c r="Z30" s="170"/>
      <c r="AA30" s="11">
        <f t="shared" si="22"/>
        <v>34000</v>
      </c>
      <c r="AB30" s="11">
        <f t="shared" si="10"/>
        <v>0</v>
      </c>
      <c r="AC30" s="417"/>
      <c r="AD30" s="11">
        <f t="shared" si="23"/>
        <v>34000</v>
      </c>
      <c r="AE30" s="11">
        <f t="shared" si="11"/>
        <v>0</v>
      </c>
      <c r="AF30" s="170"/>
      <c r="AG30" s="474">
        <v>38684.22</v>
      </c>
      <c r="AH30" s="200">
        <f t="shared" si="3"/>
        <v>1.1377711764705882</v>
      </c>
      <c r="AI30" s="504"/>
    </row>
    <row r="31" spans="1:35" ht="26.25" x14ac:dyDescent="0.25">
      <c r="B31" s="10" t="s">
        <v>60</v>
      </c>
      <c r="C31" s="73" t="s">
        <v>61</v>
      </c>
      <c r="D31" s="74" t="s">
        <v>275</v>
      </c>
      <c r="E31" s="346">
        <v>11500</v>
      </c>
      <c r="F31" s="346">
        <f t="shared" si="15"/>
        <v>11500</v>
      </c>
      <c r="G31" s="11">
        <f t="shared" si="2"/>
        <v>0</v>
      </c>
      <c r="H31" s="387"/>
      <c r="I31" s="11">
        <f t="shared" si="16"/>
        <v>11500</v>
      </c>
      <c r="J31" s="11">
        <f t="shared" si="4"/>
        <v>0</v>
      </c>
      <c r="K31" s="130"/>
      <c r="L31" s="11">
        <f t="shared" si="17"/>
        <v>11500</v>
      </c>
      <c r="M31" s="11">
        <f t="shared" si="5"/>
        <v>0</v>
      </c>
      <c r="N31" s="130"/>
      <c r="O31" s="11">
        <f t="shared" si="18"/>
        <v>11500</v>
      </c>
      <c r="P31" s="11">
        <f t="shared" si="6"/>
        <v>0</v>
      </c>
      <c r="Q31" s="130"/>
      <c r="R31" s="11">
        <f t="shared" si="19"/>
        <v>11500</v>
      </c>
      <c r="S31" s="11">
        <f t="shared" si="7"/>
        <v>0</v>
      </c>
      <c r="T31" s="130"/>
      <c r="U31" s="11">
        <f t="shared" si="20"/>
        <v>11500</v>
      </c>
      <c r="V31" s="11">
        <f t="shared" si="8"/>
        <v>0</v>
      </c>
      <c r="W31" s="130"/>
      <c r="X31" s="11">
        <f t="shared" si="21"/>
        <v>11500</v>
      </c>
      <c r="Y31" s="11">
        <f t="shared" si="9"/>
        <v>0</v>
      </c>
      <c r="Z31" s="130"/>
      <c r="AA31" s="11">
        <f t="shared" si="22"/>
        <v>11500</v>
      </c>
      <c r="AB31" s="11">
        <f t="shared" si="10"/>
        <v>0</v>
      </c>
      <c r="AC31" s="387"/>
      <c r="AD31" s="11">
        <f t="shared" si="23"/>
        <v>11500</v>
      </c>
      <c r="AE31" s="11">
        <f t="shared" si="11"/>
        <v>0</v>
      </c>
      <c r="AF31" s="130"/>
      <c r="AG31" s="474">
        <v>22062.06</v>
      </c>
      <c r="AH31" s="200">
        <f t="shared" si="3"/>
        <v>1.9184400000000001</v>
      </c>
      <c r="AI31" s="504"/>
    </row>
    <row r="32" spans="1:35" x14ac:dyDescent="0.25">
      <c r="B32" s="10" t="s">
        <v>62</v>
      </c>
      <c r="C32" s="73" t="s">
        <v>63</v>
      </c>
      <c r="D32" s="74" t="s">
        <v>276</v>
      </c>
      <c r="E32" s="346">
        <v>106350</v>
      </c>
      <c r="F32" s="346">
        <f t="shared" si="15"/>
        <v>106350</v>
      </c>
      <c r="G32" s="11">
        <f t="shared" si="2"/>
        <v>0</v>
      </c>
      <c r="H32" s="387"/>
      <c r="I32" s="11">
        <f t="shared" si="16"/>
        <v>106350</v>
      </c>
      <c r="J32" s="11">
        <f t="shared" si="4"/>
        <v>0</v>
      </c>
      <c r="K32" s="130"/>
      <c r="L32" s="11">
        <f t="shared" si="17"/>
        <v>106350</v>
      </c>
      <c r="M32" s="11">
        <f t="shared" si="5"/>
        <v>0</v>
      </c>
      <c r="N32" s="130"/>
      <c r="O32" s="11">
        <f t="shared" si="18"/>
        <v>106350</v>
      </c>
      <c r="P32" s="11">
        <f t="shared" si="6"/>
        <v>0</v>
      </c>
      <c r="Q32" s="130"/>
      <c r="R32" s="11">
        <f t="shared" si="19"/>
        <v>106350</v>
      </c>
      <c r="S32" s="11">
        <f t="shared" si="7"/>
        <v>0</v>
      </c>
      <c r="T32" s="130"/>
      <c r="U32" s="11">
        <f t="shared" si="20"/>
        <v>106350</v>
      </c>
      <c r="V32" s="11">
        <f t="shared" si="8"/>
        <v>0</v>
      </c>
      <c r="W32" s="130"/>
      <c r="X32" s="11">
        <f t="shared" si="21"/>
        <v>106350</v>
      </c>
      <c r="Y32" s="11">
        <f t="shared" si="9"/>
        <v>0</v>
      </c>
      <c r="Z32" s="130"/>
      <c r="AA32" s="11">
        <f t="shared" si="22"/>
        <v>106350</v>
      </c>
      <c r="AB32" s="11">
        <f t="shared" si="10"/>
        <v>0</v>
      </c>
      <c r="AC32" s="387"/>
      <c r="AD32" s="11">
        <f t="shared" si="23"/>
        <v>106350</v>
      </c>
      <c r="AE32" s="11">
        <f t="shared" si="11"/>
        <v>0</v>
      </c>
      <c r="AF32" s="130"/>
      <c r="AG32" s="474">
        <v>98295.85</v>
      </c>
      <c r="AH32" s="200">
        <f t="shared" si="3"/>
        <v>0.92426751292900799</v>
      </c>
      <c r="AI32" s="504"/>
    </row>
    <row r="33" spans="1:36" x14ac:dyDescent="0.25">
      <c r="B33" s="10" t="s">
        <v>64</v>
      </c>
      <c r="C33" s="73" t="s">
        <v>65</v>
      </c>
      <c r="D33" s="74" t="s">
        <v>277</v>
      </c>
      <c r="E33" s="346">
        <v>7000</v>
      </c>
      <c r="F33" s="346">
        <f t="shared" si="15"/>
        <v>7000</v>
      </c>
      <c r="G33" s="11">
        <f t="shared" si="2"/>
        <v>0</v>
      </c>
      <c r="H33" s="387"/>
      <c r="I33" s="11">
        <f t="shared" si="16"/>
        <v>7000</v>
      </c>
      <c r="J33" s="11">
        <f t="shared" si="4"/>
        <v>0</v>
      </c>
      <c r="K33" s="130"/>
      <c r="L33" s="11">
        <f t="shared" si="17"/>
        <v>7000</v>
      </c>
      <c r="M33" s="11">
        <f t="shared" si="5"/>
        <v>0</v>
      </c>
      <c r="N33" s="130"/>
      <c r="O33" s="11">
        <f t="shared" si="18"/>
        <v>7000</v>
      </c>
      <c r="P33" s="11">
        <f t="shared" si="6"/>
        <v>0</v>
      </c>
      <c r="Q33" s="130"/>
      <c r="R33" s="11">
        <f t="shared" si="19"/>
        <v>7000</v>
      </c>
      <c r="S33" s="11">
        <f t="shared" si="7"/>
        <v>0</v>
      </c>
      <c r="T33" s="130"/>
      <c r="U33" s="11">
        <f t="shared" si="20"/>
        <v>7000</v>
      </c>
      <c r="V33" s="11">
        <f t="shared" si="8"/>
        <v>0</v>
      </c>
      <c r="W33" s="130"/>
      <c r="X33" s="11">
        <f t="shared" si="21"/>
        <v>7000</v>
      </c>
      <c r="Y33" s="11">
        <f t="shared" si="9"/>
        <v>0</v>
      </c>
      <c r="Z33" s="130"/>
      <c r="AA33" s="11">
        <f t="shared" si="22"/>
        <v>7000</v>
      </c>
      <c r="AB33" s="11">
        <f t="shared" si="10"/>
        <v>0</v>
      </c>
      <c r="AC33" s="387"/>
      <c r="AD33" s="11">
        <f t="shared" si="23"/>
        <v>7000</v>
      </c>
      <c r="AE33" s="11">
        <f t="shared" si="11"/>
        <v>0</v>
      </c>
      <c r="AF33" s="130"/>
      <c r="AG33" s="474">
        <v>5259.27</v>
      </c>
      <c r="AH33" s="200">
        <f t="shared" si="3"/>
        <v>0.75132428571428578</v>
      </c>
      <c r="AI33" s="504"/>
    </row>
    <row r="34" spans="1:36" ht="18" customHeight="1" x14ac:dyDescent="0.25">
      <c r="B34" s="2" t="s">
        <v>66</v>
      </c>
      <c r="C34" s="71" t="s">
        <v>67</v>
      </c>
      <c r="D34" s="72" t="s">
        <v>68</v>
      </c>
      <c r="E34" s="345">
        <v>65000</v>
      </c>
      <c r="F34" s="345">
        <f>F35+F36</f>
        <v>65000</v>
      </c>
      <c r="G34" s="13">
        <f t="shared" si="2"/>
        <v>0</v>
      </c>
      <c r="H34" s="391"/>
      <c r="I34" s="13">
        <f>I35+I36</f>
        <v>65000</v>
      </c>
      <c r="J34" s="13">
        <f t="shared" si="4"/>
        <v>0</v>
      </c>
      <c r="K34" s="134"/>
      <c r="L34" s="13">
        <f>L35+L36</f>
        <v>65000</v>
      </c>
      <c r="M34" s="13">
        <f t="shared" si="5"/>
        <v>0</v>
      </c>
      <c r="N34" s="134"/>
      <c r="O34" s="13">
        <f>O35+O36</f>
        <v>65000</v>
      </c>
      <c r="P34" s="13">
        <f t="shared" si="6"/>
        <v>0</v>
      </c>
      <c r="Q34" s="134"/>
      <c r="R34" s="13">
        <f>R35+R36</f>
        <v>110000</v>
      </c>
      <c r="S34" s="13">
        <f t="shared" si="7"/>
        <v>45000</v>
      </c>
      <c r="T34" s="134"/>
      <c r="U34" s="13">
        <f>U35+U36</f>
        <v>150000</v>
      </c>
      <c r="V34" s="13">
        <f t="shared" si="8"/>
        <v>40000</v>
      </c>
      <c r="W34" s="134"/>
      <c r="X34" s="13">
        <f>X35+X36</f>
        <v>150000</v>
      </c>
      <c r="Y34" s="13">
        <f t="shared" si="9"/>
        <v>0</v>
      </c>
      <c r="Z34" s="134"/>
      <c r="AA34" s="13">
        <f>AA35+AA36</f>
        <v>150000</v>
      </c>
      <c r="AB34" s="13">
        <f t="shared" si="10"/>
        <v>0</v>
      </c>
      <c r="AC34" s="391"/>
      <c r="AD34" s="13">
        <f>AD35+AD36</f>
        <v>150000</v>
      </c>
      <c r="AE34" s="13">
        <f t="shared" si="11"/>
        <v>0</v>
      </c>
      <c r="AF34" s="134"/>
      <c r="AG34" s="517">
        <f>AG35+AG36</f>
        <v>218874.91999999998</v>
      </c>
      <c r="AH34" s="199">
        <f t="shared" si="3"/>
        <v>1.4591661333333332</v>
      </c>
      <c r="AI34" s="554"/>
    </row>
    <row r="35" spans="1:36" ht="16.5" customHeight="1" x14ac:dyDescent="0.25">
      <c r="B35" s="56" t="s">
        <v>69</v>
      </c>
      <c r="C35" s="69" t="s">
        <v>70</v>
      </c>
      <c r="D35" s="70" t="s">
        <v>68</v>
      </c>
      <c r="E35" s="346">
        <v>31000</v>
      </c>
      <c r="F35" s="346">
        <f>ROUND(E35,0)</f>
        <v>31000</v>
      </c>
      <c r="G35" s="11">
        <f t="shared" si="2"/>
        <v>0</v>
      </c>
      <c r="H35" s="384"/>
      <c r="I35" s="11">
        <f>ROUND(F35,0)</f>
        <v>31000</v>
      </c>
      <c r="J35" s="11">
        <f t="shared" si="4"/>
        <v>0</v>
      </c>
      <c r="K35" s="127"/>
      <c r="L35" s="11">
        <f>ROUND(I35,0)</f>
        <v>31000</v>
      </c>
      <c r="M35" s="11">
        <f t="shared" si="5"/>
        <v>0</v>
      </c>
      <c r="N35" s="127"/>
      <c r="O35" s="11">
        <f>ROUND(L35,0)</f>
        <v>31000</v>
      </c>
      <c r="P35" s="11">
        <f t="shared" si="6"/>
        <v>0</v>
      </c>
      <c r="Q35" s="127"/>
      <c r="R35" s="11">
        <f>ROUND(O35,0)+45000</f>
        <v>76000</v>
      </c>
      <c r="S35" s="11">
        <f t="shared" si="7"/>
        <v>45000</v>
      </c>
      <c r="T35" s="127" t="s">
        <v>882</v>
      </c>
      <c r="U35" s="11">
        <f>ROUND(R35,0)+40000</f>
        <v>116000</v>
      </c>
      <c r="V35" s="11">
        <f t="shared" si="8"/>
        <v>40000</v>
      </c>
      <c r="W35" s="127" t="s">
        <v>926</v>
      </c>
      <c r="X35" s="11">
        <f>ROUND(U35,0)</f>
        <v>116000</v>
      </c>
      <c r="Y35" s="11">
        <f t="shared" si="9"/>
        <v>0</v>
      </c>
      <c r="Z35" s="127"/>
      <c r="AA35" s="11">
        <f>ROUND(X35,0)</f>
        <v>116000</v>
      </c>
      <c r="AB35" s="11">
        <f t="shared" si="10"/>
        <v>0</v>
      </c>
      <c r="AC35" s="384"/>
      <c r="AD35" s="11">
        <f>ROUND(AA35,0)</f>
        <v>116000</v>
      </c>
      <c r="AE35" s="11">
        <f t="shared" si="11"/>
        <v>0</v>
      </c>
      <c r="AF35" s="127"/>
      <c r="AG35" s="474">
        <f>166104.77+7700.81</f>
        <v>173805.58</v>
      </c>
      <c r="AH35" s="200">
        <f t="shared" si="3"/>
        <v>1.4983239655172413</v>
      </c>
      <c r="AI35" s="504"/>
    </row>
    <row r="36" spans="1:36" ht="30" x14ac:dyDescent="0.25">
      <c r="B36" s="56" t="s">
        <v>71</v>
      </c>
      <c r="C36" s="69" t="s">
        <v>72</v>
      </c>
      <c r="D36" s="70" t="s">
        <v>73</v>
      </c>
      <c r="E36" s="346">
        <v>34000</v>
      </c>
      <c r="F36" s="346">
        <f>ROUND(E36,0)</f>
        <v>34000</v>
      </c>
      <c r="G36" s="11">
        <f t="shared" si="2"/>
        <v>0</v>
      </c>
      <c r="H36" s="384"/>
      <c r="I36" s="11">
        <f>ROUND(F36,0)</f>
        <v>34000</v>
      </c>
      <c r="J36" s="11">
        <f t="shared" si="4"/>
        <v>0</v>
      </c>
      <c r="K36" s="127"/>
      <c r="L36" s="11">
        <f>ROUND(I36,0)</f>
        <v>34000</v>
      </c>
      <c r="M36" s="11">
        <f t="shared" si="5"/>
        <v>0</v>
      </c>
      <c r="N36" s="127"/>
      <c r="O36" s="11">
        <f>ROUND(L36,0)</f>
        <v>34000</v>
      </c>
      <c r="P36" s="11">
        <f t="shared" si="6"/>
        <v>0</v>
      </c>
      <c r="Q36" s="127"/>
      <c r="R36" s="11">
        <f>ROUND(O36,0)</f>
        <v>34000</v>
      </c>
      <c r="S36" s="11">
        <f t="shared" si="7"/>
        <v>0</v>
      </c>
      <c r="T36" s="127"/>
      <c r="U36" s="11">
        <f>ROUND(R36,0)</f>
        <v>34000</v>
      </c>
      <c r="V36" s="11">
        <f t="shared" si="8"/>
        <v>0</v>
      </c>
      <c r="W36" s="127"/>
      <c r="X36" s="11">
        <f>ROUND(U36,0)</f>
        <v>34000</v>
      </c>
      <c r="Y36" s="11">
        <f t="shared" si="9"/>
        <v>0</v>
      </c>
      <c r="Z36" s="127"/>
      <c r="AA36" s="11">
        <f>ROUND(X36,0)</f>
        <v>34000</v>
      </c>
      <c r="AB36" s="11">
        <f t="shared" si="10"/>
        <v>0</v>
      </c>
      <c r="AC36" s="384"/>
      <c r="AD36" s="11">
        <f>ROUND(AA36,0)</f>
        <v>34000</v>
      </c>
      <c r="AE36" s="11">
        <f t="shared" si="11"/>
        <v>0</v>
      </c>
      <c r="AF36" s="127"/>
      <c r="AG36" s="474">
        <v>45069.34</v>
      </c>
      <c r="AH36" s="200">
        <f t="shared" si="3"/>
        <v>1.3255688235294116</v>
      </c>
      <c r="AI36" s="504"/>
    </row>
    <row r="37" spans="1:36" x14ac:dyDescent="0.25">
      <c r="B37" s="2" t="s">
        <v>74</v>
      </c>
      <c r="C37" s="71" t="s">
        <v>75</v>
      </c>
      <c r="D37" s="72" t="s">
        <v>76</v>
      </c>
      <c r="E37" s="345">
        <v>6453</v>
      </c>
      <c r="F37" s="345">
        <f>F38+F39+F40</f>
        <v>6453</v>
      </c>
      <c r="G37" s="13">
        <f t="shared" si="2"/>
        <v>0</v>
      </c>
      <c r="H37" s="386"/>
      <c r="I37" s="13">
        <f>I38+I39+I40</f>
        <v>25797</v>
      </c>
      <c r="J37" s="13">
        <f t="shared" si="4"/>
        <v>19344</v>
      </c>
      <c r="K37" s="129"/>
      <c r="L37" s="13">
        <f>L38+L39+L40</f>
        <v>35106</v>
      </c>
      <c r="M37" s="13">
        <f t="shared" si="5"/>
        <v>9309</v>
      </c>
      <c r="N37" s="129"/>
      <c r="O37" s="13">
        <f>O38+O39+O40</f>
        <v>57106</v>
      </c>
      <c r="P37" s="13">
        <f t="shared" si="6"/>
        <v>22000</v>
      </c>
      <c r="Q37" s="129"/>
      <c r="R37" s="13">
        <f>R38+R39+R40</f>
        <v>124631</v>
      </c>
      <c r="S37" s="13">
        <f t="shared" si="7"/>
        <v>67525</v>
      </c>
      <c r="T37" s="129"/>
      <c r="U37" s="13">
        <f>U38+U39+U40</f>
        <v>161431</v>
      </c>
      <c r="V37" s="13">
        <f t="shared" si="8"/>
        <v>36800</v>
      </c>
      <c r="W37" s="129"/>
      <c r="X37" s="13">
        <f>X38+X39+X40</f>
        <v>161431</v>
      </c>
      <c r="Y37" s="13">
        <f t="shared" si="9"/>
        <v>0</v>
      </c>
      <c r="Z37" s="129"/>
      <c r="AA37" s="13">
        <f>AA38+AA39+AA40</f>
        <v>161431</v>
      </c>
      <c r="AB37" s="13">
        <f t="shared" si="10"/>
        <v>0</v>
      </c>
      <c r="AC37" s="386"/>
      <c r="AD37" s="13">
        <f>AD38+AD39+AD40</f>
        <v>161431</v>
      </c>
      <c r="AE37" s="13">
        <f t="shared" si="11"/>
        <v>0</v>
      </c>
      <c r="AF37" s="129"/>
      <c r="AG37" s="517">
        <f>AG38+AG39+AG40</f>
        <v>189470.90999999997</v>
      </c>
      <c r="AH37" s="199">
        <f t="shared" si="3"/>
        <v>1.1736959443972965</v>
      </c>
      <c r="AI37" s="526"/>
      <c r="AJ37" s="40"/>
    </row>
    <row r="38" spans="1:36" ht="60" customHeight="1" x14ac:dyDescent="0.25">
      <c r="A38" s="2" t="s">
        <v>9</v>
      </c>
      <c r="B38" s="3" t="s">
        <v>776</v>
      </c>
      <c r="C38" s="69" t="s">
        <v>77</v>
      </c>
      <c r="D38" s="291" t="s">
        <v>78</v>
      </c>
      <c r="E38" s="346">
        <v>0</v>
      </c>
      <c r="F38" s="346">
        <f>ROUND(E38,0)</f>
        <v>0</v>
      </c>
      <c r="G38" s="11">
        <f t="shared" si="2"/>
        <v>0</v>
      </c>
      <c r="H38" s="392"/>
      <c r="I38" s="11">
        <f>ROUND(F38,0)+19344</f>
        <v>19344</v>
      </c>
      <c r="J38" s="11">
        <f t="shared" si="4"/>
        <v>19344</v>
      </c>
      <c r="K38" s="135" t="s">
        <v>777</v>
      </c>
      <c r="L38" s="11">
        <f>ROUND(I38,0)+9309</f>
        <v>28653</v>
      </c>
      <c r="M38" s="11">
        <f t="shared" si="5"/>
        <v>9309</v>
      </c>
      <c r="N38" s="135" t="s">
        <v>824</v>
      </c>
      <c r="O38" s="11">
        <f>ROUND(L38,0)+22000</f>
        <v>50653</v>
      </c>
      <c r="P38" s="11">
        <f t="shared" si="6"/>
        <v>22000</v>
      </c>
      <c r="Q38" s="135" t="s">
        <v>860</v>
      </c>
      <c r="R38" s="11">
        <f>ROUND(O38,0)+(10000+20000)+31000</f>
        <v>111653</v>
      </c>
      <c r="S38" s="11">
        <f t="shared" si="7"/>
        <v>61000</v>
      </c>
      <c r="T38" s="135" t="s">
        <v>900</v>
      </c>
      <c r="U38" s="11">
        <f>ROUND(R38,0)+10000+20000</f>
        <v>141653</v>
      </c>
      <c r="V38" s="559">
        <f t="shared" si="8"/>
        <v>30000</v>
      </c>
      <c r="W38" s="135" t="s">
        <v>925</v>
      </c>
      <c r="X38" s="11">
        <f>ROUND(U38,0)</f>
        <v>141653</v>
      </c>
      <c r="Y38" s="11">
        <f t="shared" si="9"/>
        <v>0</v>
      </c>
      <c r="Z38" s="135"/>
      <c r="AA38" s="11">
        <f>ROUND(X38,0)</f>
        <v>141653</v>
      </c>
      <c r="AB38" s="11">
        <f t="shared" si="10"/>
        <v>0</v>
      </c>
      <c r="AC38" s="392"/>
      <c r="AD38" s="11">
        <f>ROUND(AA38,0)</f>
        <v>141653</v>
      </c>
      <c r="AE38" s="11">
        <f t="shared" si="11"/>
        <v>0</v>
      </c>
      <c r="AF38" s="135"/>
      <c r="AG38" s="474">
        <f>107268.17+3463.65+66102.42</f>
        <v>176834.24</v>
      </c>
      <c r="AH38" s="200">
        <f t="shared" si="3"/>
        <v>1.2483621243461134</v>
      </c>
      <c r="AI38" s="520" t="s">
        <v>922</v>
      </c>
    </row>
    <row r="39" spans="1:36" ht="27.75" customHeight="1" x14ac:dyDescent="0.25">
      <c r="B39" s="2" t="s">
        <v>241</v>
      </c>
      <c r="C39" s="69" t="s">
        <v>79</v>
      </c>
      <c r="D39" s="70" t="s">
        <v>240</v>
      </c>
      <c r="E39" s="346">
        <v>500</v>
      </c>
      <c r="F39" s="346">
        <f>ROUND(E39,0)</f>
        <v>500</v>
      </c>
      <c r="G39" s="11">
        <f t="shared" si="2"/>
        <v>0</v>
      </c>
      <c r="H39" s="392"/>
      <c r="I39" s="11">
        <f>ROUND(F39,0)</f>
        <v>500</v>
      </c>
      <c r="J39" s="11">
        <f t="shared" si="4"/>
        <v>0</v>
      </c>
      <c r="K39" s="135"/>
      <c r="L39" s="11">
        <f>ROUND(I39,0)</f>
        <v>500</v>
      </c>
      <c r="M39" s="11">
        <f t="shared" si="5"/>
        <v>0</v>
      </c>
      <c r="N39" s="135"/>
      <c r="O39" s="11">
        <f>ROUND(L39,0)</f>
        <v>500</v>
      </c>
      <c r="P39" s="11">
        <f t="shared" si="6"/>
        <v>0</v>
      </c>
      <c r="Q39" s="135"/>
      <c r="R39" s="11">
        <f>ROUND(O39,0)</f>
        <v>500</v>
      </c>
      <c r="S39" s="11">
        <f t="shared" si="7"/>
        <v>0</v>
      </c>
      <c r="T39" s="135"/>
      <c r="U39" s="11">
        <f>ROUND(R39,0)+6800</f>
        <v>7300</v>
      </c>
      <c r="V39" s="559">
        <f t="shared" si="8"/>
        <v>6800</v>
      </c>
      <c r="W39" s="135" t="s">
        <v>926</v>
      </c>
      <c r="X39" s="11">
        <f>ROUND(U39,0)</f>
        <v>7300</v>
      </c>
      <c r="Y39" s="11">
        <f t="shared" si="9"/>
        <v>0</v>
      </c>
      <c r="Z39" s="135"/>
      <c r="AA39" s="11">
        <f>ROUND(X39,0)</f>
        <v>7300</v>
      </c>
      <c r="AB39" s="11">
        <f t="shared" si="10"/>
        <v>0</v>
      </c>
      <c r="AC39" s="392"/>
      <c r="AD39" s="11">
        <f>ROUND(AA39,0)</f>
        <v>7300</v>
      </c>
      <c r="AE39" s="11">
        <f t="shared" si="11"/>
        <v>0</v>
      </c>
      <c r="AF39" s="135"/>
      <c r="AG39" s="474">
        <f>3901.9</f>
        <v>3901.9</v>
      </c>
      <c r="AH39" s="200">
        <f t="shared" si="3"/>
        <v>0.53450684931506853</v>
      </c>
      <c r="AI39" s="520" t="s">
        <v>808</v>
      </c>
    </row>
    <row r="40" spans="1:36" x14ac:dyDescent="0.25">
      <c r="C40" s="69" t="s">
        <v>80</v>
      </c>
      <c r="D40" s="70" t="s">
        <v>310</v>
      </c>
      <c r="E40" s="346">
        <v>5953</v>
      </c>
      <c r="F40" s="346">
        <f>ROUND(E40,0)</f>
        <v>5953</v>
      </c>
      <c r="G40" s="54">
        <f t="shared" si="2"/>
        <v>0</v>
      </c>
      <c r="H40" s="393"/>
      <c r="I40" s="11">
        <f>ROUND(F40,0)</f>
        <v>5953</v>
      </c>
      <c r="J40" s="54">
        <f t="shared" si="4"/>
        <v>0</v>
      </c>
      <c r="K40" s="136"/>
      <c r="L40" s="11">
        <f>ROUND(I40,0)</f>
        <v>5953</v>
      </c>
      <c r="M40" s="54">
        <f t="shared" si="5"/>
        <v>0</v>
      </c>
      <c r="N40" s="136"/>
      <c r="O40" s="11">
        <f>ROUND(L40,0)</f>
        <v>5953</v>
      </c>
      <c r="P40" s="54">
        <f t="shared" si="6"/>
        <v>0</v>
      </c>
      <c r="Q40" s="136"/>
      <c r="R40" s="11">
        <f>ROUND(O40,0)+6525</f>
        <v>12478</v>
      </c>
      <c r="S40" s="54">
        <f t="shared" si="7"/>
        <v>6525</v>
      </c>
      <c r="T40" s="136" t="s">
        <v>882</v>
      </c>
      <c r="U40" s="11">
        <f>ROUND(R40,0)</f>
        <v>12478</v>
      </c>
      <c r="V40" s="54">
        <f t="shared" si="8"/>
        <v>0</v>
      </c>
      <c r="W40" s="136"/>
      <c r="X40" s="11">
        <f>ROUND(U40,0)</f>
        <v>12478</v>
      </c>
      <c r="Y40" s="54">
        <f t="shared" si="9"/>
        <v>0</v>
      </c>
      <c r="Z40" s="136"/>
      <c r="AA40" s="11">
        <f>ROUND(X40,0)</f>
        <v>12478</v>
      </c>
      <c r="AB40" s="54">
        <f t="shared" si="10"/>
        <v>0</v>
      </c>
      <c r="AC40" s="393"/>
      <c r="AD40" s="11">
        <f>ROUND(AA40,0)</f>
        <v>12478</v>
      </c>
      <c r="AE40" s="54">
        <f t="shared" si="11"/>
        <v>0</v>
      </c>
      <c r="AF40" s="136"/>
      <c r="AG40" s="474">
        <v>8734.77</v>
      </c>
      <c r="AH40" s="205">
        <f t="shared" si="3"/>
        <v>0.70001362397820166</v>
      </c>
      <c r="AI40" s="504"/>
      <c r="AJ40" s="40"/>
    </row>
    <row r="41" spans="1:36" ht="26.45" customHeight="1" x14ac:dyDescent="0.25">
      <c r="B41" s="2" t="s">
        <v>236</v>
      </c>
      <c r="C41" s="75" t="s">
        <v>81</v>
      </c>
      <c r="D41" s="72" t="s">
        <v>82</v>
      </c>
      <c r="E41" s="345">
        <v>5856</v>
      </c>
      <c r="F41" s="345">
        <f>ROUND(E41,0)</f>
        <v>5856</v>
      </c>
      <c r="G41" s="13">
        <f t="shared" si="2"/>
        <v>0</v>
      </c>
      <c r="H41" s="391"/>
      <c r="I41" s="13">
        <f>ROUND(F41,0)</f>
        <v>5856</v>
      </c>
      <c r="J41" s="13">
        <f t="shared" si="4"/>
        <v>0</v>
      </c>
      <c r="K41" s="134"/>
      <c r="L41" s="13">
        <f>ROUND(I41,0)+23095</f>
        <v>28951</v>
      </c>
      <c r="M41" s="13">
        <f t="shared" si="5"/>
        <v>23095</v>
      </c>
      <c r="N41" s="134" t="s">
        <v>816</v>
      </c>
      <c r="O41" s="13">
        <f>ROUND(L41,0)</f>
        <v>28951</v>
      </c>
      <c r="P41" s="13">
        <f t="shared" si="6"/>
        <v>0</v>
      </c>
      <c r="Q41" s="134"/>
      <c r="R41" s="13">
        <f>ROUND(O41,0)+30205</f>
        <v>59156</v>
      </c>
      <c r="S41" s="13">
        <f t="shared" si="7"/>
        <v>30205</v>
      </c>
      <c r="T41" s="134" t="s">
        <v>882</v>
      </c>
      <c r="U41" s="13">
        <f>ROUND(R41,0)</f>
        <v>59156</v>
      </c>
      <c r="V41" s="13">
        <f t="shared" si="8"/>
        <v>0</v>
      </c>
      <c r="W41" s="134"/>
      <c r="X41" s="13">
        <f>ROUND(U41,0)</f>
        <v>59156</v>
      </c>
      <c r="Y41" s="13">
        <f t="shared" si="9"/>
        <v>0</v>
      </c>
      <c r="Z41" s="134"/>
      <c r="AA41" s="13">
        <f>ROUND(X41,0)+47781</f>
        <v>106937</v>
      </c>
      <c r="AB41" s="13">
        <f t="shared" si="10"/>
        <v>47781</v>
      </c>
      <c r="AC41" s="134" t="s">
        <v>962</v>
      </c>
      <c r="AD41" s="13">
        <f>ROUND(AA41,0)</f>
        <v>106937</v>
      </c>
      <c r="AE41" s="13">
        <f t="shared" si="11"/>
        <v>0</v>
      </c>
      <c r="AF41" s="134"/>
      <c r="AG41" s="517">
        <f>128254.94+18854.13</f>
        <v>147109.07</v>
      </c>
      <c r="AH41" s="199">
        <f t="shared" si="3"/>
        <v>1.3756610901745889</v>
      </c>
      <c r="AI41" s="554" t="s">
        <v>803</v>
      </c>
    </row>
    <row r="42" spans="1:36" ht="31.5" customHeight="1" x14ac:dyDescent="0.25">
      <c r="C42" s="75" t="s">
        <v>85</v>
      </c>
      <c r="D42" s="72" t="s">
        <v>245</v>
      </c>
      <c r="E42" s="345">
        <v>10153512</v>
      </c>
      <c r="F42" s="345">
        <f t="shared" ref="F42" si="24">F43+F66+F87</f>
        <v>10611779</v>
      </c>
      <c r="G42" s="13">
        <f t="shared" si="2"/>
        <v>458267</v>
      </c>
      <c r="H42" s="279"/>
      <c r="I42" s="13">
        <f>I43+I66+I87</f>
        <v>10715183</v>
      </c>
      <c r="J42" s="13">
        <f t="shared" si="4"/>
        <v>103404</v>
      </c>
      <c r="K42" s="13"/>
      <c r="L42" s="13">
        <f>L43+L66+L87</f>
        <v>10765964</v>
      </c>
      <c r="M42" s="13">
        <f t="shared" si="5"/>
        <v>50781</v>
      </c>
      <c r="N42" s="13"/>
      <c r="O42" s="13">
        <f>O43+O66+O87</f>
        <v>10765964</v>
      </c>
      <c r="P42" s="13">
        <f t="shared" si="6"/>
        <v>0</v>
      </c>
      <c r="Q42" s="13"/>
      <c r="R42" s="13">
        <f>R43+R66+R87</f>
        <v>10824662</v>
      </c>
      <c r="S42" s="13">
        <f t="shared" si="7"/>
        <v>58698</v>
      </c>
      <c r="T42" s="13"/>
      <c r="U42" s="13">
        <f>U43+U66+U87</f>
        <v>10941175</v>
      </c>
      <c r="V42" s="13">
        <f t="shared" si="8"/>
        <v>116513</v>
      </c>
      <c r="W42" s="13"/>
      <c r="X42" s="13">
        <f>X43+X66+X87</f>
        <v>11037175</v>
      </c>
      <c r="Y42" s="13">
        <f t="shared" si="9"/>
        <v>96000</v>
      </c>
      <c r="Z42" s="13"/>
      <c r="AA42" s="13">
        <f>AA43+AA66+AA87</f>
        <v>10877493</v>
      </c>
      <c r="AB42" s="13">
        <f t="shared" si="10"/>
        <v>-159682</v>
      </c>
      <c r="AC42" s="279"/>
      <c r="AD42" s="13">
        <f>AD43+AD66+AD87</f>
        <v>10955994</v>
      </c>
      <c r="AE42" s="13">
        <f t="shared" si="11"/>
        <v>78501</v>
      </c>
      <c r="AF42" s="13"/>
      <c r="AG42" s="596">
        <f>AG43+AG66+AG87</f>
        <v>10587234.09</v>
      </c>
      <c r="AH42" s="199">
        <f t="shared" si="3"/>
        <v>0.96634172034048205</v>
      </c>
      <c r="AI42" s="526"/>
    </row>
    <row r="43" spans="1:36" ht="17.45" customHeight="1" x14ac:dyDescent="0.25">
      <c r="B43" s="10"/>
      <c r="C43" s="76" t="s">
        <v>89</v>
      </c>
      <c r="D43" s="293" t="s">
        <v>86</v>
      </c>
      <c r="E43" s="354">
        <v>8993696</v>
      </c>
      <c r="F43" s="354">
        <f t="shared" ref="F43" si="25">SUM(F44:F47)+F50+SUM(F54:F65)</f>
        <v>9340698</v>
      </c>
      <c r="G43" s="51">
        <f t="shared" si="2"/>
        <v>347002</v>
      </c>
      <c r="H43" s="290"/>
      <c r="I43" s="51">
        <f>SUM(I44:I47)+I50+SUM(I54:I65)</f>
        <v>9468249</v>
      </c>
      <c r="J43" s="51">
        <f t="shared" si="4"/>
        <v>127551</v>
      </c>
      <c r="K43" s="51"/>
      <c r="L43" s="51">
        <f>SUM(L44:L47)+L50+SUM(L54:L65)</f>
        <v>9519030</v>
      </c>
      <c r="M43" s="51">
        <f t="shared" si="5"/>
        <v>50781</v>
      </c>
      <c r="N43" s="51"/>
      <c r="O43" s="51">
        <f>SUM(O44:O47)+O50+SUM(O54:O65)</f>
        <v>9519030</v>
      </c>
      <c r="P43" s="51">
        <f t="shared" si="6"/>
        <v>0</v>
      </c>
      <c r="Q43" s="51"/>
      <c r="R43" s="51">
        <f>SUM(R44:R47)+R50+SUM(R54:R65)</f>
        <v>9519030</v>
      </c>
      <c r="S43" s="51">
        <f t="shared" si="7"/>
        <v>0</v>
      </c>
      <c r="T43" s="51"/>
      <c r="U43" s="51">
        <f>SUM(U44:U47)+U50+SUM(U54:U65)</f>
        <v>9635543</v>
      </c>
      <c r="V43" s="51">
        <f t="shared" si="8"/>
        <v>116513</v>
      </c>
      <c r="W43" s="51"/>
      <c r="X43" s="51">
        <f>SUM(X44:X47)+X50+SUM(X54:X65)</f>
        <v>9731543</v>
      </c>
      <c r="Y43" s="51">
        <f t="shared" si="9"/>
        <v>96000</v>
      </c>
      <c r="Z43" s="51"/>
      <c r="AA43" s="51">
        <f>SUM(AA44:AA47)+AA50+SUM(AA54:AA65)</f>
        <v>9715543</v>
      </c>
      <c r="AB43" s="51">
        <f t="shared" si="10"/>
        <v>-16000</v>
      </c>
      <c r="AC43" s="290"/>
      <c r="AD43" s="51">
        <f>SUM(AD44:AD47)+AD50+SUM(AD54:AD65)</f>
        <v>9794044</v>
      </c>
      <c r="AE43" s="51">
        <f t="shared" si="11"/>
        <v>78501</v>
      </c>
      <c r="AF43" s="51"/>
      <c r="AG43" s="597">
        <f>SUM(AG44:AG47)+AG50+SUM(AG54:AG65)</f>
        <v>9580265.959999999</v>
      </c>
      <c r="AH43" s="227">
        <f t="shared" si="3"/>
        <v>0.97817264860153774</v>
      </c>
      <c r="AI43" s="546"/>
    </row>
    <row r="44" spans="1:36" ht="16.899999999999999" customHeight="1" x14ac:dyDescent="0.25">
      <c r="A44" s="2" t="s">
        <v>87</v>
      </c>
      <c r="B44" s="2" t="s">
        <v>88</v>
      </c>
      <c r="C44" s="73" t="s">
        <v>426</v>
      </c>
      <c r="D44" s="70" t="s">
        <v>90</v>
      </c>
      <c r="E44" s="346">
        <v>651116</v>
      </c>
      <c r="F44" s="346">
        <f>ROUND(E44,0)+142597</f>
        <v>793713</v>
      </c>
      <c r="G44" s="11">
        <f t="shared" si="2"/>
        <v>142597</v>
      </c>
      <c r="H44" s="135" t="s">
        <v>738</v>
      </c>
      <c r="I44" s="11">
        <f>ROUND(F44,0)</f>
        <v>793713</v>
      </c>
      <c r="J44" s="11">
        <f t="shared" si="4"/>
        <v>0</v>
      </c>
      <c r="K44" s="135"/>
      <c r="L44" s="11">
        <f>ROUND(I44,0)</f>
        <v>793713</v>
      </c>
      <c r="M44" s="11">
        <f t="shared" si="5"/>
        <v>0</v>
      </c>
      <c r="N44" s="135"/>
      <c r="O44" s="11">
        <f>ROUND(L44,0)</f>
        <v>793713</v>
      </c>
      <c r="P44" s="11">
        <f t="shared" si="6"/>
        <v>0</v>
      </c>
      <c r="Q44" s="135"/>
      <c r="R44" s="11">
        <f>ROUND(O44,0)</f>
        <v>793713</v>
      </c>
      <c r="S44" s="11">
        <f t="shared" si="7"/>
        <v>0</v>
      </c>
      <c r="T44" s="135"/>
      <c r="U44" s="11">
        <f>ROUND(R44,0)-4534</f>
        <v>789179</v>
      </c>
      <c r="V44" s="11">
        <f t="shared" si="8"/>
        <v>-4534</v>
      </c>
      <c r="W44" s="135" t="s">
        <v>916</v>
      </c>
      <c r="X44" s="11">
        <f>ROUND(U44,0)</f>
        <v>789179</v>
      </c>
      <c r="Y44" s="11">
        <f t="shared" si="9"/>
        <v>0</v>
      </c>
      <c r="Z44" s="135"/>
      <c r="AA44" s="11">
        <f>ROUND(X44,0)</f>
        <v>789179</v>
      </c>
      <c r="AB44" s="11">
        <f t="shared" si="10"/>
        <v>0</v>
      </c>
      <c r="AC44" s="392"/>
      <c r="AD44" s="11">
        <f>ROUND(AA44,0)</f>
        <v>789179</v>
      </c>
      <c r="AE44" s="11">
        <f t="shared" si="11"/>
        <v>0</v>
      </c>
      <c r="AF44" s="135"/>
      <c r="AG44" s="474">
        <v>801688</v>
      </c>
      <c r="AH44" s="200">
        <f t="shared" si="3"/>
        <v>1.0158506498525683</v>
      </c>
      <c r="AI44" s="504"/>
    </row>
    <row r="45" spans="1:36" ht="13.9" customHeight="1" x14ac:dyDescent="0.25">
      <c r="A45" s="2" t="s">
        <v>87</v>
      </c>
      <c r="B45" s="56" t="s">
        <v>91</v>
      </c>
      <c r="C45" s="73" t="s">
        <v>427</v>
      </c>
      <c r="D45" s="70" t="s">
        <v>93</v>
      </c>
      <c r="E45" s="346">
        <v>314606</v>
      </c>
      <c r="F45" s="346">
        <f>ROUND(E45,0)</f>
        <v>314606</v>
      </c>
      <c r="G45" s="11">
        <f t="shared" si="2"/>
        <v>0</v>
      </c>
      <c r="H45" s="384"/>
      <c r="I45" s="11">
        <f>ROUND(F45,0)-22981</f>
        <v>291625</v>
      </c>
      <c r="J45" s="11">
        <f t="shared" si="4"/>
        <v>-22981</v>
      </c>
      <c r="K45" s="127" t="s">
        <v>769</v>
      </c>
      <c r="L45" s="11">
        <f>ROUND(I45,0)</f>
        <v>291625</v>
      </c>
      <c r="M45" s="11">
        <f t="shared" si="5"/>
        <v>0</v>
      </c>
      <c r="N45" s="127"/>
      <c r="O45" s="11">
        <f>ROUND(L45,0)</f>
        <v>291625</v>
      </c>
      <c r="P45" s="11">
        <f t="shared" si="6"/>
        <v>0</v>
      </c>
      <c r="Q45" s="127"/>
      <c r="R45" s="11">
        <f>ROUND(O45,0)</f>
        <v>291625</v>
      </c>
      <c r="S45" s="11">
        <f t="shared" si="7"/>
        <v>0</v>
      </c>
      <c r="T45" s="127"/>
      <c r="U45" s="11">
        <f>ROUND(R45,0)+3904</f>
        <v>295529</v>
      </c>
      <c r="V45" s="11">
        <f t="shared" si="8"/>
        <v>3904</v>
      </c>
      <c r="W45" s="127" t="s">
        <v>921</v>
      </c>
      <c r="X45" s="11">
        <f>ROUND(U45,0)</f>
        <v>295529</v>
      </c>
      <c r="Y45" s="11">
        <f t="shared" si="9"/>
        <v>0</v>
      </c>
      <c r="Z45" s="127"/>
      <c r="AA45" s="11">
        <f>ROUND(X45,0)</f>
        <v>295529</v>
      </c>
      <c r="AB45" s="11">
        <f t="shared" si="10"/>
        <v>0</v>
      </c>
      <c r="AC45" s="384"/>
      <c r="AD45" s="11">
        <f>ROUND(AA45,0)</f>
        <v>295529</v>
      </c>
      <c r="AE45" s="11">
        <f t="shared" si="11"/>
        <v>0</v>
      </c>
      <c r="AF45" s="127"/>
      <c r="AG45" s="474">
        <v>295529</v>
      </c>
      <c r="AH45" s="200">
        <f t="shared" si="3"/>
        <v>1</v>
      </c>
      <c r="AI45" s="504"/>
    </row>
    <row r="46" spans="1:36" ht="46.15" customHeight="1" x14ac:dyDescent="0.25">
      <c r="B46" s="50" t="s">
        <v>262</v>
      </c>
      <c r="C46" s="73" t="s">
        <v>428</v>
      </c>
      <c r="D46" s="70" t="s">
        <v>94</v>
      </c>
      <c r="E46" s="346">
        <v>249276</v>
      </c>
      <c r="F46" s="346">
        <f>ROUND(E46,0)</f>
        <v>249276</v>
      </c>
      <c r="G46" s="11">
        <f t="shared" si="2"/>
        <v>0</v>
      </c>
      <c r="H46" s="392"/>
      <c r="I46" s="11">
        <f>ROUND(F46,0)</f>
        <v>249276</v>
      </c>
      <c r="J46" s="11">
        <f t="shared" si="4"/>
        <v>0</v>
      </c>
      <c r="K46" s="135"/>
      <c r="L46" s="11">
        <f>ROUND(I46,0)</f>
        <v>249276</v>
      </c>
      <c r="M46" s="11">
        <f t="shared" si="5"/>
        <v>0</v>
      </c>
      <c r="N46" s="135"/>
      <c r="O46" s="11">
        <f>ROUND(L46,0)</f>
        <v>249276</v>
      </c>
      <c r="P46" s="11">
        <f t="shared" si="6"/>
        <v>0</v>
      </c>
      <c r="Q46" s="135"/>
      <c r="R46" s="11">
        <f>ROUND(O46,0)</f>
        <v>249276</v>
      </c>
      <c r="S46" s="11">
        <f t="shared" si="7"/>
        <v>0</v>
      </c>
      <c r="T46" s="135"/>
      <c r="U46" s="11">
        <f>ROUND(R46,0)</f>
        <v>249276</v>
      </c>
      <c r="V46" s="11">
        <f t="shared" si="8"/>
        <v>0</v>
      </c>
      <c r="W46" s="135"/>
      <c r="X46" s="11">
        <f>ROUND(U46,0)+53000+28000+15000</f>
        <v>345276</v>
      </c>
      <c r="Y46" s="11">
        <f t="shared" si="9"/>
        <v>96000</v>
      </c>
      <c r="Z46" s="135" t="s">
        <v>949</v>
      </c>
      <c r="AA46" s="11">
        <f>ROUND(X46,0)</f>
        <v>345276</v>
      </c>
      <c r="AB46" s="11">
        <f t="shared" si="10"/>
        <v>0</v>
      </c>
      <c r="AC46" s="392"/>
      <c r="AD46" s="11">
        <f>ROUND(AA46,0)</f>
        <v>345276</v>
      </c>
      <c r="AE46" s="11">
        <f t="shared" si="11"/>
        <v>0</v>
      </c>
      <c r="AF46" s="135"/>
      <c r="AG46" s="474">
        <f>266603.6+39694.17</f>
        <v>306297.76999999996</v>
      </c>
      <c r="AH46" s="200">
        <f t="shared" si="3"/>
        <v>0.88710993524021353</v>
      </c>
      <c r="AI46" s="504"/>
    </row>
    <row r="47" spans="1:36" ht="14.25" customHeight="1" x14ac:dyDescent="0.25">
      <c r="A47" s="2" t="s">
        <v>87</v>
      </c>
      <c r="B47" s="56" t="s">
        <v>95</v>
      </c>
      <c r="C47" s="73" t="s">
        <v>429</v>
      </c>
      <c r="D47" s="70" t="s">
        <v>480</v>
      </c>
      <c r="E47" s="11">
        <v>0</v>
      </c>
      <c r="F47" s="346">
        <f t="shared" ref="F47" si="26">F48+F49</f>
        <v>0</v>
      </c>
      <c r="G47" s="11">
        <f t="shared" si="2"/>
        <v>0</v>
      </c>
      <c r="H47" s="12"/>
      <c r="I47" s="11">
        <f>I48+I49</f>
        <v>112839</v>
      </c>
      <c r="J47" s="11">
        <f t="shared" si="4"/>
        <v>112839</v>
      </c>
      <c r="K47" s="11" t="s">
        <v>784</v>
      </c>
      <c r="L47" s="11">
        <f>L48+L49</f>
        <v>112839</v>
      </c>
      <c r="M47" s="11">
        <f t="shared" si="5"/>
        <v>0</v>
      </c>
      <c r="N47" s="11"/>
      <c r="O47" s="11">
        <f>O48+O49</f>
        <v>112839</v>
      </c>
      <c r="P47" s="11">
        <f t="shared" si="6"/>
        <v>0</v>
      </c>
      <c r="Q47" s="11"/>
      <c r="R47" s="11">
        <f>R48+R49</f>
        <v>112839</v>
      </c>
      <c r="S47" s="11">
        <f t="shared" si="7"/>
        <v>0</v>
      </c>
      <c r="T47" s="11"/>
      <c r="U47" s="11">
        <f>U48+U49</f>
        <v>112839</v>
      </c>
      <c r="V47" s="11">
        <f t="shared" si="8"/>
        <v>0</v>
      </c>
      <c r="W47" s="11"/>
      <c r="X47" s="11">
        <f>X48+X49</f>
        <v>112839</v>
      </c>
      <c r="Y47" s="11">
        <f t="shared" si="9"/>
        <v>0</v>
      </c>
      <c r="Z47" s="11"/>
      <c r="AA47" s="11">
        <f>AA48+AA49</f>
        <v>112839</v>
      </c>
      <c r="AB47" s="11">
        <f t="shared" si="10"/>
        <v>0</v>
      </c>
      <c r="AC47" s="12"/>
      <c r="AD47" s="11">
        <f>AD48+AD49</f>
        <v>114340</v>
      </c>
      <c r="AE47" s="11">
        <f t="shared" si="11"/>
        <v>1501</v>
      </c>
      <c r="AF47" s="11"/>
      <c r="AG47" s="474">
        <f>AG48</f>
        <v>112837.57</v>
      </c>
      <c r="AH47" s="200">
        <f t="shared" si="3"/>
        <v>0.98685997900997036</v>
      </c>
      <c r="AI47" s="474"/>
    </row>
    <row r="48" spans="1:36" ht="31.5" customHeight="1" x14ac:dyDescent="0.25">
      <c r="B48" s="56"/>
      <c r="C48" s="73" t="s">
        <v>477</v>
      </c>
      <c r="D48" s="74" t="s">
        <v>479</v>
      </c>
      <c r="E48" s="343"/>
      <c r="F48" s="352"/>
      <c r="G48" s="93">
        <f t="shared" si="2"/>
        <v>0</v>
      </c>
      <c r="H48" s="276"/>
      <c r="I48" s="93">
        <f>3025+2989+4538+2468+7380+112+71355+538+851+19583</f>
        <v>112839</v>
      </c>
      <c r="J48" s="93">
        <f t="shared" si="4"/>
        <v>112839</v>
      </c>
      <c r="K48" s="137"/>
      <c r="L48" s="93">
        <f>ROUND(I48,0)</f>
        <v>112839</v>
      </c>
      <c r="M48" s="93">
        <f t="shared" si="5"/>
        <v>0</v>
      </c>
      <c r="N48" s="137"/>
      <c r="O48" s="11">
        <f>ROUND(L48,0)</f>
        <v>112839</v>
      </c>
      <c r="P48" s="93">
        <f t="shared" si="6"/>
        <v>0</v>
      </c>
      <c r="Q48" s="137"/>
      <c r="R48" s="11">
        <f>ROUND(O48,0)</f>
        <v>112839</v>
      </c>
      <c r="S48" s="93">
        <f t="shared" si="7"/>
        <v>0</v>
      </c>
      <c r="T48" s="137"/>
      <c r="U48" s="11">
        <f>ROUND(R48,0)</f>
        <v>112839</v>
      </c>
      <c r="V48" s="93">
        <f t="shared" si="8"/>
        <v>0</v>
      </c>
      <c r="W48" s="137"/>
      <c r="X48" s="11">
        <f>ROUND(U48,0)</f>
        <v>112839</v>
      </c>
      <c r="Y48" s="93">
        <f t="shared" si="9"/>
        <v>0</v>
      </c>
      <c r="Z48" s="137"/>
      <c r="AA48" s="11">
        <f>ROUND(X48,0)</f>
        <v>112839</v>
      </c>
      <c r="AB48" s="93">
        <f t="shared" si="10"/>
        <v>0</v>
      </c>
      <c r="AC48" s="276"/>
      <c r="AD48" s="11">
        <f>ROUND(AA48,0)+1501</f>
        <v>114340</v>
      </c>
      <c r="AE48" s="93">
        <f t="shared" si="11"/>
        <v>1501</v>
      </c>
      <c r="AF48" s="137" t="s">
        <v>984</v>
      </c>
      <c r="AG48" s="474">
        <v>112837.57</v>
      </c>
      <c r="AH48" s="200">
        <f t="shared" si="3"/>
        <v>0.98685997900997036</v>
      </c>
      <c r="AI48" s="504"/>
    </row>
    <row r="49" spans="1:35" ht="17.45" customHeight="1" x14ac:dyDescent="0.25">
      <c r="B49" s="56"/>
      <c r="C49" s="73" t="s">
        <v>478</v>
      </c>
      <c r="D49" s="74" t="s">
        <v>481</v>
      </c>
      <c r="E49" s="343"/>
      <c r="F49" s="352"/>
      <c r="G49" s="93">
        <f t="shared" si="2"/>
        <v>0</v>
      </c>
      <c r="H49" s="276"/>
      <c r="I49" s="93"/>
      <c r="J49" s="93">
        <f t="shared" si="4"/>
        <v>0</v>
      </c>
      <c r="K49" s="137"/>
      <c r="L49" s="93">
        <f>ROUND(I49,0)</f>
        <v>0</v>
      </c>
      <c r="M49" s="93">
        <f t="shared" si="5"/>
        <v>0</v>
      </c>
      <c r="N49" s="137"/>
      <c r="O49" s="93"/>
      <c r="P49" s="93">
        <f t="shared" si="6"/>
        <v>0</v>
      </c>
      <c r="Q49" s="137"/>
      <c r="R49" s="93"/>
      <c r="S49" s="93">
        <f t="shared" si="7"/>
        <v>0</v>
      </c>
      <c r="T49" s="137"/>
      <c r="U49" s="93"/>
      <c r="V49" s="93">
        <f t="shared" si="8"/>
        <v>0</v>
      </c>
      <c r="W49" s="137"/>
      <c r="X49" s="93"/>
      <c r="Y49" s="93">
        <f t="shared" si="9"/>
        <v>0</v>
      </c>
      <c r="Z49" s="137"/>
      <c r="AA49" s="93"/>
      <c r="AB49" s="93">
        <f t="shared" si="10"/>
        <v>0</v>
      </c>
      <c r="AC49" s="276"/>
      <c r="AD49" s="93"/>
      <c r="AE49" s="93">
        <f t="shared" si="11"/>
        <v>0</v>
      </c>
      <c r="AF49" s="137"/>
      <c r="AG49" s="504">
        <v>0</v>
      </c>
      <c r="AH49" s="200" t="e">
        <f t="shared" si="3"/>
        <v>#DIV/0!</v>
      </c>
      <c r="AI49" s="504"/>
    </row>
    <row r="50" spans="1:35" ht="13.9" customHeight="1" x14ac:dyDescent="0.25">
      <c r="B50" s="2" t="s">
        <v>96</v>
      </c>
      <c r="C50" s="73" t="s">
        <v>430</v>
      </c>
      <c r="D50" s="70" t="s">
        <v>97</v>
      </c>
      <c r="E50" s="349">
        <v>6510554</v>
      </c>
      <c r="F50" s="349">
        <f>F51+F52+F53</f>
        <v>6646187</v>
      </c>
      <c r="G50" s="46">
        <f t="shared" si="2"/>
        <v>135633</v>
      </c>
      <c r="H50" s="394"/>
      <c r="I50" s="46">
        <f>I51+I52+I53</f>
        <v>6646187</v>
      </c>
      <c r="J50" s="46">
        <f t="shared" si="4"/>
        <v>0</v>
      </c>
      <c r="K50" s="138"/>
      <c r="L50" s="46">
        <f>L51+L52+L53</f>
        <v>6646187</v>
      </c>
      <c r="M50" s="46">
        <f t="shared" si="5"/>
        <v>0</v>
      </c>
      <c r="N50" s="138"/>
      <c r="O50" s="46">
        <f>O51+O52+O53</f>
        <v>6646187</v>
      </c>
      <c r="P50" s="46">
        <f t="shared" si="6"/>
        <v>0</v>
      </c>
      <c r="Q50" s="138"/>
      <c r="R50" s="46">
        <f>R51+R52+R53</f>
        <v>6646187</v>
      </c>
      <c r="S50" s="46">
        <f t="shared" si="7"/>
        <v>0</v>
      </c>
      <c r="T50" s="138"/>
      <c r="U50" s="46">
        <f>U51+U52+U53</f>
        <v>6727374</v>
      </c>
      <c r="V50" s="46">
        <f t="shared" si="8"/>
        <v>81187</v>
      </c>
      <c r="W50" s="138" t="s">
        <v>916</v>
      </c>
      <c r="X50" s="46">
        <f>X51+X52+X53</f>
        <v>6727374</v>
      </c>
      <c r="Y50" s="46">
        <f t="shared" si="9"/>
        <v>0</v>
      </c>
      <c r="Z50" s="138"/>
      <c r="AA50" s="46">
        <f>AA51+AA52+AA53</f>
        <v>6727374</v>
      </c>
      <c r="AB50" s="46">
        <f t="shared" si="10"/>
        <v>0</v>
      </c>
      <c r="AC50" s="394"/>
      <c r="AD50" s="46">
        <f>AD51+AD52+AD53</f>
        <v>6727374</v>
      </c>
      <c r="AE50" s="46">
        <f t="shared" si="11"/>
        <v>0</v>
      </c>
      <c r="AF50" s="138"/>
      <c r="AG50" s="581">
        <f>AG51+AG52+AG53</f>
        <v>6726788.9899999993</v>
      </c>
      <c r="AH50" s="206">
        <f t="shared" si="3"/>
        <v>0.99991304036314899</v>
      </c>
      <c r="AI50" s="555"/>
    </row>
    <row r="51" spans="1:35" s="16" customFormat="1" x14ac:dyDescent="0.25">
      <c r="A51" s="2" t="s">
        <v>87</v>
      </c>
      <c r="B51" s="56" t="s">
        <v>98</v>
      </c>
      <c r="C51" s="73" t="s">
        <v>431</v>
      </c>
      <c r="D51" s="74" t="s">
        <v>99</v>
      </c>
      <c r="E51" s="348">
        <v>1100762</v>
      </c>
      <c r="F51" s="348">
        <f t="shared" ref="F51:F64" si="27">ROUND(E51,0)</f>
        <v>1100762</v>
      </c>
      <c r="G51" s="15">
        <f t="shared" si="2"/>
        <v>0</v>
      </c>
      <c r="H51" s="395"/>
      <c r="I51" s="15">
        <f t="shared" ref="I51:I58" si="28">ROUND(F51,0)</f>
        <v>1100762</v>
      </c>
      <c r="J51" s="15">
        <f t="shared" si="4"/>
        <v>0</v>
      </c>
      <c r="K51" s="139"/>
      <c r="L51" s="15">
        <f t="shared" ref="L51:L58" si="29">ROUND(I51,0)</f>
        <v>1100762</v>
      </c>
      <c r="M51" s="15">
        <f t="shared" si="5"/>
        <v>0</v>
      </c>
      <c r="N51" s="139"/>
      <c r="O51" s="15">
        <f t="shared" ref="O51:O58" si="30">ROUND(L51,0)</f>
        <v>1100762</v>
      </c>
      <c r="P51" s="15">
        <f t="shared" si="6"/>
        <v>0</v>
      </c>
      <c r="Q51" s="139"/>
      <c r="R51" s="15">
        <f t="shared" ref="R51:R58" si="31">ROUND(O51,0)</f>
        <v>1100762</v>
      </c>
      <c r="S51" s="15">
        <f t="shared" si="7"/>
        <v>0</v>
      </c>
      <c r="T51" s="139"/>
      <c r="U51" s="15">
        <f>ROUND(R51,0)-15145+33858-18775-2065-5439-13078</f>
        <v>1080118</v>
      </c>
      <c r="V51" s="15">
        <f t="shared" si="8"/>
        <v>-20644</v>
      </c>
      <c r="W51" s="139"/>
      <c r="X51" s="15">
        <f t="shared" ref="X51:X58" si="32">ROUND(U51,0)</f>
        <v>1080118</v>
      </c>
      <c r="Y51" s="15">
        <f t="shared" si="9"/>
        <v>0</v>
      </c>
      <c r="Z51" s="139"/>
      <c r="AA51" s="15">
        <f t="shared" ref="AA51:AA58" si="33">ROUND(X51,0)</f>
        <v>1080118</v>
      </c>
      <c r="AB51" s="15">
        <f t="shared" si="10"/>
        <v>0</v>
      </c>
      <c r="AC51" s="395"/>
      <c r="AD51" s="15">
        <f t="shared" ref="AD51:AD58" si="34">ROUND(AA51,0)</f>
        <v>1080118</v>
      </c>
      <c r="AE51" s="15">
        <f t="shared" si="11"/>
        <v>0</v>
      </c>
      <c r="AF51" s="139"/>
      <c r="AG51" s="582">
        <v>1079879.47</v>
      </c>
      <c r="AH51" s="207">
        <f t="shared" si="3"/>
        <v>0.99977916301737402</v>
      </c>
      <c r="AI51" s="544"/>
    </row>
    <row r="52" spans="1:35" s="16" customFormat="1" x14ac:dyDescent="0.25">
      <c r="A52" s="2" t="s">
        <v>87</v>
      </c>
      <c r="B52" s="56" t="s">
        <v>100</v>
      </c>
      <c r="C52" s="73" t="s">
        <v>432</v>
      </c>
      <c r="D52" s="74" t="s">
        <v>278</v>
      </c>
      <c r="E52" s="348">
        <v>5092428</v>
      </c>
      <c r="F52" s="348">
        <f>ROUND(E52,0)+17418</f>
        <v>5109846</v>
      </c>
      <c r="G52" s="15">
        <f t="shared" si="2"/>
        <v>17418</v>
      </c>
      <c r="H52" s="449" t="s">
        <v>738</v>
      </c>
      <c r="I52" s="15">
        <f t="shared" si="28"/>
        <v>5109846</v>
      </c>
      <c r="J52" s="15">
        <f t="shared" si="4"/>
        <v>0</v>
      </c>
      <c r="K52" s="139"/>
      <c r="L52" s="15">
        <f t="shared" si="29"/>
        <v>5109846</v>
      </c>
      <c r="M52" s="15">
        <f t="shared" si="5"/>
        <v>0</v>
      </c>
      <c r="N52" s="139"/>
      <c r="O52" s="15">
        <f t="shared" si="30"/>
        <v>5109846</v>
      </c>
      <c r="P52" s="15">
        <f t="shared" si="6"/>
        <v>0</v>
      </c>
      <c r="Q52" s="139"/>
      <c r="R52" s="15">
        <f t="shared" si="31"/>
        <v>5109846</v>
      </c>
      <c r="S52" s="15">
        <f t="shared" si="7"/>
        <v>0</v>
      </c>
      <c r="T52" s="139"/>
      <c r="U52" s="15">
        <f>ROUND(R52,0)+(14311-2258)+85381</f>
        <v>5207280</v>
      </c>
      <c r="V52" s="15">
        <f t="shared" si="8"/>
        <v>97434</v>
      </c>
      <c r="W52" s="139"/>
      <c r="X52" s="15">
        <f t="shared" si="32"/>
        <v>5207280</v>
      </c>
      <c r="Y52" s="15">
        <f t="shared" si="9"/>
        <v>0</v>
      </c>
      <c r="Z52" s="139"/>
      <c r="AA52" s="15">
        <f t="shared" si="33"/>
        <v>5207280</v>
      </c>
      <c r="AB52" s="15">
        <f t="shared" si="10"/>
        <v>0</v>
      </c>
      <c r="AC52" s="395"/>
      <c r="AD52" s="15">
        <f t="shared" si="34"/>
        <v>5207280</v>
      </c>
      <c r="AE52" s="15">
        <f t="shared" si="11"/>
        <v>0</v>
      </c>
      <c r="AF52" s="139"/>
      <c r="AG52" s="612">
        <v>5646909.5199999996</v>
      </c>
      <c r="AH52" s="614">
        <f t="shared" si="3"/>
        <v>1.0844259421425388</v>
      </c>
      <c r="AI52" s="544"/>
    </row>
    <row r="53" spans="1:35" s="16" customFormat="1" x14ac:dyDescent="0.25">
      <c r="A53" s="2" t="s">
        <v>87</v>
      </c>
      <c r="B53" s="2"/>
      <c r="C53" s="73" t="s">
        <v>433</v>
      </c>
      <c r="D53" s="74" t="s">
        <v>279</v>
      </c>
      <c r="E53" s="348">
        <v>317364</v>
      </c>
      <c r="F53" s="348">
        <f>ROUND(E53,0)-44403+110614+52004</f>
        <v>435579</v>
      </c>
      <c r="G53" s="140">
        <f t="shared" si="2"/>
        <v>118215</v>
      </c>
      <c r="H53" s="449" t="s">
        <v>738</v>
      </c>
      <c r="I53" s="15">
        <f t="shared" si="28"/>
        <v>435579</v>
      </c>
      <c r="J53" s="140">
        <f t="shared" si="4"/>
        <v>0</v>
      </c>
      <c r="K53" s="141"/>
      <c r="L53" s="15">
        <f t="shared" si="29"/>
        <v>435579</v>
      </c>
      <c r="M53" s="140">
        <f t="shared" si="5"/>
        <v>0</v>
      </c>
      <c r="N53" s="141"/>
      <c r="O53" s="15">
        <f t="shared" si="30"/>
        <v>435579</v>
      </c>
      <c r="P53" s="140">
        <f t="shared" si="6"/>
        <v>0</v>
      </c>
      <c r="Q53" s="141"/>
      <c r="R53" s="15">
        <f t="shared" si="31"/>
        <v>435579</v>
      </c>
      <c r="S53" s="140">
        <f t="shared" si="7"/>
        <v>0</v>
      </c>
      <c r="T53" s="141"/>
      <c r="U53" s="15">
        <f>ROUND(R53,0)-4668-2660+30088-18363</f>
        <v>439976</v>
      </c>
      <c r="V53" s="140">
        <f t="shared" si="8"/>
        <v>4397</v>
      </c>
      <c r="W53" s="141"/>
      <c r="X53" s="15">
        <f t="shared" si="32"/>
        <v>439976</v>
      </c>
      <c r="Y53" s="15">
        <f t="shared" si="9"/>
        <v>0</v>
      </c>
      <c r="Z53" s="139"/>
      <c r="AA53" s="15">
        <f t="shared" si="33"/>
        <v>439976</v>
      </c>
      <c r="AB53" s="15">
        <f t="shared" si="10"/>
        <v>0</v>
      </c>
      <c r="AC53" s="395"/>
      <c r="AD53" s="15">
        <f t="shared" si="34"/>
        <v>439976</v>
      </c>
      <c r="AE53" s="15">
        <f t="shared" si="11"/>
        <v>0</v>
      </c>
      <c r="AF53" s="139"/>
      <c r="AG53" s="613"/>
      <c r="AH53" s="615">
        <f t="shared" si="3"/>
        <v>0</v>
      </c>
      <c r="AI53" s="544"/>
    </row>
    <row r="54" spans="1:35" ht="31.5" customHeight="1" x14ac:dyDescent="0.25">
      <c r="A54" s="2" t="s">
        <v>87</v>
      </c>
      <c r="B54" s="2" t="s">
        <v>101</v>
      </c>
      <c r="C54" s="73" t="s">
        <v>434</v>
      </c>
      <c r="D54" s="70" t="s">
        <v>257</v>
      </c>
      <c r="E54" s="346">
        <v>13088</v>
      </c>
      <c r="F54" s="346">
        <f t="shared" si="27"/>
        <v>13088</v>
      </c>
      <c r="G54" s="11">
        <f t="shared" si="2"/>
        <v>0</v>
      </c>
      <c r="H54" s="387"/>
      <c r="I54" s="11">
        <f t="shared" si="28"/>
        <v>13088</v>
      </c>
      <c r="J54" s="11">
        <f t="shared" si="4"/>
        <v>0</v>
      </c>
      <c r="K54" s="130"/>
      <c r="L54" s="11">
        <f t="shared" si="29"/>
        <v>13088</v>
      </c>
      <c r="M54" s="11">
        <f t="shared" si="5"/>
        <v>0</v>
      </c>
      <c r="N54" s="130"/>
      <c r="O54" s="11">
        <f t="shared" si="30"/>
        <v>13088</v>
      </c>
      <c r="P54" s="11">
        <f t="shared" si="6"/>
        <v>0</v>
      </c>
      <c r="Q54" s="130"/>
      <c r="R54" s="11">
        <f t="shared" si="31"/>
        <v>13088</v>
      </c>
      <c r="S54" s="11">
        <f t="shared" si="7"/>
        <v>0</v>
      </c>
      <c r="T54" s="130"/>
      <c r="U54" s="11">
        <f>ROUND(R54,0)+7079+7679</f>
        <v>27846</v>
      </c>
      <c r="V54" s="11">
        <f t="shared" si="8"/>
        <v>14758</v>
      </c>
      <c r="W54" s="127" t="s">
        <v>943</v>
      </c>
      <c r="X54" s="11">
        <f t="shared" si="32"/>
        <v>27846</v>
      </c>
      <c r="Y54" s="11">
        <f t="shared" si="9"/>
        <v>0</v>
      </c>
      <c r="Z54" s="127"/>
      <c r="AA54" s="11">
        <f t="shared" si="33"/>
        <v>27846</v>
      </c>
      <c r="AB54" s="11">
        <f t="shared" si="10"/>
        <v>0</v>
      </c>
      <c r="AC54" s="384"/>
      <c r="AD54" s="11">
        <f t="shared" si="34"/>
        <v>27846</v>
      </c>
      <c r="AE54" s="11">
        <f t="shared" si="11"/>
        <v>0</v>
      </c>
      <c r="AF54" s="127"/>
      <c r="AG54" s="474">
        <f>16006.98+10529.02</f>
        <v>26536</v>
      </c>
      <c r="AH54" s="200">
        <f t="shared" si="3"/>
        <v>0.95295554119083525</v>
      </c>
      <c r="AI54" s="504"/>
    </row>
    <row r="55" spans="1:35" ht="19.149999999999999" customHeight="1" x14ac:dyDescent="0.25">
      <c r="A55" s="2" t="s">
        <v>87</v>
      </c>
      <c r="B55" s="56" t="s">
        <v>102</v>
      </c>
      <c r="C55" s="73" t="s">
        <v>435</v>
      </c>
      <c r="D55" s="70" t="s">
        <v>296</v>
      </c>
      <c r="E55" s="346">
        <v>14485</v>
      </c>
      <c r="F55" s="346">
        <f>ROUND(E55,0)</f>
        <v>14485</v>
      </c>
      <c r="G55" s="11">
        <f t="shared" si="2"/>
        <v>0</v>
      </c>
      <c r="H55" s="384"/>
      <c r="I55" s="11">
        <f>ROUND(F55,0)+26175</f>
        <v>40660</v>
      </c>
      <c r="J55" s="11">
        <f t="shared" si="4"/>
        <v>26175</v>
      </c>
      <c r="K55" s="127" t="s">
        <v>772</v>
      </c>
      <c r="L55" s="11">
        <f t="shared" si="29"/>
        <v>40660</v>
      </c>
      <c r="M55" s="11">
        <f t="shared" si="5"/>
        <v>0</v>
      </c>
      <c r="N55" s="127"/>
      <c r="O55" s="11">
        <f t="shared" si="30"/>
        <v>40660</v>
      </c>
      <c r="P55" s="11">
        <f t="shared" si="6"/>
        <v>0</v>
      </c>
      <c r="Q55" s="127"/>
      <c r="R55" s="11">
        <f t="shared" si="31"/>
        <v>40660</v>
      </c>
      <c r="S55" s="11">
        <f t="shared" si="7"/>
        <v>0</v>
      </c>
      <c r="T55" s="127"/>
      <c r="U55" s="11">
        <f>ROUND(R55,0)</f>
        <v>40660</v>
      </c>
      <c r="V55" s="11">
        <f t="shared" si="8"/>
        <v>0</v>
      </c>
      <c r="W55" s="127"/>
      <c r="X55" s="11">
        <f t="shared" si="32"/>
        <v>40660</v>
      </c>
      <c r="Y55" s="11">
        <f t="shared" si="9"/>
        <v>0</v>
      </c>
      <c r="Z55" s="127"/>
      <c r="AA55" s="11">
        <f t="shared" si="33"/>
        <v>40660</v>
      </c>
      <c r="AB55" s="11">
        <f t="shared" si="10"/>
        <v>0</v>
      </c>
      <c r="AC55" s="384"/>
      <c r="AD55" s="11">
        <f t="shared" si="34"/>
        <v>40660</v>
      </c>
      <c r="AE55" s="11">
        <f t="shared" si="11"/>
        <v>0</v>
      </c>
      <c r="AF55" s="127"/>
      <c r="AG55" s="616">
        <v>47414.18</v>
      </c>
      <c r="AH55" s="608">
        <f t="shared" si="3"/>
        <v>1.1661136251844564</v>
      </c>
      <c r="AI55" s="556"/>
    </row>
    <row r="56" spans="1:35" ht="19.149999999999999" customHeight="1" x14ac:dyDescent="0.25">
      <c r="B56" s="56"/>
      <c r="C56" s="73" t="s">
        <v>436</v>
      </c>
      <c r="D56" s="70" t="s">
        <v>337</v>
      </c>
      <c r="E56" s="346">
        <v>3668</v>
      </c>
      <c r="F56" s="346">
        <f>ROUND(E56,0)</f>
        <v>3668</v>
      </c>
      <c r="G56" s="93">
        <f t="shared" si="2"/>
        <v>0</v>
      </c>
      <c r="H56" s="384"/>
      <c r="I56" s="11">
        <f>ROUND(F56,0)+7552</f>
        <v>11220</v>
      </c>
      <c r="J56" s="93">
        <f t="shared" si="4"/>
        <v>7552</v>
      </c>
      <c r="K56" s="127" t="s">
        <v>772</v>
      </c>
      <c r="L56" s="11">
        <f t="shared" si="29"/>
        <v>11220</v>
      </c>
      <c r="M56" s="93">
        <f t="shared" si="5"/>
        <v>0</v>
      </c>
      <c r="N56" s="127"/>
      <c r="O56" s="11">
        <f t="shared" si="30"/>
        <v>11220</v>
      </c>
      <c r="P56" s="93">
        <f t="shared" si="6"/>
        <v>0</v>
      </c>
      <c r="Q56" s="127"/>
      <c r="R56" s="11">
        <f t="shared" si="31"/>
        <v>11220</v>
      </c>
      <c r="S56" s="93">
        <f t="shared" si="7"/>
        <v>0</v>
      </c>
      <c r="T56" s="127"/>
      <c r="U56" s="11">
        <f>ROUND(R56,0)</f>
        <v>11220</v>
      </c>
      <c r="V56" s="93">
        <f t="shared" si="8"/>
        <v>0</v>
      </c>
      <c r="W56" s="127"/>
      <c r="X56" s="11">
        <f t="shared" si="32"/>
        <v>11220</v>
      </c>
      <c r="Y56" s="93">
        <f t="shared" si="9"/>
        <v>0</v>
      </c>
      <c r="Z56" s="127"/>
      <c r="AA56" s="11">
        <f t="shared" si="33"/>
        <v>11220</v>
      </c>
      <c r="AB56" s="93">
        <f t="shared" si="10"/>
        <v>0</v>
      </c>
      <c r="AC56" s="384"/>
      <c r="AD56" s="11">
        <f t="shared" si="34"/>
        <v>11220</v>
      </c>
      <c r="AE56" s="93">
        <f t="shared" si="11"/>
        <v>0</v>
      </c>
      <c r="AF56" s="127"/>
      <c r="AG56" s="617"/>
      <c r="AH56" s="609">
        <f t="shared" si="3"/>
        <v>0</v>
      </c>
      <c r="AI56" s="556"/>
    </row>
    <row r="57" spans="1:35" ht="17.25" customHeight="1" x14ac:dyDescent="0.25">
      <c r="B57" s="2" t="s">
        <v>103</v>
      </c>
      <c r="C57" s="73" t="s">
        <v>437</v>
      </c>
      <c r="D57" s="70" t="s">
        <v>104</v>
      </c>
      <c r="E57" s="346">
        <v>501000</v>
      </c>
      <c r="F57" s="346">
        <f t="shared" si="27"/>
        <v>501000</v>
      </c>
      <c r="G57" s="11">
        <f t="shared" si="2"/>
        <v>0</v>
      </c>
      <c r="H57" s="392"/>
      <c r="I57" s="11">
        <f t="shared" si="28"/>
        <v>501000</v>
      </c>
      <c r="J57" s="11">
        <f t="shared" si="4"/>
        <v>0</v>
      </c>
      <c r="K57" s="135"/>
      <c r="L57" s="11">
        <f t="shared" si="29"/>
        <v>501000</v>
      </c>
      <c r="M57" s="11">
        <f t="shared" si="5"/>
        <v>0</v>
      </c>
      <c r="N57" s="135"/>
      <c r="O57" s="11">
        <f t="shared" si="30"/>
        <v>501000</v>
      </c>
      <c r="P57" s="11">
        <f t="shared" si="6"/>
        <v>0</v>
      </c>
      <c r="Q57" s="135"/>
      <c r="R57" s="11">
        <f t="shared" si="31"/>
        <v>501000</v>
      </c>
      <c r="S57" s="11">
        <f t="shared" si="7"/>
        <v>0</v>
      </c>
      <c r="T57" s="135"/>
      <c r="U57" s="11">
        <f>ROUND(R57,0)</f>
        <v>501000</v>
      </c>
      <c r="V57" s="11">
        <f t="shared" si="8"/>
        <v>0</v>
      </c>
      <c r="W57" s="135"/>
      <c r="X57" s="11">
        <f t="shared" si="32"/>
        <v>501000</v>
      </c>
      <c r="Y57" s="11">
        <f t="shared" si="9"/>
        <v>0</v>
      </c>
      <c r="Z57" s="135"/>
      <c r="AA57" s="11">
        <f t="shared" si="33"/>
        <v>501000</v>
      </c>
      <c r="AB57" s="11">
        <f t="shared" si="10"/>
        <v>0</v>
      </c>
      <c r="AC57" s="392"/>
      <c r="AD57" s="11">
        <f>ROUND(AA57,0)+77000</f>
        <v>578000</v>
      </c>
      <c r="AE57" s="11">
        <f t="shared" si="11"/>
        <v>77000</v>
      </c>
      <c r="AF57" s="135" t="s">
        <v>985</v>
      </c>
      <c r="AG57" s="474">
        <v>577887.93999999994</v>
      </c>
      <c r="AH57" s="200">
        <f t="shared" si="3"/>
        <v>0.99980612456747397</v>
      </c>
      <c r="AI57" s="504"/>
    </row>
    <row r="58" spans="1:35" ht="31.5" customHeight="1" x14ac:dyDescent="0.25">
      <c r="C58" s="73" t="s">
        <v>438</v>
      </c>
      <c r="D58" s="70" t="s">
        <v>250</v>
      </c>
      <c r="E58" s="346">
        <v>0</v>
      </c>
      <c r="F58" s="346">
        <f t="shared" si="27"/>
        <v>0</v>
      </c>
      <c r="G58" s="11">
        <f t="shared" si="2"/>
        <v>0</v>
      </c>
      <c r="H58" s="385"/>
      <c r="I58" s="11">
        <f t="shared" si="28"/>
        <v>0</v>
      </c>
      <c r="J58" s="11">
        <f t="shared" si="4"/>
        <v>0</v>
      </c>
      <c r="K58" s="128"/>
      <c r="L58" s="11">
        <f t="shared" si="29"/>
        <v>0</v>
      </c>
      <c r="M58" s="11">
        <f t="shared" si="5"/>
        <v>0</v>
      </c>
      <c r="N58" s="128"/>
      <c r="O58" s="11">
        <f t="shared" si="30"/>
        <v>0</v>
      </c>
      <c r="P58" s="11">
        <f t="shared" si="6"/>
        <v>0</v>
      </c>
      <c r="Q58" s="128"/>
      <c r="R58" s="11">
        <f t="shared" si="31"/>
        <v>0</v>
      </c>
      <c r="S58" s="11">
        <f t="shared" si="7"/>
        <v>0</v>
      </c>
      <c r="T58" s="128"/>
      <c r="U58" s="11">
        <f>ROUND(R58,0)</f>
        <v>0</v>
      </c>
      <c r="V58" s="11">
        <f t="shared" si="8"/>
        <v>0</v>
      </c>
      <c r="W58" s="128"/>
      <c r="X58" s="11">
        <f t="shared" si="32"/>
        <v>0</v>
      </c>
      <c r="Y58" s="11">
        <f t="shared" si="9"/>
        <v>0</v>
      </c>
      <c r="Z58" s="128"/>
      <c r="AA58" s="11">
        <f t="shared" si="33"/>
        <v>0</v>
      </c>
      <c r="AB58" s="11">
        <f t="shared" si="10"/>
        <v>0</v>
      </c>
      <c r="AC58" s="385"/>
      <c r="AD58" s="11">
        <f t="shared" si="34"/>
        <v>0</v>
      </c>
      <c r="AE58" s="11">
        <f t="shared" si="11"/>
        <v>0</v>
      </c>
      <c r="AF58" s="128"/>
      <c r="AG58" s="504"/>
      <c r="AH58" s="200" t="e">
        <f t="shared" si="3"/>
        <v>#DIV/0!</v>
      </c>
      <c r="AI58" s="504"/>
    </row>
    <row r="59" spans="1:35" ht="31.5" customHeight="1" x14ac:dyDescent="0.25">
      <c r="C59" s="121"/>
      <c r="D59" s="103" t="s">
        <v>689</v>
      </c>
      <c r="E59" s="350">
        <v>0</v>
      </c>
      <c r="F59" s="350"/>
      <c r="G59" s="11">
        <f t="shared" si="2"/>
        <v>0</v>
      </c>
      <c r="H59" s="396"/>
      <c r="I59" s="122"/>
      <c r="J59" s="122">
        <f t="shared" si="4"/>
        <v>0</v>
      </c>
      <c r="K59" s="143"/>
      <c r="L59" s="122"/>
      <c r="M59" s="122">
        <f t="shared" si="5"/>
        <v>0</v>
      </c>
      <c r="N59" s="143"/>
      <c r="O59" s="122"/>
      <c r="P59" s="122">
        <f t="shared" si="6"/>
        <v>0</v>
      </c>
      <c r="Q59" s="143"/>
      <c r="R59" s="122"/>
      <c r="S59" s="122">
        <f t="shared" si="7"/>
        <v>0</v>
      </c>
      <c r="T59" s="143"/>
      <c r="U59" s="122"/>
      <c r="V59" s="122">
        <f t="shared" si="8"/>
        <v>0</v>
      </c>
      <c r="W59" s="143"/>
      <c r="X59" s="122"/>
      <c r="Y59" s="122">
        <f t="shared" si="9"/>
        <v>0</v>
      </c>
      <c r="Z59" s="143"/>
      <c r="AA59" s="122"/>
      <c r="AB59" s="122">
        <f t="shared" si="10"/>
        <v>0</v>
      </c>
      <c r="AC59" s="396"/>
      <c r="AD59" s="122"/>
      <c r="AE59" s="122">
        <f t="shared" si="11"/>
        <v>0</v>
      </c>
      <c r="AF59" s="143"/>
      <c r="AG59" s="504"/>
      <c r="AH59" s="208" t="e">
        <f t="shared" si="3"/>
        <v>#DIV/0!</v>
      </c>
      <c r="AI59" s="504"/>
    </row>
    <row r="60" spans="1:35" ht="28.15" customHeight="1" x14ac:dyDescent="0.25">
      <c r="B60" s="60" t="s">
        <v>457</v>
      </c>
      <c r="C60" s="73" t="s">
        <v>439</v>
      </c>
      <c r="D60" s="298" t="s">
        <v>265</v>
      </c>
      <c r="E60" s="351">
        <v>342263</v>
      </c>
      <c r="F60" s="351">
        <f>ROUND(E60,0)+59292+1248</f>
        <v>402803</v>
      </c>
      <c r="G60" s="11">
        <f t="shared" si="2"/>
        <v>60540</v>
      </c>
      <c r="H60" s="445" t="s">
        <v>735</v>
      </c>
      <c r="I60" s="43">
        <f>ROUND(F60,0)+3966</f>
        <v>406769</v>
      </c>
      <c r="J60" s="11">
        <f t="shared" si="4"/>
        <v>3966</v>
      </c>
      <c r="K60" s="128" t="s">
        <v>775</v>
      </c>
      <c r="L60" s="43">
        <f>ROUND(I60,0)</f>
        <v>406769</v>
      </c>
      <c r="M60" s="11">
        <f t="shared" si="5"/>
        <v>0</v>
      </c>
      <c r="N60" s="128"/>
      <c r="O60" s="43">
        <f t="shared" ref="O60:O65" si="35">ROUND(L60,0)</f>
        <v>406769</v>
      </c>
      <c r="P60" s="11">
        <f t="shared" si="6"/>
        <v>0</v>
      </c>
      <c r="Q60" s="128"/>
      <c r="R60" s="43">
        <f t="shared" ref="R60:R65" si="36">ROUND(O60,0)</f>
        <v>406769</v>
      </c>
      <c r="S60" s="11">
        <f t="shared" si="7"/>
        <v>0</v>
      </c>
      <c r="T60" s="128"/>
      <c r="U60" s="43">
        <f>ROUND(R60,0)</f>
        <v>406769</v>
      </c>
      <c r="V60" s="11">
        <f t="shared" si="8"/>
        <v>0</v>
      </c>
      <c r="W60" s="128"/>
      <c r="X60" s="43">
        <f t="shared" ref="X60:X65" si="37">ROUND(U60,0)</f>
        <v>406769</v>
      </c>
      <c r="Y60" s="11">
        <f t="shared" si="9"/>
        <v>0</v>
      </c>
      <c r="Z60" s="128"/>
      <c r="AA60" s="43">
        <f>ROUND(X60,0)</f>
        <v>406769</v>
      </c>
      <c r="AB60" s="11">
        <f t="shared" si="10"/>
        <v>0</v>
      </c>
      <c r="AC60" s="385"/>
      <c r="AD60" s="43">
        <f t="shared" ref="AD60:AD65" si="38">ROUND(AA60,0)</f>
        <v>406769</v>
      </c>
      <c r="AE60" s="11">
        <f t="shared" si="11"/>
        <v>0</v>
      </c>
      <c r="AF60" s="128"/>
      <c r="AG60" s="474">
        <v>406768.39</v>
      </c>
      <c r="AH60" s="209">
        <f t="shared" si="3"/>
        <v>0.99999850037736404</v>
      </c>
      <c r="AI60" s="474" t="s">
        <v>555</v>
      </c>
    </row>
    <row r="61" spans="1:35" ht="58.9" customHeight="1" x14ac:dyDescent="0.25">
      <c r="C61" s="73"/>
      <c r="D61" s="327" t="s">
        <v>684</v>
      </c>
      <c r="E61" s="352">
        <v>0</v>
      </c>
      <c r="F61" s="352">
        <f t="shared" si="27"/>
        <v>0</v>
      </c>
      <c r="G61" s="93">
        <f t="shared" si="2"/>
        <v>0</v>
      </c>
      <c r="H61" s="276"/>
      <c r="I61" s="93">
        <f>ROUND(F61,0)</f>
        <v>0</v>
      </c>
      <c r="J61" s="93">
        <f t="shared" si="4"/>
        <v>0</v>
      </c>
      <c r="K61" s="137"/>
      <c r="L61" s="93">
        <f>ROUND(I61,0)</f>
        <v>0</v>
      </c>
      <c r="M61" s="93">
        <f t="shared" si="5"/>
        <v>0</v>
      </c>
      <c r="N61" s="137"/>
      <c r="O61" s="93">
        <f t="shared" si="35"/>
        <v>0</v>
      </c>
      <c r="P61" s="93">
        <f t="shared" si="6"/>
        <v>0</v>
      </c>
      <c r="Q61" s="137"/>
      <c r="R61" s="93">
        <f t="shared" si="36"/>
        <v>0</v>
      </c>
      <c r="S61" s="93">
        <f t="shared" si="7"/>
        <v>0</v>
      </c>
      <c r="T61" s="137"/>
      <c r="U61" s="93">
        <f>ROUND(R61,0)</f>
        <v>0</v>
      </c>
      <c r="V61" s="93">
        <f t="shared" si="8"/>
        <v>0</v>
      </c>
      <c r="W61" s="137"/>
      <c r="X61" s="93">
        <f t="shared" si="37"/>
        <v>0</v>
      </c>
      <c r="Y61" s="93">
        <f t="shared" si="9"/>
        <v>0</v>
      </c>
      <c r="Z61" s="137"/>
      <c r="AA61" s="93">
        <f>ROUND(X61,0)</f>
        <v>0</v>
      </c>
      <c r="AB61" s="93">
        <f t="shared" si="10"/>
        <v>0</v>
      </c>
      <c r="AC61" s="276"/>
      <c r="AD61" s="93">
        <f t="shared" si="38"/>
        <v>0</v>
      </c>
      <c r="AE61" s="93">
        <f t="shared" si="11"/>
        <v>0</v>
      </c>
      <c r="AF61" s="137"/>
      <c r="AG61" s="504"/>
      <c r="AH61" s="210" t="e">
        <f t="shared" si="3"/>
        <v>#DIV/0!</v>
      </c>
      <c r="AI61" s="556"/>
    </row>
    <row r="62" spans="1:35" ht="33.75" customHeight="1" x14ac:dyDescent="0.25">
      <c r="C62" s="73" t="s">
        <v>550</v>
      </c>
      <c r="D62" s="300" t="s">
        <v>476</v>
      </c>
      <c r="E62" s="352">
        <v>50000</v>
      </c>
      <c r="F62" s="352">
        <f t="shared" si="27"/>
        <v>50000</v>
      </c>
      <c r="G62" s="93">
        <f t="shared" si="2"/>
        <v>0</v>
      </c>
      <c r="H62" s="276"/>
      <c r="I62" s="93">
        <f>ROUND(F62,0)</f>
        <v>50000</v>
      </c>
      <c r="J62" s="93">
        <f t="shared" si="4"/>
        <v>0</v>
      </c>
      <c r="K62" s="137"/>
      <c r="L62" s="93">
        <f>ROUND(I62,0)</f>
        <v>50000</v>
      </c>
      <c r="M62" s="93">
        <f t="shared" si="5"/>
        <v>0</v>
      </c>
      <c r="N62" s="137"/>
      <c r="O62" s="93">
        <f t="shared" si="35"/>
        <v>50000</v>
      </c>
      <c r="P62" s="93">
        <f t="shared" si="6"/>
        <v>0</v>
      </c>
      <c r="Q62" s="137"/>
      <c r="R62" s="93">
        <f t="shared" si="36"/>
        <v>50000</v>
      </c>
      <c r="S62" s="93">
        <f t="shared" si="7"/>
        <v>0</v>
      </c>
      <c r="T62" s="137"/>
      <c r="U62" s="93">
        <f>ROUND(R62,0)+20000</f>
        <v>70000</v>
      </c>
      <c r="V62" s="93">
        <f t="shared" si="8"/>
        <v>20000</v>
      </c>
      <c r="W62" s="137" t="s">
        <v>930</v>
      </c>
      <c r="X62" s="93">
        <f t="shared" si="37"/>
        <v>70000</v>
      </c>
      <c r="Y62" s="93">
        <f t="shared" si="9"/>
        <v>0</v>
      </c>
      <c r="Z62" s="137"/>
      <c r="AA62" s="93">
        <f>ROUND(X62,0)</f>
        <v>70000</v>
      </c>
      <c r="AB62" s="93">
        <f t="shared" si="10"/>
        <v>0</v>
      </c>
      <c r="AC62" s="276"/>
      <c r="AD62" s="93">
        <f t="shared" si="38"/>
        <v>70000</v>
      </c>
      <c r="AE62" s="93">
        <f t="shared" si="11"/>
        <v>0</v>
      </c>
      <c r="AF62" s="137"/>
      <c r="AG62" s="474">
        <v>73286.649999999994</v>
      </c>
      <c r="AH62" s="210">
        <f t="shared" si="3"/>
        <v>1.0469521428571427</v>
      </c>
      <c r="AI62" s="522" t="s">
        <v>622</v>
      </c>
    </row>
    <row r="63" spans="1:35" ht="17.45" customHeight="1" x14ac:dyDescent="0.25">
      <c r="B63" s="2" t="s">
        <v>96</v>
      </c>
      <c r="C63" s="102" t="s">
        <v>551</v>
      </c>
      <c r="D63" s="103" t="s">
        <v>492</v>
      </c>
      <c r="E63" s="352">
        <v>200000</v>
      </c>
      <c r="F63" s="352">
        <f t="shared" si="27"/>
        <v>200000</v>
      </c>
      <c r="G63" s="93">
        <f t="shared" si="2"/>
        <v>0</v>
      </c>
      <c r="H63" s="276"/>
      <c r="I63" s="93">
        <f>ROUND(F63,0)</f>
        <v>200000</v>
      </c>
      <c r="J63" s="93">
        <f t="shared" si="4"/>
        <v>0</v>
      </c>
      <c r="K63" s="137"/>
      <c r="L63" s="93">
        <f>ROUND(I63,0)</f>
        <v>200000</v>
      </c>
      <c r="M63" s="93">
        <f t="shared" si="5"/>
        <v>0</v>
      </c>
      <c r="N63" s="137"/>
      <c r="O63" s="93">
        <f t="shared" si="35"/>
        <v>200000</v>
      </c>
      <c r="P63" s="93">
        <f t="shared" si="6"/>
        <v>0</v>
      </c>
      <c r="Q63" s="137"/>
      <c r="R63" s="93">
        <f t="shared" si="36"/>
        <v>200000</v>
      </c>
      <c r="S63" s="93">
        <f t="shared" si="7"/>
        <v>0</v>
      </c>
      <c r="T63" s="137"/>
      <c r="U63" s="93">
        <f>ROUND(R63,0)</f>
        <v>200000</v>
      </c>
      <c r="V63" s="93">
        <f t="shared" si="8"/>
        <v>0</v>
      </c>
      <c r="W63" s="137"/>
      <c r="X63" s="93">
        <f t="shared" si="37"/>
        <v>200000</v>
      </c>
      <c r="Y63" s="93">
        <f t="shared" si="9"/>
        <v>0</v>
      </c>
      <c r="Z63" s="137"/>
      <c r="AA63" s="93">
        <f>ROUND(X63,0)</f>
        <v>200000</v>
      </c>
      <c r="AB63" s="93">
        <f t="shared" si="10"/>
        <v>0</v>
      </c>
      <c r="AC63" s="276"/>
      <c r="AD63" s="93">
        <f t="shared" si="38"/>
        <v>200000</v>
      </c>
      <c r="AE63" s="93">
        <f t="shared" si="11"/>
        <v>0</v>
      </c>
      <c r="AF63" s="137"/>
      <c r="AG63" s="504"/>
      <c r="AH63" s="210">
        <f t="shared" si="3"/>
        <v>0</v>
      </c>
      <c r="AI63" s="522" t="s">
        <v>623</v>
      </c>
    </row>
    <row r="64" spans="1:35" x14ac:dyDescent="0.25">
      <c r="A64" s="2" t="s">
        <v>87</v>
      </c>
      <c r="B64" s="49" t="s">
        <v>258</v>
      </c>
      <c r="C64" s="73" t="s">
        <v>552</v>
      </c>
      <c r="D64" s="308" t="s">
        <v>505</v>
      </c>
      <c r="E64" s="346">
        <v>0</v>
      </c>
      <c r="F64" s="346">
        <f t="shared" si="27"/>
        <v>0</v>
      </c>
      <c r="G64" s="11">
        <f>F64-E64</f>
        <v>0</v>
      </c>
      <c r="H64" s="397"/>
      <c r="I64" s="11">
        <f>ROUND(F64,0)</f>
        <v>0</v>
      </c>
      <c r="J64" s="11">
        <f>I64-F64</f>
        <v>0</v>
      </c>
      <c r="K64" s="146"/>
      <c r="L64" s="11">
        <f>ROUND(I64,0)</f>
        <v>0</v>
      </c>
      <c r="M64" s="11">
        <f>L64-I64</f>
        <v>0</v>
      </c>
      <c r="N64" s="146"/>
      <c r="O64" s="11">
        <f t="shared" si="35"/>
        <v>0</v>
      </c>
      <c r="P64" s="11">
        <f>O64-L64</f>
        <v>0</v>
      </c>
      <c r="Q64" s="146"/>
      <c r="R64" s="11">
        <f t="shared" si="36"/>
        <v>0</v>
      </c>
      <c r="S64" s="11">
        <f>R64-O64</f>
        <v>0</v>
      </c>
      <c r="T64" s="146"/>
      <c r="U64" s="11">
        <f>ROUND(R64,0)</f>
        <v>0</v>
      </c>
      <c r="V64" s="11">
        <f>U64-R64</f>
        <v>0</v>
      </c>
      <c r="W64" s="146"/>
      <c r="X64" s="11">
        <f t="shared" si="37"/>
        <v>0</v>
      </c>
      <c r="Y64" s="11">
        <f>X64-U64</f>
        <v>0</v>
      </c>
      <c r="Z64" s="146"/>
      <c r="AA64" s="11">
        <f>ROUND(X64,0)</f>
        <v>0</v>
      </c>
      <c r="AB64" s="11">
        <f>AA64-X64</f>
        <v>0</v>
      </c>
      <c r="AC64" s="397"/>
      <c r="AD64" s="11">
        <f t="shared" si="38"/>
        <v>0</v>
      </c>
      <c r="AE64" s="11">
        <f>AD64-AA64</f>
        <v>0</v>
      </c>
      <c r="AF64" s="146"/>
      <c r="AG64" s="474">
        <v>17448.11</v>
      </c>
      <c r="AH64" s="200" t="e">
        <f t="shared" si="3"/>
        <v>#DIV/0!</v>
      </c>
      <c r="AI64" s="504"/>
    </row>
    <row r="65" spans="1:35" ht="43.5" customHeight="1" x14ac:dyDescent="0.25">
      <c r="A65" s="60" t="s">
        <v>940</v>
      </c>
      <c r="B65" s="2" t="s">
        <v>266</v>
      </c>
      <c r="C65" s="73" t="s">
        <v>697</v>
      </c>
      <c r="D65" s="70" t="s">
        <v>105</v>
      </c>
      <c r="E65" s="346">
        <v>143640</v>
      </c>
      <c r="F65" s="346">
        <f>ROUND(E65,0)+8232</f>
        <v>151872</v>
      </c>
      <c r="G65" s="11">
        <f t="shared" si="2"/>
        <v>8232</v>
      </c>
      <c r="H65" s="447" t="s">
        <v>745</v>
      </c>
      <c r="I65" s="11">
        <f>ROUND(F65,0)</f>
        <v>151872</v>
      </c>
      <c r="J65" s="11">
        <f t="shared" si="4"/>
        <v>0</v>
      </c>
      <c r="K65" s="144"/>
      <c r="L65" s="11">
        <f>ROUND(I65,0)+50781</f>
        <v>202653</v>
      </c>
      <c r="M65" s="11">
        <f t="shared" si="5"/>
        <v>50781</v>
      </c>
      <c r="N65" s="144" t="s">
        <v>820</v>
      </c>
      <c r="O65" s="11">
        <f t="shared" si="35"/>
        <v>202653</v>
      </c>
      <c r="P65" s="11">
        <f t="shared" si="6"/>
        <v>0</v>
      </c>
      <c r="Q65" s="144"/>
      <c r="R65" s="11">
        <f t="shared" si="36"/>
        <v>202653</v>
      </c>
      <c r="S65" s="11">
        <f t="shared" ref="S65:S124" si="39">R65-O65</f>
        <v>0</v>
      </c>
      <c r="T65" s="144"/>
      <c r="U65" s="11">
        <f>ROUND(R65,0)+1198</f>
        <v>203851</v>
      </c>
      <c r="V65" s="11">
        <f t="shared" ref="V65:V124" si="40">U65-R65</f>
        <v>1198</v>
      </c>
      <c r="W65" s="144" t="s">
        <v>941</v>
      </c>
      <c r="X65" s="11">
        <f t="shared" si="37"/>
        <v>203851</v>
      </c>
      <c r="Y65" s="11">
        <f t="shared" ref="Y65:Y124" si="41">X65-U65</f>
        <v>0</v>
      </c>
      <c r="Z65" s="144"/>
      <c r="AA65" s="11">
        <f>ROUND(X65,0)-16000</f>
        <v>187851</v>
      </c>
      <c r="AB65" s="11">
        <f t="shared" ref="AB65:AB124" si="42">AA65-X65</f>
        <v>-16000</v>
      </c>
      <c r="AC65" s="566" t="s">
        <v>977</v>
      </c>
      <c r="AD65" s="11">
        <f t="shared" si="38"/>
        <v>187851</v>
      </c>
      <c r="AE65" s="11">
        <f t="shared" ref="AE65:AE124" si="43">AD65-AA65</f>
        <v>0</v>
      </c>
      <c r="AF65" s="566"/>
      <c r="AG65" s="474">
        <f>8147+47232.69+1197.5+85579.46+45626.71</f>
        <v>187783.36000000002</v>
      </c>
      <c r="AH65" s="200">
        <f t="shared" si="3"/>
        <v>0.99963992738926066</v>
      </c>
      <c r="AI65" s="520" t="s">
        <v>923</v>
      </c>
    </row>
    <row r="66" spans="1:35" ht="29.25" customHeight="1" x14ac:dyDescent="0.25">
      <c r="C66" s="76" t="s">
        <v>92</v>
      </c>
      <c r="D66" s="293" t="s">
        <v>244</v>
      </c>
      <c r="E66" s="37">
        <v>1159816</v>
      </c>
      <c r="F66" s="37">
        <f t="shared" ref="F66" si="44">SUM(F67:F86)</f>
        <v>1271081</v>
      </c>
      <c r="G66" s="18">
        <f t="shared" si="2"/>
        <v>111265</v>
      </c>
      <c r="H66" s="399"/>
      <c r="I66" s="18">
        <f>SUM(I67:I86)</f>
        <v>1246934</v>
      </c>
      <c r="J66" s="18">
        <f t="shared" si="4"/>
        <v>-24147</v>
      </c>
      <c r="K66" s="145"/>
      <c r="L66" s="18">
        <f>SUM(L67:L86)</f>
        <v>1246934</v>
      </c>
      <c r="M66" s="18">
        <f t="shared" si="5"/>
        <v>0</v>
      </c>
      <c r="N66" s="145"/>
      <c r="O66" s="18">
        <f>SUM(O67:O86)</f>
        <v>1246934</v>
      </c>
      <c r="P66" s="18">
        <f t="shared" si="6"/>
        <v>0</v>
      </c>
      <c r="Q66" s="145"/>
      <c r="R66" s="18">
        <f>SUM(R67:R86)</f>
        <v>1305632</v>
      </c>
      <c r="S66" s="18">
        <f t="shared" si="39"/>
        <v>58698</v>
      </c>
      <c r="T66" s="145"/>
      <c r="U66" s="18">
        <f>SUM(U67:U86)</f>
        <v>1305632</v>
      </c>
      <c r="V66" s="18">
        <f t="shared" si="40"/>
        <v>0</v>
      </c>
      <c r="W66" s="145"/>
      <c r="X66" s="18">
        <f>SUM(X67:X86)</f>
        <v>1305632</v>
      </c>
      <c r="Y66" s="18">
        <f t="shared" si="41"/>
        <v>0</v>
      </c>
      <c r="Z66" s="145"/>
      <c r="AA66" s="18">
        <f>SUM(AA67:AA86)</f>
        <v>1161950</v>
      </c>
      <c r="AB66" s="18">
        <f t="shared" si="42"/>
        <v>-143682</v>
      </c>
      <c r="AC66" s="399"/>
      <c r="AD66" s="18">
        <f>SUM(AD67:AD86)</f>
        <v>1161950</v>
      </c>
      <c r="AE66" s="18">
        <f t="shared" si="43"/>
        <v>0</v>
      </c>
      <c r="AF66" s="145"/>
      <c r="AG66" s="510">
        <f>SUM(AG67:AG86)</f>
        <v>1006968.1299999999</v>
      </c>
      <c r="AH66" s="211">
        <f t="shared" si="3"/>
        <v>0.86661915745083684</v>
      </c>
      <c r="AI66" s="510" t="s">
        <v>554</v>
      </c>
    </row>
    <row r="67" spans="1:35" x14ac:dyDescent="0.25">
      <c r="A67" s="2" t="s">
        <v>454</v>
      </c>
      <c r="B67" s="2" t="s">
        <v>106</v>
      </c>
      <c r="C67" s="73" t="s">
        <v>440</v>
      </c>
      <c r="D67" s="308" t="s">
        <v>504</v>
      </c>
      <c r="E67" s="346">
        <v>0</v>
      </c>
      <c r="F67" s="346">
        <f>ROUND(E67,0)+(109839-16873)</f>
        <v>92966</v>
      </c>
      <c r="G67" s="11">
        <f t="shared" si="2"/>
        <v>92966</v>
      </c>
      <c r="H67" s="131" t="s">
        <v>576</v>
      </c>
      <c r="I67" s="11">
        <f t="shared" ref="I67:I81" si="45">ROUND(F67,0)</f>
        <v>92966</v>
      </c>
      <c r="J67" s="11">
        <f t="shared" si="4"/>
        <v>0</v>
      </c>
      <c r="K67" s="131"/>
      <c r="L67" s="11">
        <f t="shared" ref="L67:L81" si="46">ROUND(I67,0)</f>
        <v>92966</v>
      </c>
      <c r="M67" s="11">
        <f t="shared" si="5"/>
        <v>0</v>
      </c>
      <c r="N67" s="131"/>
      <c r="O67" s="11">
        <f t="shared" ref="O67:O81" si="47">ROUND(L67,0)</f>
        <v>92966</v>
      </c>
      <c r="P67" s="11">
        <f t="shared" si="6"/>
        <v>0</v>
      </c>
      <c r="Q67" s="131"/>
      <c r="R67" s="11">
        <f t="shared" ref="R67:R87" si="48">ROUND(O67,0)</f>
        <v>92966</v>
      </c>
      <c r="S67" s="11">
        <f t="shared" si="39"/>
        <v>0</v>
      </c>
      <c r="T67" s="131"/>
      <c r="U67" s="11">
        <f>ROUND(R67,0)</f>
        <v>92966</v>
      </c>
      <c r="V67" s="11">
        <f t="shared" si="40"/>
        <v>0</v>
      </c>
      <c r="W67" s="131"/>
      <c r="X67" s="11">
        <f>ROUND(U67,0)</f>
        <v>92966</v>
      </c>
      <c r="Y67" s="11">
        <f t="shared" si="41"/>
        <v>0</v>
      </c>
      <c r="Z67" s="131"/>
      <c r="AA67" s="11">
        <f>ROUND(X67,0)</f>
        <v>92966</v>
      </c>
      <c r="AB67" s="11">
        <f t="shared" si="42"/>
        <v>0</v>
      </c>
      <c r="AC67" s="388"/>
      <c r="AD67" s="11">
        <f>ROUND(AA67,0)</f>
        <v>92966</v>
      </c>
      <c r="AE67" s="11">
        <f t="shared" si="43"/>
        <v>0</v>
      </c>
      <c r="AF67" s="131"/>
      <c r="AG67" s="474">
        <v>109838.99</v>
      </c>
      <c r="AH67" s="200">
        <f t="shared" si="3"/>
        <v>1.1814963535055827</v>
      </c>
      <c r="AI67" s="474" t="s">
        <v>554</v>
      </c>
    </row>
    <row r="68" spans="1:35" ht="14.25" customHeight="1" x14ac:dyDescent="0.25">
      <c r="C68" s="73" t="s">
        <v>441</v>
      </c>
      <c r="D68" s="308" t="s">
        <v>673</v>
      </c>
      <c r="E68" s="346">
        <v>63988</v>
      </c>
      <c r="F68" s="346">
        <f t="shared" ref="F68:F87" si="49">ROUND(E68,0)</f>
        <v>63988</v>
      </c>
      <c r="G68" s="11">
        <f t="shared" si="2"/>
        <v>0</v>
      </c>
      <c r="H68" s="392"/>
      <c r="I68" s="11">
        <f t="shared" si="45"/>
        <v>63988</v>
      </c>
      <c r="J68" s="11">
        <f t="shared" si="4"/>
        <v>0</v>
      </c>
      <c r="K68" s="135"/>
      <c r="L68" s="11">
        <f t="shared" si="46"/>
        <v>63988</v>
      </c>
      <c r="M68" s="11">
        <f t="shared" si="5"/>
        <v>0</v>
      </c>
      <c r="N68" s="135"/>
      <c r="O68" s="11">
        <f t="shared" si="47"/>
        <v>63988</v>
      </c>
      <c r="P68" s="11">
        <f t="shared" si="6"/>
        <v>0</v>
      </c>
      <c r="Q68" s="135"/>
      <c r="R68" s="11">
        <f t="shared" si="48"/>
        <v>63988</v>
      </c>
      <c r="S68" s="11">
        <f t="shared" si="39"/>
        <v>0</v>
      </c>
      <c r="T68" s="135"/>
      <c r="U68" s="11">
        <f>ROUND(R68,0)</f>
        <v>63988</v>
      </c>
      <c r="V68" s="11">
        <f t="shared" si="40"/>
        <v>0</v>
      </c>
      <c r="W68" s="135"/>
      <c r="X68" s="11">
        <f>ROUND(U68,0)</f>
        <v>63988</v>
      </c>
      <c r="Y68" s="11">
        <f t="shared" si="41"/>
        <v>0</v>
      </c>
      <c r="Z68" s="135"/>
      <c r="AA68" s="11">
        <f>ROUND(X68,0)</f>
        <v>63988</v>
      </c>
      <c r="AB68" s="11">
        <f t="shared" si="42"/>
        <v>0</v>
      </c>
      <c r="AC68" s="392"/>
      <c r="AD68" s="11">
        <f>ROUND(AA68,0)</f>
        <v>63988</v>
      </c>
      <c r="AE68" s="11">
        <f t="shared" si="43"/>
        <v>0</v>
      </c>
      <c r="AF68" s="135"/>
      <c r="AG68" s="583">
        <v>0</v>
      </c>
      <c r="AH68" s="200">
        <f t="shared" si="3"/>
        <v>0</v>
      </c>
      <c r="AI68" s="523" t="s">
        <v>875</v>
      </c>
    </row>
    <row r="69" spans="1:35" ht="30" x14ac:dyDescent="0.25">
      <c r="B69" s="17" t="s">
        <v>251</v>
      </c>
      <c r="C69" s="73" t="s">
        <v>442</v>
      </c>
      <c r="D69" s="311" t="s">
        <v>680</v>
      </c>
      <c r="E69" s="346">
        <v>2532</v>
      </c>
      <c r="F69" s="346">
        <f t="shared" si="49"/>
        <v>2532</v>
      </c>
      <c r="G69" s="11">
        <f t="shared" si="2"/>
        <v>0</v>
      </c>
      <c r="H69" s="400"/>
      <c r="I69" s="11">
        <f t="shared" si="45"/>
        <v>2532</v>
      </c>
      <c r="J69" s="11">
        <f t="shared" si="4"/>
        <v>0</v>
      </c>
      <c r="K69" s="147"/>
      <c r="L69" s="11">
        <f t="shared" si="46"/>
        <v>2532</v>
      </c>
      <c r="M69" s="11">
        <f t="shared" si="5"/>
        <v>0</v>
      </c>
      <c r="N69" s="147"/>
      <c r="O69" s="11">
        <f t="shared" si="47"/>
        <v>2532</v>
      </c>
      <c r="P69" s="11">
        <f t="shared" si="6"/>
        <v>0</v>
      </c>
      <c r="Q69" s="147"/>
      <c r="R69" s="11">
        <f t="shared" si="48"/>
        <v>2532</v>
      </c>
      <c r="S69" s="11">
        <f t="shared" si="39"/>
        <v>0</v>
      </c>
      <c r="T69" s="147"/>
      <c r="U69" s="11">
        <f>ROUND(R69,0)</f>
        <v>2532</v>
      </c>
      <c r="V69" s="11">
        <f t="shared" si="40"/>
        <v>0</v>
      </c>
      <c r="W69" s="147"/>
      <c r="X69" s="11">
        <f>ROUND(U69,0)</f>
        <v>2532</v>
      </c>
      <c r="Y69" s="11">
        <f t="shared" si="41"/>
        <v>0</v>
      </c>
      <c r="Z69" s="147"/>
      <c r="AA69" s="11">
        <f>ROUND(X69,0)</f>
        <v>2532</v>
      </c>
      <c r="AB69" s="11">
        <f t="shared" si="42"/>
        <v>0</v>
      </c>
      <c r="AC69" s="400"/>
      <c r="AD69" s="11">
        <f>ROUND(AA69,0)</f>
        <v>2532</v>
      </c>
      <c r="AE69" s="11">
        <f t="shared" si="43"/>
        <v>0</v>
      </c>
      <c r="AF69" s="147"/>
      <c r="AG69" s="474">
        <v>12660.14</v>
      </c>
      <c r="AH69" s="200">
        <f t="shared" si="3"/>
        <v>5.0000552922590833</v>
      </c>
      <c r="AI69" s="504"/>
    </row>
    <row r="70" spans="1:35" ht="30" x14ac:dyDescent="0.25">
      <c r="B70" s="17"/>
      <c r="C70" s="73" t="s">
        <v>443</v>
      </c>
      <c r="D70" s="312" t="s">
        <v>681</v>
      </c>
      <c r="E70" s="350">
        <v>5135</v>
      </c>
      <c r="F70" s="346">
        <f t="shared" si="49"/>
        <v>5135</v>
      </c>
      <c r="G70" s="11">
        <f t="shared" si="2"/>
        <v>0</v>
      </c>
      <c r="H70" s="401"/>
      <c r="I70" s="11">
        <f t="shared" ref="I70:I75" si="50">ROUND(F70,0)</f>
        <v>5135</v>
      </c>
      <c r="J70" s="11">
        <f t="shared" ref="J70:J75" si="51">I70-F70</f>
        <v>0</v>
      </c>
      <c r="K70" s="313"/>
      <c r="L70" s="11">
        <f t="shared" ref="L70:L75" si="52">ROUND(I70,0)</f>
        <v>5135</v>
      </c>
      <c r="M70" s="11">
        <f t="shared" ref="M70:M75" si="53">L70-I70</f>
        <v>0</v>
      </c>
      <c r="N70" s="313"/>
      <c r="O70" s="11">
        <f t="shared" ref="O70:O75" si="54">ROUND(L70,0)</f>
        <v>5135</v>
      </c>
      <c r="P70" s="11">
        <f t="shared" ref="P70:P75" si="55">O70-L70</f>
        <v>0</v>
      </c>
      <c r="Q70" s="313"/>
      <c r="R70" s="11">
        <f>ROUND(O70,0)+12598</f>
        <v>17733</v>
      </c>
      <c r="S70" s="11">
        <f t="shared" si="39"/>
        <v>12598</v>
      </c>
      <c r="T70" s="313" t="s">
        <v>905</v>
      </c>
      <c r="U70" s="11">
        <f>ROUND(R70,0)</f>
        <v>17733</v>
      </c>
      <c r="V70" s="11">
        <f t="shared" si="40"/>
        <v>0</v>
      </c>
      <c r="W70" s="313"/>
      <c r="X70" s="11">
        <f>ROUND(U70,0)</f>
        <v>17733</v>
      </c>
      <c r="Y70" s="11">
        <f t="shared" si="41"/>
        <v>0</v>
      </c>
      <c r="Z70" s="313"/>
      <c r="AA70" s="11">
        <f>ROUND(X70,0)</f>
        <v>17733</v>
      </c>
      <c r="AB70" s="11">
        <f t="shared" si="42"/>
        <v>0</v>
      </c>
      <c r="AC70" s="401"/>
      <c r="AD70" s="11">
        <f>ROUND(AA70,0)</f>
        <v>17733</v>
      </c>
      <c r="AE70" s="11">
        <f t="shared" si="43"/>
        <v>0</v>
      </c>
      <c r="AF70" s="313"/>
      <c r="AG70" s="474">
        <v>14101.34</v>
      </c>
      <c r="AH70" s="208">
        <f t="shared" si="3"/>
        <v>0.79520329329498673</v>
      </c>
      <c r="AI70" s="504"/>
    </row>
    <row r="71" spans="1:35" x14ac:dyDescent="0.25">
      <c r="B71" s="17"/>
      <c r="C71" s="73" t="s">
        <v>444</v>
      </c>
      <c r="D71" s="312" t="s">
        <v>491</v>
      </c>
      <c r="E71" s="350">
        <v>9000</v>
      </c>
      <c r="F71" s="346">
        <f t="shared" si="49"/>
        <v>9000</v>
      </c>
      <c r="G71" s="11">
        <f t="shared" si="2"/>
        <v>0</v>
      </c>
      <c r="H71" s="401"/>
      <c r="I71" s="11">
        <f t="shared" si="50"/>
        <v>9000</v>
      </c>
      <c r="J71" s="11">
        <f t="shared" si="51"/>
        <v>0</v>
      </c>
      <c r="K71" s="313"/>
      <c r="L71" s="11">
        <f t="shared" si="52"/>
        <v>9000</v>
      </c>
      <c r="M71" s="11">
        <f t="shared" si="53"/>
        <v>0</v>
      </c>
      <c r="N71" s="313"/>
      <c r="O71" s="11">
        <f t="shared" si="54"/>
        <v>9000</v>
      </c>
      <c r="P71" s="11">
        <f t="shared" si="55"/>
        <v>0</v>
      </c>
      <c r="Q71" s="313"/>
      <c r="R71" s="11">
        <f t="shared" si="48"/>
        <v>9000</v>
      </c>
      <c r="S71" s="11">
        <f t="shared" si="39"/>
        <v>0</v>
      </c>
      <c r="T71" s="313"/>
      <c r="U71" s="11">
        <f t="shared" ref="U71:U81" si="56">ROUND(R71,0)</f>
        <v>9000</v>
      </c>
      <c r="V71" s="11">
        <f t="shared" si="40"/>
        <v>0</v>
      </c>
      <c r="W71" s="313"/>
      <c r="X71" s="11">
        <f t="shared" ref="X71:X87" si="57">ROUND(U71,0)</f>
        <v>9000</v>
      </c>
      <c r="Y71" s="11">
        <f t="shared" si="41"/>
        <v>0</v>
      </c>
      <c r="Z71" s="313"/>
      <c r="AA71" s="11">
        <f t="shared" ref="AA71:AA87" si="58">ROUND(X71,0)</f>
        <v>9000</v>
      </c>
      <c r="AB71" s="11">
        <f t="shared" si="42"/>
        <v>0</v>
      </c>
      <c r="AC71" s="401"/>
      <c r="AD71" s="11">
        <f t="shared" ref="AD71:AD77" si="59">ROUND(AA71,0)</f>
        <v>9000</v>
      </c>
      <c r="AE71" s="11">
        <f t="shared" si="43"/>
        <v>0</v>
      </c>
      <c r="AF71" s="313"/>
      <c r="AG71" s="474"/>
      <c r="AH71" s="208">
        <f t="shared" ref="AH71:AH124" si="60">AG71/AD71</f>
        <v>0</v>
      </c>
      <c r="AI71" s="504"/>
    </row>
    <row r="72" spans="1:35" ht="60" x14ac:dyDescent="0.25">
      <c r="B72" s="17"/>
      <c r="C72" s="73" t="s">
        <v>445</v>
      </c>
      <c r="D72" s="312" t="s">
        <v>686</v>
      </c>
      <c r="E72" s="350">
        <v>6010</v>
      </c>
      <c r="F72" s="346">
        <f t="shared" si="49"/>
        <v>6010</v>
      </c>
      <c r="G72" s="11">
        <f>F72-E72</f>
        <v>0</v>
      </c>
      <c r="H72" s="401"/>
      <c r="I72" s="11">
        <f t="shared" si="50"/>
        <v>6010</v>
      </c>
      <c r="J72" s="11">
        <f t="shared" si="51"/>
        <v>0</v>
      </c>
      <c r="K72" s="313"/>
      <c r="L72" s="11">
        <f t="shared" si="52"/>
        <v>6010</v>
      </c>
      <c r="M72" s="11">
        <f t="shared" si="53"/>
        <v>0</v>
      </c>
      <c r="N72" s="313"/>
      <c r="O72" s="11">
        <f t="shared" si="54"/>
        <v>6010</v>
      </c>
      <c r="P72" s="11">
        <f t="shared" si="55"/>
        <v>0</v>
      </c>
      <c r="Q72" s="313"/>
      <c r="R72" s="11">
        <f t="shared" si="48"/>
        <v>6010</v>
      </c>
      <c r="S72" s="11">
        <f t="shared" si="39"/>
        <v>0</v>
      </c>
      <c r="T72" s="313"/>
      <c r="U72" s="11">
        <f t="shared" si="56"/>
        <v>6010</v>
      </c>
      <c r="V72" s="11">
        <f t="shared" si="40"/>
        <v>0</v>
      </c>
      <c r="W72" s="313"/>
      <c r="X72" s="11">
        <f t="shared" si="57"/>
        <v>6010</v>
      </c>
      <c r="Y72" s="11">
        <f t="shared" si="41"/>
        <v>0</v>
      </c>
      <c r="Z72" s="313"/>
      <c r="AA72" s="11">
        <f t="shared" si="58"/>
        <v>6010</v>
      </c>
      <c r="AB72" s="11">
        <f t="shared" si="42"/>
        <v>0</v>
      </c>
      <c r="AC72" s="401"/>
      <c r="AD72" s="11">
        <f t="shared" si="59"/>
        <v>6010</v>
      </c>
      <c r="AE72" s="11">
        <f t="shared" si="43"/>
        <v>0</v>
      </c>
      <c r="AF72" s="313"/>
      <c r="AG72" s="474"/>
      <c r="AH72" s="208">
        <f t="shared" si="60"/>
        <v>0</v>
      </c>
      <c r="AI72" s="504"/>
    </row>
    <row r="73" spans="1:35" ht="45" x14ac:dyDescent="0.25">
      <c r="B73" s="17"/>
      <c r="C73" s="73" t="s">
        <v>709</v>
      </c>
      <c r="D73" s="312" t="s">
        <v>685</v>
      </c>
      <c r="E73" s="350">
        <v>30655</v>
      </c>
      <c r="F73" s="346">
        <f>ROUND(E73,0)</f>
        <v>30655</v>
      </c>
      <c r="G73" s="11">
        <f>F73-E73</f>
        <v>0</v>
      </c>
      <c r="H73" s="401"/>
      <c r="I73" s="11">
        <f t="shared" si="50"/>
        <v>30655</v>
      </c>
      <c r="J73" s="11">
        <f t="shared" si="51"/>
        <v>0</v>
      </c>
      <c r="K73" s="313"/>
      <c r="L73" s="11">
        <f t="shared" si="52"/>
        <v>30655</v>
      </c>
      <c r="M73" s="11">
        <f t="shared" si="53"/>
        <v>0</v>
      </c>
      <c r="N73" s="313"/>
      <c r="O73" s="11">
        <f t="shared" si="54"/>
        <v>30655</v>
      </c>
      <c r="P73" s="11">
        <f t="shared" si="55"/>
        <v>0</v>
      </c>
      <c r="Q73" s="313"/>
      <c r="R73" s="11">
        <f t="shared" si="48"/>
        <v>30655</v>
      </c>
      <c r="S73" s="11">
        <f t="shared" si="39"/>
        <v>0</v>
      </c>
      <c r="T73" s="313"/>
      <c r="U73" s="11">
        <f t="shared" si="56"/>
        <v>30655</v>
      </c>
      <c r="V73" s="11">
        <f t="shared" si="40"/>
        <v>0</v>
      </c>
      <c r="W73" s="313"/>
      <c r="X73" s="11">
        <f t="shared" si="57"/>
        <v>30655</v>
      </c>
      <c r="Y73" s="11">
        <f t="shared" si="41"/>
        <v>0</v>
      </c>
      <c r="Z73" s="313"/>
      <c r="AA73" s="11">
        <f t="shared" si="58"/>
        <v>30655</v>
      </c>
      <c r="AB73" s="11">
        <f t="shared" si="42"/>
        <v>0</v>
      </c>
      <c r="AC73" s="401"/>
      <c r="AD73" s="11">
        <f t="shared" si="59"/>
        <v>30655</v>
      </c>
      <c r="AE73" s="11">
        <f t="shared" si="43"/>
        <v>0</v>
      </c>
      <c r="AF73" s="313"/>
      <c r="AG73" s="474"/>
      <c r="AH73" s="208">
        <f t="shared" si="60"/>
        <v>0</v>
      </c>
      <c r="AI73" s="504"/>
    </row>
    <row r="74" spans="1:35" x14ac:dyDescent="0.25">
      <c r="A74" s="60" t="s">
        <v>674</v>
      </c>
      <c r="B74" s="17"/>
      <c r="C74" s="73" t="s">
        <v>446</v>
      </c>
      <c r="D74" s="312" t="s">
        <v>675</v>
      </c>
      <c r="E74" s="350">
        <v>0</v>
      </c>
      <c r="F74" s="346">
        <f>ROUND(E74,0)</f>
        <v>0</v>
      </c>
      <c r="G74" s="11">
        <f>F74-E74</f>
        <v>0</v>
      </c>
      <c r="H74" s="401"/>
      <c r="I74" s="11">
        <f t="shared" si="50"/>
        <v>0</v>
      </c>
      <c r="J74" s="11">
        <f t="shared" si="51"/>
        <v>0</v>
      </c>
      <c r="K74" s="313"/>
      <c r="L74" s="11">
        <f t="shared" si="52"/>
        <v>0</v>
      </c>
      <c r="M74" s="11">
        <f t="shared" si="53"/>
        <v>0</v>
      </c>
      <c r="N74" s="313"/>
      <c r="O74" s="11">
        <f t="shared" si="54"/>
        <v>0</v>
      </c>
      <c r="P74" s="11">
        <f t="shared" si="55"/>
        <v>0</v>
      </c>
      <c r="Q74" s="313"/>
      <c r="R74" s="11">
        <f t="shared" si="48"/>
        <v>0</v>
      </c>
      <c r="S74" s="11">
        <f t="shared" si="39"/>
        <v>0</v>
      </c>
      <c r="T74" s="313"/>
      <c r="U74" s="11">
        <f t="shared" si="56"/>
        <v>0</v>
      </c>
      <c r="V74" s="11">
        <f t="shared" si="40"/>
        <v>0</v>
      </c>
      <c r="W74" s="313"/>
      <c r="X74" s="11">
        <f t="shared" si="57"/>
        <v>0</v>
      </c>
      <c r="Y74" s="11">
        <f t="shared" si="41"/>
        <v>0</v>
      </c>
      <c r="Z74" s="313"/>
      <c r="AA74" s="11">
        <f t="shared" si="58"/>
        <v>0</v>
      </c>
      <c r="AB74" s="11">
        <f t="shared" si="42"/>
        <v>0</v>
      </c>
      <c r="AC74" s="401"/>
      <c r="AD74" s="11">
        <f t="shared" si="59"/>
        <v>0</v>
      </c>
      <c r="AE74" s="11">
        <f t="shared" si="43"/>
        <v>0</v>
      </c>
      <c r="AF74" s="313"/>
      <c r="AG74" s="474"/>
      <c r="AH74" s="208" t="e">
        <f t="shared" si="60"/>
        <v>#DIV/0!</v>
      </c>
      <c r="AI74" s="504"/>
    </row>
    <row r="75" spans="1:35" ht="58.15" customHeight="1" x14ac:dyDescent="0.25">
      <c r="A75" s="60" t="s">
        <v>214</v>
      </c>
      <c r="B75" s="17"/>
      <c r="C75" s="73" t="s">
        <v>508</v>
      </c>
      <c r="D75" s="312" t="s">
        <v>742</v>
      </c>
      <c r="E75" s="350">
        <v>0</v>
      </c>
      <c r="F75" s="346">
        <f>ROUND(E75,0)+18299</f>
        <v>18299</v>
      </c>
      <c r="G75" s="11">
        <f>F75-E75</f>
        <v>18299</v>
      </c>
      <c r="H75" s="446" t="s">
        <v>744</v>
      </c>
      <c r="I75" s="11">
        <f t="shared" si="50"/>
        <v>18299</v>
      </c>
      <c r="J75" s="11">
        <f t="shared" si="51"/>
        <v>0</v>
      </c>
      <c r="K75" s="313"/>
      <c r="L75" s="11">
        <f t="shared" si="52"/>
        <v>18299</v>
      </c>
      <c r="M75" s="11">
        <f t="shared" si="53"/>
        <v>0</v>
      </c>
      <c r="N75" s="313"/>
      <c r="O75" s="11">
        <f t="shared" si="54"/>
        <v>18299</v>
      </c>
      <c r="P75" s="11">
        <f t="shared" si="55"/>
        <v>0</v>
      </c>
      <c r="Q75" s="313"/>
      <c r="R75" s="11">
        <f t="shared" si="48"/>
        <v>18299</v>
      </c>
      <c r="S75" s="11">
        <f t="shared" si="39"/>
        <v>0</v>
      </c>
      <c r="T75" s="313"/>
      <c r="U75" s="11">
        <f t="shared" si="56"/>
        <v>18299</v>
      </c>
      <c r="V75" s="11">
        <f t="shared" si="40"/>
        <v>0</v>
      </c>
      <c r="W75" s="313"/>
      <c r="X75" s="11">
        <f t="shared" si="57"/>
        <v>18299</v>
      </c>
      <c r="Y75" s="11">
        <f t="shared" si="41"/>
        <v>0</v>
      </c>
      <c r="Z75" s="313"/>
      <c r="AA75" s="11">
        <f t="shared" si="58"/>
        <v>18299</v>
      </c>
      <c r="AB75" s="11">
        <f t="shared" si="42"/>
        <v>0</v>
      </c>
      <c r="AC75" s="401"/>
      <c r="AD75" s="11">
        <f t="shared" si="59"/>
        <v>18299</v>
      </c>
      <c r="AE75" s="11">
        <f t="shared" si="43"/>
        <v>0</v>
      </c>
      <c r="AF75" s="313"/>
      <c r="AG75" s="474">
        <v>250</v>
      </c>
      <c r="AH75" s="208">
        <f t="shared" si="60"/>
        <v>1.3661948740368326E-2</v>
      </c>
      <c r="AI75" s="504"/>
    </row>
    <row r="76" spans="1:35" ht="45" x14ac:dyDescent="0.25">
      <c r="B76" s="2" t="s">
        <v>252</v>
      </c>
      <c r="C76" s="73" t="s">
        <v>447</v>
      </c>
      <c r="D76" s="308" t="s">
        <v>237</v>
      </c>
      <c r="E76" s="346">
        <v>0</v>
      </c>
      <c r="F76" s="346">
        <f t="shared" si="49"/>
        <v>0</v>
      </c>
      <c r="G76" s="11">
        <f t="shared" ref="G76:G124" si="61">F76-E76</f>
        <v>0</v>
      </c>
      <c r="H76" s="402"/>
      <c r="I76" s="11">
        <f t="shared" si="45"/>
        <v>0</v>
      </c>
      <c r="J76" s="11">
        <f t="shared" si="4"/>
        <v>0</v>
      </c>
      <c r="K76" s="148"/>
      <c r="L76" s="11">
        <f t="shared" si="46"/>
        <v>0</v>
      </c>
      <c r="M76" s="11">
        <f t="shared" si="5"/>
        <v>0</v>
      </c>
      <c r="N76" s="148"/>
      <c r="O76" s="11">
        <f t="shared" si="47"/>
        <v>0</v>
      </c>
      <c r="P76" s="11">
        <f t="shared" si="6"/>
        <v>0</v>
      </c>
      <c r="Q76" s="148"/>
      <c r="R76" s="11">
        <f t="shared" si="48"/>
        <v>0</v>
      </c>
      <c r="S76" s="11">
        <f t="shared" si="39"/>
        <v>0</v>
      </c>
      <c r="T76" s="148"/>
      <c r="U76" s="11">
        <f t="shared" si="56"/>
        <v>0</v>
      </c>
      <c r="V76" s="11">
        <f t="shared" si="40"/>
        <v>0</v>
      </c>
      <c r="W76" s="148"/>
      <c r="X76" s="11">
        <f t="shared" si="57"/>
        <v>0</v>
      </c>
      <c r="Y76" s="11">
        <f t="shared" si="41"/>
        <v>0</v>
      </c>
      <c r="Z76" s="148"/>
      <c r="AA76" s="11">
        <f t="shared" si="58"/>
        <v>0</v>
      </c>
      <c r="AB76" s="11">
        <f t="shared" si="42"/>
        <v>0</v>
      </c>
      <c r="AC76" s="402"/>
      <c r="AD76" s="11">
        <f t="shared" si="59"/>
        <v>0</v>
      </c>
      <c r="AE76" s="11">
        <f t="shared" si="43"/>
        <v>0</v>
      </c>
      <c r="AF76" s="148"/>
      <c r="AG76" s="474">
        <v>30517.82</v>
      </c>
      <c r="AH76" s="200" t="e">
        <f t="shared" si="60"/>
        <v>#DIV/0!</v>
      </c>
      <c r="AI76" s="520" t="s">
        <v>801</v>
      </c>
    </row>
    <row r="77" spans="1:35" ht="30" x14ac:dyDescent="0.25">
      <c r="B77" s="56" t="s">
        <v>253</v>
      </c>
      <c r="C77" s="73" t="s">
        <v>448</v>
      </c>
      <c r="D77" s="308" t="s">
        <v>246</v>
      </c>
      <c r="E77" s="346">
        <v>0</v>
      </c>
      <c r="F77" s="346">
        <f t="shared" si="49"/>
        <v>0</v>
      </c>
      <c r="G77" s="11">
        <f t="shared" si="61"/>
        <v>0</v>
      </c>
      <c r="H77" s="403"/>
      <c r="I77" s="11">
        <f t="shared" si="45"/>
        <v>0</v>
      </c>
      <c r="J77" s="11">
        <f t="shared" ref="J77:J124" si="62">I77-F77</f>
        <v>0</v>
      </c>
      <c r="K77" s="149"/>
      <c r="L77" s="11">
        <f t="shared" si="46"/>
        <v>0</v>
      </c>
      <c r="M77" s="11">
        <f t="shared" ref="M77:M124" si="63">L77-I77</f>
        <v>0</v>
      </c>
      <c r="N77" s="149"/>
      <c r="O77" s="11">
        <f t="shared" si="47"/>
        <v>0</v>
      </c>
      <c r="P77" s="11">
        <f t="shared" ref="P77:P124" si="64">O77-L77</f>
        <v>0</v>
      </c>
      <c r="Q77" s="149"/>
      <c r="R77" s="11">
        <f t="shared" si="48"/>
        <v>0</v>
      </c>
      <c r="S77" s="11">
        <f t="shared" si="39"/>
        <v>0</v>
      </c>
      <c r="T77" s="149"/>
      <c r="U77" s="11">
        <f t="shared" si="56"/>
        <v>0</v>
      </c>
      <c r="V77" s="11">
        <f t="shared" si="40"/>
        <v>0</v>
      </c>
      <c r="W77" s="149"/>
      <c r="X77" s="11">
        <f t="shared" si="57"/>
        <v>0</v>
      </c>
      <c r="Y77" s="11">
        <f t="shared" si="41"/>
        <v>0</v>
      </c>
      <c r="Z77" s="149"/>
      <c r="AA77" s="11">
        <f t="shared" si="58"/>
        <v>0</v>
      </c>
      <c r="AB77" s="11">
        <f t="shared" si="42"/>
        <v>0</v>
      </c>
      <c r="AC77" s="403"/>
      <c r="AD77" s="11">
        <f t="shared" si="59"/>
        <v>0</v>
      </c>
      <c r="AE77" s="11">
        <f t="shared" si="43"/>
        <v>0</v>
      </c>
      <c r="AF77" s="149"/>
      <c r="AG77" s="474">
        <v>0</v>
      </c>
      <c r="AH77" s="200" t="e">
        <f t="shared" si="60"/>
        <v>#DIV/0!</v>
      </c>
      <c r="AI77" s="521"/>
    </row>
    <row r="78" spans="1:35" ht="30" x14ac:dyDescent="0.25">
      <c r="B78" s="56"/>
      <c r="C78" s="73" t="s">
        <v>509</v>
      </c>
      <c r="D78" s="308" t="s">
        <v>506</v>
      </c>
      <c r="E78" s="346">
        <v>0</v>
      </c>
      <c r="F78" s="346">
        <f t="shared" si="49"/>
        <v>0</v>
      </c>
      <c r="G78" s="11">
        <f t="shared" si="61"/>
        <v>0</v>
      </c>
      <c r="H78" s="404"/>
      <c r="I78" s="11">
        <f t="shared" si="45"/>
        <v>0</v>
      </c>
      <c r="J78" s="11">
        <f t="shared" si="62"/>
        <v>0</v>
      </c>
      <c r="K78" s="150"/>
      <c r="L78" s="11">
        <f t="shared" si="46"/>
        <v>0</v>
      </c>
      <c r="M78" s="11">
        <f t="shared" si="63"/>
        <v>0</v>
      </c>
      <c r="N78" s="150"/>
      <c r="O78" s="11">
        <f t="shared" si="47"/>
        <v>0</v>
      </c>
      <c r="P78" s="11">
        <f t="shared" si="64"/>
        <v>0</v>
      </c>
      <c r="Q78" s="150"/>
      <c r="R78" s="11">
        <f t="shared" si="48"/>
        <v>0</v>
      </c>
      <c r="S78" s="11">
        <f t="shared" si="39"/>
        <v>0</v>
      </c>
      <c r="T78" s="150"/>
      <c r="U78" s="11">
        <f t="shared" si="56"/>
        <v>0</v>
      </c>
      <c r="V78" s="11">
        <f t="shared" si="40"/>
        <v>0</v>
      </c>
      <c r="W78" s="150"/>
      <c r="X78" s="11">
        <f t="shared" si="57"/>
        <v>0</v>
      </c>
      <c r="Y78" s="11">
        <f t="shared" si="41"/>
        <v>0</v>
      </c>
      <c r="Z78" s="150"/>
      <c r="AA78" s="11">
        <f>ROUND(X78,0)+100088</f>
        <v>100088</v>
      </c>
      <c r="AB78" s="11">
        <f t="shared" si="42"/>
        <v>100088</v>
      </c>
      <c r="AC78" s="568" t="s">
        <v>961</v>
      </c>
      <c r="AD78" s="11">
        <f>ROUND(AA78,0)</f>
        <v>100088</v>
      </c>
      <c r="AE78" s="11">
        <f t="shared" si="43"/>
        <v>0</v>
      </c>
      <c r="AF78" s="568"/>
      <c r="AG78" s="474">
        <v>62014.01</v>
      </c>
      <c r="AH78" s="200">
        <f t="shared" si="60"/>
        <v>0.6195948565262569</v>
      </c>
      <c r="AI78" s="521"/>
    </row>
    <row r="79" spans="1:35" x14ac:dyDescent="0.25">
      <c r="B79" s="56"/>
      <c r="C79" s="73" t="s">
        <v>468</v>
      </c>
      <c r="D79" s="308" t="s">
        <v>507</v>
      </c>
      <c r="E79" s="346">
        <v>0</v>
      </c>
      <c r="F79" s="346">
        <f t="shared" si="49"/>
        <v>0</v>
      </c>
      <c r="G79" s="43">
        <f t="shared" si="61"/>
        <v>0</v>
      </c>
      <c r="H79" s="405"/>
      <c r="I79" s="11">
        <f t="shared" si="45"/>
        <v>0</v>
      </c>
      <c r="J79" s="43">
        <f t="shared" si="62"/>
        <v>0</v>
      </c>
      <c r="K79" s="151"/>
      <c r="L79" s="11">
        <f t="shared" si="46"/>
        <v>0</v>
      </c>
      <c r="M79" s="43">
        <f t="shared" si="63"/>
        <v>0</v>
      </c>
      <c r="N79" s="151"/>
      <c r="O79" s="11">
        <f t="shared" si="47"/>
        <v>0</v>
      </c>
      <c r="P79" s="43">
        <f t="shared" si="64"/>
        <v>0</v>
      </c>
      <c r="Q79" s="151"/>
      <c r="R79" s="11">
        <f t="shared" si="48"/>
        <v>0</v>
      </c>
      <c r="S79" s="43">
        <f t="shared" si="39"/>
        <v>0</v>
      </c>
      <c r="T79" s="151"/>
      <c r="U79" s="11">
        <f t="shared" si="56"/>
        <v>0</v>
      </c>
      <c r="V79" s="43">
        <f t="shared" si="40"/>
        <v>0</v>
      </c>
      <c r="W79" s="151"/>
      <c r="X79" s="11">
        <f t="shared" si="57"/>
        <v>0</v>
      </c>
      <c r="Y79" s="43">
        <f t="shared" si="41"/>
        <v>0</v>
      </c>
      <c r="Z79" s="151"/>
      <c r="AA79" s="11">
        <f t="shared" si="58"/>
        <v>0</v>
      </c>
      <c r="AB79" s="43">
        <f t="shared" si="42"/>
        <v>0</v>
      </c>
      <c r="AC79" s="405"/>
      <c r="AD79" s="11">
        <f t="shared" ref="AD79:AD85" si="65">ROUND(AA79,0)</f>
        <v>0</v>
      </c>
      <c r="AE79" s="43">
        <f t="shared" si="43"/>
        <v>0</v>
      </c>
      <c r="AF79" s="151"/>
      <c r="AG79" s="474">
        <v>2318.37</v>
      </c>
      <c r="AH79" s="200" t="e">
        <f t="shared" si="60"/>
        <v>#DIV/0!</v>
      </c>
      <c r="AI79" s="474" t="s">
        <v>924</v>
      </c>
    </row>
    <row r="80" spans="1:35" ht="30" x14ac:dyDescent="0.25">
      <c r="B80" s="56"/>
      <c r="C80" s="73" t="s">
        <v>469</v>
      </c>
      <c r="D80" s="308" t="s">
        <v>299</v>
      </c>
      <c r="E80" s="353">
        <v>0</v>
      </c>
      <c r="F80" s="353">
        <f t="shared" si="49"/>
        <v>0</v>
      </c>
      <c r="G80" s="54">
        <f t="shared" si="61"/>
        <v>0</v>
      </c>
      <c r="H80" s="405"/>
      <c r="I80" s="54">
        <f t="shared" si="45"/>
        <v>0</v>
      </c>
      <c r="J80" s="54">
        <f t="shared" si="62"/>
        <v>0</v>
      </c>
      <c r="K80" s="151"/>
      <c r="L80" s="54">
        <f t="shared" si="46"/>
        <v>0</v>
      </c>
      <c r="M80" s="54">
        <f t="shared" si="63"/>
        <v>0</v>
      </c>
      <c r="N80" s="151"/>
      <c r="O80" s="54">
        <f t="shared" si="47"/>
        <v>0</v>
      </c>
      <c r="P80" s="54">
        <f t="shared" si="64"/>
        <v>0</v>
      </c>
      <c r="Q80" s="151"/>
      <c r="R80" s="54">
        <f t="shared" si="48"/>
        <v>0</v>
      </c>
      <c r="S80" s="54">
        <f t="shared" si="39"/>
        <v>0</v>
      </c>
      <c r="T80" s="151"/>
      <c r="U80" s="54">
        <f t="shared" si="56"/>
        <v>0</v>
      </c>
      <c r="V80" s="54">
        <f t="shared" si="40"/>
        <v>0</v>
      </c>
      <c r="W80" s="151"/>
      <c r="X80" s="54">
        <f t="shared" si="57"/>
        <v>0</v>
      </c>
      <c r="Y80" s="54">
        <f t="shared" si="41"/>
        <v>0</v>
      </c>
      <c r="Z80" s="151"/>
      <c r="AA80" s="54">
        <f t="shared" si="58"/>
        <v>0</v>
      </c>
      <c r="AB80" s="54">
        <f t="shared" si="42"/>
        <v>0</v>
      </c>
      <c r="AC80" s="405"/>
      <c r="AD80" s="54">
        <f t="shared" si="65"/>
        <v>0</v>
      </c>
      <c r="AE80" s="54">
        <f t="shared" si="43"/>
        <v>0</v>
      </c>
      <c r="AF80" s="151"/>
      <c r="AG80" s="474">
        <f>ROUND(N80,0)</f>
        <v>0</v>
      </c>
      <c r="AH80" s="205" t="e">
        <f t="shared" si="60"/>
        <v>#DIV/0!</v>
      </c>
      <c r="AI80" s="504"/>
    </row>
    <row r="81" spans="1:35" x14ac:dyDescent="0.25">
      <c r="B81" s="198" t="s">
        <v>578</v>
      </c>
      <c r="C81" s="73" t="s">
        <v>470</v>
      </c>
      <c r="D81" s="308" t="s">
        <v>300</v>
      </c>
      <c r="E81" s="353">
        <v>0</v>
      </c>
      <c r="F81" s="353">
        <f t="shared" si="49"/>
        <v>0</v>
      </c>
      <c r="G81" s="54">
        <f t="shared" si="61"/>
        <v>0</v>
      </c>
      <c r="H81" s="405"/>
      <c r="I81" s="54">
        <f t="shared" si="45"/>
        <v>0</v>
      </c>
      <c r="J81" s="54">
        <f t="shared" si="62"/>
        <v>0</v>
      </c>
      <c r="K81" s="151"/>
      <c r="L81" s="54">
        <f t="shared" si="46"/>
        <v>0</v>
      </c>
      <c r="M81" s="54">
        <f t="shared" si="63"/>
        <v>0</v>
      </c>
      <c r="N81" s="151"/>
      <c r="O81" s="54">
        <f t="shared" si="47"/>
        <v>0</v>
      </c>
      <c r="P81" s="54">
        <f t="shared" si="64"/>
        <v>0</v>
      </c>
      <c r="Q81" s="151"/>
      <c r="R81" s="54">
        <f t="shared" si="48"/>
        <v>0</v>
      </c>
      <c r="S81" s="54">
        <f t="shared" si="39"/>
        <v>0</v>
      </c>
      <c r="T81" s="151"/>
      <c r="U81" s="54">
        <f t="shared" si="56"/>
        <v>0</v>
      </c>
      <c r="V81" s="54">
        <f t="shared" si="40"/>
        <v>0</v>
      </c>
      <c r="W81" s="151"/>
      <c r="X81" s="54">
        <f t="shared" si="57"/>
        <v>0</v>
      </c>
      <c r="Y81" s="54">
        <f t="shared" si="41"/>
        <v>0</v>
      </c>
      <c r="Z81" s="151"/>
      <c r="AA81" s="54">
        <f t="shared" si="58"/>
        <v>0</v>
      </c>
      <c r="AB81" s="54">
        <f t="shared" si="42"/>
        <v>0</v>
      </c>
      <c r="AC81" s="405"/>
      <c r="AD81" s="54">
        <f t="shared" si="65"/>
        <v>0</v>
      </c>
      <c r="AE81" s="54">
        <f t="shared" si="43"/>
        <v>0</v>
      </c>
      <c r="AF81" s="151"/>
      <c r="AG81" s="474">
        <f>ROUND(N81,0)</f>
        <v>0</v>
      </c>
      <c r="AH81" s="205" t="e">
        <f t="shared" si="60"/>
        <v>#DIV/0!</v>
      </c>
      <c r="AI81" s="504"/>
    </row>
    <row r="82" spans="1:35" ht="30" x14ac:dyDescent="0.25">
      <c r="B82" s="56"/>
      <c r="C82" s="73" t="s">
        <v>482</v>
      </c>
      <c r="D82" s="308" t="s">
        <v>318</v>
      </c>
      <c r="E82" s="353">
        <v>150645</v>
      </c>
      <c r="F82" s="353">
        <f t="shared" si="49"/>
        <v>150645</v>
      </c>
      <c r="G82" s="54">
        <f t="shared" si="61"/>
        <v>0</v>
      </c>
      <c r="H82" s="405"/>
      <c r="I82" s="54">
        <f t="shared" ref="I82:I87" si="66">ROUND(F82,0)</f>
        <v>150645</v>
      </c>
      <c r="J82" s="54">
        <f t="shared" si="62"/>
        <v>0</v>
      </c>
      <c r="K82" s="151"/>
      <c r="L82" s="54">
        <f t="shared" ref="L82:L87" si="67">ROUND(I82,0)</f>
        <v>150645</v>
      </c>
      <c r="M82" s="54">
        <f t="shared" si="63"/>
        <v>0</v>
      </c>
      <c r="N82" s="151"/>
      <c r="O82" s="54">
        <f t="shared" ref="O82:O87" si="68">ROUND(L82,0)</f>
        <v>150645</v>
      </c>
      <c r="P82" s="54">
        <f t="shared" si="64"/>
        <v>0</v>
      </c>
      <c r="Q82" s="151"/>
      <c r="R82" s="54">
        <f>ROUND(O82,0)+16100+30000</f>
        <v>196745</v>
      </c>
      <c r="S82" s="54">
        <f t="shared" si="39"/>
        <v>46100</v>
      </c>
      <c r="T82" s="542" t="s">
        <v>899</v>
      </c>
      <c r="U82" s="54">
        <f t="shared" ref="U82:U87" si="69">ROUND(R82,0)</f>
        <v>196745</v>
      </c>
      <c r="V82" s="54">
        <f t="shared" si="40"/>
        <v>0</v>
      </c>
      <c r="W82" s="542"/>
      <c r="X82" s="54">
        <f t="shared" si="57"/>
        <v>196745</v>
      </c>
      <c r="Y82" s="54">
        <f t="shared" si="41"/>
        <v>0</v>
      </c>
      <c r="Z82" s="542"/>
      <c r="AA82" s="54">
        <f t="shared" si="58"/>
        <v>196745</v>
      </c>
      <c r="AB82" s="54">
        <f t="shared" si="42"/>
        <v>0</v>
      </c>
      <c r="AC82" s="569"/>
      <c r="AD82" s="54">
        <f t="shared" si="65"/>
        <v>196745</v>
      </c>
      <c r="AE82" s="54">
        <f t="shared" si="43"/>
        <v>0</v>
      </c>
      <c r="AF82" s="542"/>
      <c r="AG82" s="474">
        <v>141942.39999999999</v>
      </c>
      <c r="AH82" s="205">
        <f t="shared" si="60"/>
        <v>0.72145365828864771</v>
      </c>
      <c r="AI82" s="521"/>
    </row>
    <row r="83" spans="1:35" ht="41.45" customHeight="1" x14ac:dyDescent="0.25">
      <c r="B83" s="56"/>
      <c r="C83" s="73" t="s">
        <v>510</v>
      </c>
      <c r="D83" s="308" t="s">
        <v>485</v>
      </c>
      <c r="E83" s="353">
        <v>118650</v>
      </c>
      <c r="F83" s="353">
        <f t="shared" si="49"/>
        <v>118650</v>
      </c>
      <c r="G83" s="54">
        <f t="shared" si="61"/>
        <v>0</v>
      </c>
      <c r="H83" s="406"/>
      <c r="I83" s="54">
        <f t="shared" si="66"/>
        <v>118650</v>
      </c>
      <c r="J83" s="54">
        <f t="shared" si="62"/>
        <v>0</v>
      </c>
      <c r="K83" s="152"/>
      <c r="L83" s="54">
        <f t="shared" si="67"/>
        <v>118650</v>
      </c>
      <c r="M83" s="54">
        <f t="shared" si="63"/>
        <v>0</v>
      </c>
      <c r="N83" s="152"/>
      <c r="O83" s="54">
        <f t="shared" si="68"/>
        <v>118650</v>
      </c>
      <c r="P83" s="54">
        <f t="shared" si="64"/>
        <v>0</v>
      </c>
      <c r="Q83" s="152"/>
      <c r="R83" s="54">
        <f t="shared" si="48"/>
        <v>118650</v>
      </c>
      <c r="S83" s="54">
        <f t="shared" si="39"/>
        <v>0</v>
      </c>
      <c r="T83" s="152"/>
      <c r="U83" s="54">
        <f t="shared" si="69"/>
        <v>118650</v>
      </c>
      <c r="V83" s="54">
        <f t="shared" si="40"/>
        <v>0</v>
      </c>
      <c r="W83" s="152"/>
      <c r="X83" s="54">
        <f t="shared" si="57"/>
        <v>118650</v>
      </c>
      <c r="Y83" s="54">
        <f t="shared" si="41"/>
        <v>0</v>
      </c>
      <c r="Z83" s="152"/>
      <c r="AA83" s="54">
        <f t="shared" si="58"/>
        <v>118650</v>
      </c>
      <c r="AB83" s="54">
        <f t="shared" si="42"/>
        <v>0</v>
      </c>
      <c r="AC83" s="406"/>
      <c r="AD83" s="54">
        <f t="shared" si="65"/>
        <v>118650</v>
      </c>
      <c r="AE83" s="54">
        <f t="shared" si="43"/>
        <v>0</v>
      </c>
      <c r="AF83" s="152"/>
      <c r="AG83" s="474">
        <v>56059.199999999997</v>
      </c>
      <c r="AH83" s="212">
        <f t="shared" si="60"/>
        <v>0.47247534766118837</v>
      </c>
      <c r="AI83" s="521"/>
    </row>
    <row r="84" spans="1:35" x14ac:dyDescent="0.25">
      <c r="B84" s="56"/>
      <c r="C84" s="73" t="s">
        <v>511</v>
      </c>
      <c r="D84" s="308" t="s">
        <v>346</v>
      </c>
      <c r="E84" s="353">
        <v>390462</v>
      </c>
      <c r="F84" s="353">
        <f t="shared" si="49"/>
        <v>390462</v>
      </c>
      <c r="G84" s="54">
        <f t="shared" si="61"/>
        <v>0</v>
      </c>
      <c r="H84" s="406"/>
      <c r="I84" s="54">
        <f t="shared" si="66"/>
        <v>390462</v>
      </c>
      <c r="J84" s="54">
        <f t="shared" si="62"/>
        <v>0</v>
      </c>
      <c r="K84" s="152"/>
      <c r="L84" s="54">
        <f t="shared" si="67"/>
        <v>390462</v>
      </c>
      <c r="M84" s="54">
        <f t="shared" si="63"/>
        <v>0</v>
      </c>
      <c r="N84" s="152"/>
      <c r="O84" s="54">
        <f t="shared" si="68"/>
        <v>390462</v>
      </c>
      <c r="P84" s="54">
        <f t="shared" si="64"/>
        <v>0</v>
      </c>
      <c r="Q84" s="152"/>
      <c r="R84" s="54">
        <f t="shared" si="48"/>
        <v>390462</v>
      </c>
      <c r="S84" s="54">
        <f t="shared" si="39"/>
        <v>0</v>
      </c>
      <c r="T84" s="152"/>
      <c r="U84" s="54">
        <f t="shared" si="69"/>
        <v>390462</v>
      </c>
      <c r="V84" s="54">
        <f t="shared" si="40"/>
        <v>0</v>
      </c>
      <c r="W84" s="152"/>
      <c r="X84" s="54">
        <f t="shared" si="57"/>
        <v>390462</v>
      </c>
      <c r="Y84" s="54">
        <f t="shared" si="41"/>
        <v>0</v>
      </c>
      <c r="Z84" s="152"/>
      <c r="AA84" s="54">
        <f t="shared" si="58"/>
        <v>390462</v>
      </c>
      <c r="AB84" s="54">
        <f t="shared" si="42"/>
        <v>0</v>
      </c>
      <c r="AC84" s="406"/>
      <c r="AD84" s="54">
        <f t="shared" si="65"/>
        <v>390462</v>
      </c>
      <c r="AE84" s="54">
        <f t="shared" si="43"/>
        <v>0</v>
      </c>
      <c r="AF84" s="152"/>
      <c r="AG84" s="474">
        <v>462444.17</v>
      </c>
      <c r="AH84" s="212">
        <f t="shared" si="60"/>
        <v>1.184351281302662</v>
      </c>
      <c r="AI84" s="521"/>
    </row>
    <row r="85" spans="1:35" ht="30.75" thickBot="1" x14ac:dyDescent="0.3">
      <c r="B85" s="198" t="s">
        <v>578</v>
      </c>
      <c r="C85" s="73" t="s">
        <v>512</v>
      </c>
      <c r="D85" s="308" t="s">
        <v>518</v>
      </c>
      <c r="E85" s="353">
        <v>0</v>
      </c>
      <c r="F85" s="353">
        <f t="shared" si="49"/>
        <v>0</v>
      </c>
      <c r="G85" s="54">
        <f t="shared" si="61"/>
        <v>0</v>
      </c>
      <c r="H85" s="406"/>
      <c r="I85" s="54">
        <f t="shared" si="66"/>
        <v>0</v>
      </c>
      <c r="J85" s="54">
        <f t="shared" si="62"/>
        <v>0</v>
      </c>
      <c r="K85" s="152"/>
      <c r="L85" s="54">
        <f t="shared" si="67"/>
        <v>0</v>
      </c>
      <c r="M85" s="54">
        <f t="shared" si="63"/>
        <v>0</v>
      </c>
      <c r="N85" s="152"/>
      <c r="O85" s="54">
        <f t="shared" si="68"/>
        <v>0</v>
      </c>
      <c r="P85" s="54">
        <f t="shared" si="64"/>
        <v>0</v>
      </c>
      <c r="Q85" s="152"/>
      <c r="R85" s="54">
        <f t="shared" si="48"/>
        <v>0</v>
      </c>
      <c r="S85" s="54">
        <f t="shared" si="39"/>
        <v>0</v>
      </c>
      <c r="T85" s="152"/>
      <c r="U85" s="54">
        <f t="shared" si="69"/>
        <v>0</v>
      </c>
      <c r="V85" s="54">
        <f t="shared" si="40"/>
        <v>0</v>
      </c>
      <c r="W85" s="152"/>
      <c r="X85" s="54">
        <f t="shared" si="57"/>
        <v>0</v>
      </c>
      <c r="Y85" s="54">
        <f t="shared" si="41"/>
        <v>0</v>
      </c>
      <c r="Z85" s="152"/>
      <c r="AA85" s="54">
        <f t="shared" si="58"/>
        <v>0</v>
      </c>
      <c r="AB85" s="54">
        <f t="shared" si="42"/>
        <v>0</v>
      </c>
      <c r="AC85" s="406"/>
      <c r="AD85" s="54">
        <f t="shared" si="65"/>
        <v>0</v>
      </c>
      <c r="AE85" s="54">
        <f t="shared" si="43"/>
        <v>0</v>
      </c>
      <c r="AF85" s="152"/>
      <c r="AG85" s="474">
        <v>0</v>
      </c>
      <c r="AH85" s="212" t="e">
        <f t="shared" si="60"/>
        <v>#DIV/0!</v>
      </c>
      <c r="AI85" s="521"/>
    </row>
    <row r="86" spans="1:35" ht="30" x14ac:dyDescent="0.25">
      <c r="B86" s="60" t="s">
        <v>669</v>
      </c>
      <c r="C86" s="73" t="s">
        <v>539</v>
      </c>
      <c r="D86" s="318" t="s">
        <v>543</v>
      </c>
      <c r="E86" s="352">
        <v>382739</v>
      </c>
      <c r="F86" s="353">
        <f t="shared" si="49"/>
        <v>382739</v>
      </c>
      <c r="G86" s="54">
        <f t="shared" si="61"/>
        <v>0</v>
      </c>
      <c r="H86" s="407"/>
      <c r="I86" s="54">
        <f>ROUND(F86,0)-24147</f>
        <v>358592</v>
      </c>
      <c r="J86" s="54">
        <f t="shared" si="62"/>
        <v>-24147</v>
      </c>
      <c r="K86" s="153" t="s">
        <v>800</v>
      </c>
      <c r="L86" s="54">
        <f t="shared" si="67"/>
        <v>358592</v>
      </c>
      <c r="M86" s="54">
        <f t="shared" si="63"/>
        <v>0</v>
      </c>
      <c r="N86" s="153"/>
      <c r="O86" s="54">
        <f t="shared" si="68"/>
        <v>358592</v>
      </c>
      <c r="P86" s="54">
        <f t="shared" si="64"/>
        <v>0</v>
      </c>
      <c r="Q86" s="153"/>
      <c r="R86" s="54">
        <f t="shared" si="48"/>
        <v>358592</v>
      </c>
      <c r="S86" s="54">
        <f t="shared" si="39"/>
        <v>0</v>
      </c>
      <c r="T86" s="153"/>
      <c r="U86" s="54">
        <f t="shared" si="69"/>
        <v>358592</v>
      </c>
      <c r="V86" s="54">
        <f t="shared" si="40"/>
        <v>0</v>
      </c>
      <c r="W86" s="153"/>
      <c r="X86" s="54">
        <f t="shared" si="57"/>
        <v>358592</v>
      </c>
      <c r="Y86" s="54">
        <f t="shared" si="41"/>
        <v>0</v>
      </c>
      <c r="Z86" s="153"/>
      <c r="AA86" s="54">
        <f>ROUND(X86,0)-243770</f>
        <v>114822</v>
      </c>
      <c r="AB86" s="54">
        <f t="shared" si="42"/>
        <v>-243770</v>
      </c>
      <c r="AC86" s="580" t="s">
        <v>976</v>
      </c>
      <c r="AD86" s="54">
        <f>ROUND(AA86,0)</f>
        <v>114822</v>
      </c>
      <c r="AE86" s="54">
        <f t="shared" si="43"/>
        <v>0</v>
      </c>
      <c r="AF86" s="580"/>
      <c r="AG86" s="474">
        <v>114821.69</v>
      </c>
      <c r="AH86" s="212">
        <f t="shared" si="60"/>
        <v>0.99999730016895716</v>
      </c>
      <c r="AI86" s="521"/>
    </row>
    <row r="87" spans="1:35" hidden="1" outlineLevel="1" x14ac:dyDescent="0.25">
      <c r="B87" s="10" t="s">
        <v>449</v>
      </c>
      <c r="C87" s="69" t="s">
        <v>451</v>
      </c>
      <c r="D87" s="534" t="s">
        <v>450</v>
      </c>
      <c r="E87" s="344">
        <v>0</v>
      </c>
      <c r="F87" s="353">
        <f t="shared" si="49"/>
        <v>0</v>
      </c>
      <c r="G87" s="11">
        <f t="shared" si="61"/>
        <v>0</v>
      </c>
      <c r="H87" s="384"/>
      <c r="I87" s="54">
        <f t="shared" si="66"/>
        <v>0</v>
      </c>
      <c r="J87" s="11">
        <f t="shared" si="62"/>
        <v>0</v>
      </c>
      <c r="K87" s="127"/>
      <c r="L87" s="54">
        <f t="shared" si="67"/>
        <v>0</v>
      </c>
      <c r="M87" s="11">
        <f t="shared" si="63"/>
        <v>0</v>
      </c>
      <c r="N87" s="127"/>
      <c r="O87" s="54">
        <f t="shared" si="68"/>
        <v>0</v>
      </c>
      <c r="P87" s="11">
        <f t="shared" si="64"/>
        <v>0</v>
      </c>
      <c r="Q87" s="127"/>
      <c r="R87" s="54">
        <f t="shared" si="48"/>
        <v>0</v>
      </c>
      <c r="S87" s="11">
        <f t="shared" si="39"/>
        <v>0</v>
      </c>
      <c r="T87" s="127"/>
      <c r="U87" s="54">
        <f t="shared" si="69"/>
        <v>0</v>
      </c>
      <c r="V87" s="11">
        <f t="shared" si="40"/>
        <v>0</v>
      </c>
      <c r="W87" s="127"/>
      <c r="X87" s="54">
        <f t="shared" si="57"/>
        <v>0</v>
      </c>
      <c r="Y87" s="11">
        <f t="shared" si="41"/>
        <v>0</v>
      </c>
      <c r="Z87" s="127"/>
      <c r="AA87" s="54">
        <f t="shared" si="58"/>
        <v>0</v>
      </c>
      <c r="AB87" s="11">
        <f t="shared" si="42"/>
        <v>0</v>
      </c>
      <c r="AC87" s="384"/>
      <c r="AD87" s="54">
        <f>ROUND(AA87,0)</f>
        <v>0</v>
      </c>
      <c r="AE87" s="11">
        <f t="shared" si="43"/>
        <v>0</v>
      </c>
      <c r="AF87" s="127"/>
      <c r="AG87" s="284">
        <f>ROUND(H87,0)</f>
        <v>0</v>
      </c>
      <c r="AH87" s="212" t="e">
        <f t="shared" si="60"/>
        <v>#DIV/0!</v>
      </c>
      <c r="AI87" s="281"/>
    </row>
    <row r="88" spans="1:35" collapsed="1" x14ac:dyDescent="0.25">
      <c r="C88" s="75" t="s">
        <v>107</v>
      </c>
      <c r="D88" s="72" t="s">
        <v>108</v>
      </c>
      <c r="E88" s="345">
        <v>295000</v>
      </c>
      <c r="F88" s="345">
        <f>F89+F90</f>
        <v>295000</v>
      </c>
      <c r="G88" s="13">
        <f t="shared" si="61"/>
        <v>0</v>
      </c>
      <c r="H88" s="386"/>
      <c r="I88" s="13">
        <f>I89+I90</f>
        <v>295000</v>
      </c>
      <c r="J88" s="13">
        <f t="shared" si="62"/>
        <v>0</v>
      </c>
      <c r="K88" s="129"/>
      <c r="L88" s="13">
        <f>L89+L90</f>
        <v>295000</v>
      </c>
      <c r="M88" s="13">
        <f t="shared" si="63"/>
        <v>0</v>
      </c>
      <c r="N88" s="129"/>
      <c r="O88" s="13">
        <f>O89+O90</f>
        <v>295000</v>
      </c>
      <c r="P88" s="13">
        <f t="shared" si="64"/>
        <v>0</v>
      </c>
      <c r="Q88" s="129"/>
      <c r="R88" s="13">
        <f>R89+R90</f>
        <v>375000</v>
      </c>
      <c r="S88" s="13">
        <f t="shared" si="39"/>
        <v>80000</v>
      </c>
      <c r="T88" s="129"/>
      <c r="U88" s="13">
        <f>U89+U90</f>
        <v>375000</v>
      </c>
      <c r="V88" s="13">
        <f t="shared" si="40"/>
        <v>0</v>
      </c>
      <c r="W88" s="129"/>
      <c r="X88" s="13">
        <f>X89+X90</f>
        <v>375000</v>
      </c>
      <c r="Y88" s="13">
        <f t="shared" si="41"/>
        <v>0</v>
      </c>
      <c r="Z88" s="129"/>
      <c r="AA88" s="13">
        <f>AA89+AA90</f>
        <v>375000</v>
      </c>
      <c r="AB88" s="13">
        <f t="shared" si="42"/>
        <v>0</v>
      </c>
      <c r="AC88" s="386"/>
      <c r="AD88" s="13">
        <f>AD89+AD90</f>
        <v>375000</v>
      </c>
      <c r="AE88" s="13">
        <f t="shared" si="43"/>
        <v>0</v>
      </c>
      <c r="AF88" s="129"/>
      <c r="AG88" s="517">
        <f>AG89+AG90</f>
        <v>373503.79</v>
      </c>
      <c r="AH88" s="199">
        <f t="shared" si="60"/>
        <v>0.99601010666666656</v>
      </c>
      <c r="AI88" s="526"/>
    </row>
    <row r="89" spans="1:35" ht="32.25" customHeight="1" x14ac:dyDescent="0.25">
      <c r="B89" s="2" t="s">
        <v>109</v>
      </c>
      <c r="C89" s="69" t="s">
        <v>110</v>
      </c>
      <c r="D89" s="70" t="s">
        <v>111</v>
      </c>
      <c r="E89" s="346">
        <v>295000</v>
      </c>
      <c r="F89" s="346">
        <f>ROUND(E89,0)</f>
        <v>295000</v>
      </c>
      <c r="G89" s="11">
        <f t="shared" si="61"/>
        <v>0</v>
      </c>
      <c r="H89" s="392"/>
      <c r="I89" s="11">
        <f>ROUND(F89,0)</f>
        <v>295000</v>
      </c>
      <c r="J89" s="11">
        <f t="shared" si="62"/>
        <v>0</v>
      </c>
      <c r="K89" s="135"/>
      <c r="L89" s="11">
        <f>ROUND(I89,0)</f>
        <v>295000</v>
      </c>
      <c r="M89" s="11">
        <f t="shared" si="63"/>
        <v>0</v>
      </c>
      <c r="N89" s="135"/>
      <c r="O89" s="11">
        <f>ROUND(L89,0)</f>
        <v>295000</v>
      </c>
      <c r="P89" s="11">
        <f t="shared" si="64"/>
        <v>0</v>
      </c>
      <c r="Q89" s="135"/>
      <c r="R89" s="11">
        <f>ROUND(O89,0)+80000</f>
        <v>375000</v>
      </c>
      <c r="S89" s="11">
        <f t="shared" si="39"/>
        <v>80000</v>
      </c>
      <c r="T89" s="135" t="s">
        <v>883</v>
      </c>
      <c r="U89" s="11">
        <f>ROUND(R89,0)</f>
        <v>375000</v>
      </c>
      <c r="V89" s="11">
        <f t="shared" si="40"/>
        <v>0</v>
      </c>
      <c r="W89" s="135"/>
      <c r="X89" s="11">
        <f>ROUND(U89,0)</f>
        <v>375000</v>
      </c>
      <c r="Y89" s="11">
        <f t="shared" si="41"/>
        <v>0</v>
      </c>
      <c r="Z89" s="135"/>
      <c r="AA89" s="11">
        <f>ROUND(X89,0)</f>
        <v>375000</v>
      </c>
      <c r="AB89" s="11">
        <f t="shared" si="42"/>
        <v>0</v>
      </c>
      <c r="AC89" s="392"/>
      <c r="AD89" s="11">
        <f>ROUND(AA89,0)</f>
        <v>375000</v>
      </c>
      <c r="AE89" s="11">
        <f t="shared" si="43"/>
        <v>0</v>
      </c>
      <c r="AF89" s="135"/>
      <c r="AG89" s="474">
        <v>373503.79</v>
      </c>
      <c r="AH89" s="200">
        <f t="shared" si="60"/>
        <v>0.99601010666666656</v>
      </c>
      <c r="AI89" s="474" t="s">
        <v>876</v>
      </c>
    </row>
    <row r="90" spans="1:35" ht="16.149999999999999" customHeight="1" x14ac:dyDescent="0.25">
      <c r="B90" s="2" t="s">
        <v>242</v>
      </c>
      <c r="C90" s="69" t="s">
        <v>112</v>
      </c>
      <c r="D90" s="70" t="s">
        <v>243</v>
      </c>
      <c r="E90" s="346">
        <v>0</v>
      </c>
      <c r="F90" s="346">
        <f>ROUND(E90,0)</f>
        <v>0</v>
      </c>
      <c r="G90" s="11">
        <f t="shared" si="61"/>
        <v>0</v>
      </c>
      <c r="H90" s="384"/>
      <c r="I90" s="11">
        <f>ROUND(F90,0)</f>
        <v>0</v>
      </c>
      <c r="J90" s="11">
        <f t="shared" si="62"/>
        <v>0</v>
      </c>
      <c r="K90" s="127"/>
      <c r="L90" s="11">
        <f>ROUND(I90,0)</f>
        <v>0</v>
      </c>
      <c r="M90" s="11">
        <f t="shared" si="63"/>
        <v>0</v>
      </c>
      <c r="N90" s="127"/>
      <c r="O90" s="11">
        <f>ROUND(L90,0)</f>
        <v>0</v>
      </c>
      <c r="P90" s="11">
        <f t="shared" si="64"/>
        <v>0</v>
      </c>
      <c r="Q90" s="127"/>
      <c r="R90" s="11">
        <f>ROUND(O90,0)</f>
        <v>0</v>
      </c>
      <c r="S90" s="11">
        <f t="shared" si="39"/>
        <v>0</v>
      </c>
      <c r="T90" s="127"/>
      <c r="U90" s="11">
        <f>ROUND(R90,0)</f>
        <v>0</v>
      </c>
      <c r="V90" s="11">
        <f t="shared" si="40"/>
        <v>0</v>
      </c>
      <c r="W90" s="127"/>
      <c r="X90" s="11">
        <f>ROUND(U90,0)</f>
        <v>0</v>
      </c>
      <c r="Y90" s="11">
        <f t="shared" si="41"/>
        <v>0</v>
      </c>
      <c r="Z90" s="127"/>
      <c r="AA90" s="11">
        <f>ROUND(X90,0)</f>
        <v>0</v>
      </c>
      <c r="AB90" s="11">
        <f t="shared" si="42"/>
        <v>0</v>
      </c>
      <c r="AC90" s="384"/>
      <c r="AD90" s="11">
        <f>ROUND(AA90,0)</f>
        <v>0</v>
      </c>
      <c r="AE90" s="11">
        <f t="shared" si="43"/>
        <v>0</v>
      </c>
      <c r="AF90" s="127"/>
      <c r="AG90" s="474">
        <v>0</v>
      </c>
      <c r="AH90" s="200" t="e">
        <f t="shared" si="60"/>
        <v>#DIV/0!</v>
      </c>
      <c r="AI90" s="504"/>
    </row>
    <row r="91" spans="1:35" ht="35.450000000000003" customHeight="1" x14ac:dyDescent="0.25">
      <c r="C91" s="75" t="s">
        <v>113</v>
      </c>
      <c r="D91" s="72" t="s">
        <v>114</v>
      </c>
      <c r="E91" s="345">
        <v>2153758</v>
      </c>
      <c r="F91" s="345">
        <f t="shared" ref="F91" si="70">F92+F95+F98+F102+F106</f>
        <v>1974755</v>
      </c>
      <c r="G91" s="13">
        <f t="shared" si="61"/>
        <v>-179003</v>
      </c>
      <c r="H91" s="386"/>
      <c r="I91" s="13">
        <f>I92+I95+I98+I102+I106</f>
        <v>1974755</v>
      </c>
      <c r="J91" s="13">
        <f t="shared" si="62"/>
        <v>0</v>
      </c>
      <c r="K91" s="129"/>
      <c r="L91" s="13">
        <f>L92+L95+L98+L102+L106</f>
        <v>1974755</v>
      </c>
      <c r="M91" s="13">
        <f t="shared" si="63"/>
        <v>0</v>
      </c>
      <c r="N91" s="129"/>
      <c r="O91" s="13">
        <f>O92+O95+O98+O102+O106</f>
        <v>2675467</v>
      </c>
      <c r="P91" s="13">
        <f t="shared" si="64"/>
        <v>700712</v>
      </c>
      <c r="Q91" s="129"/>
      <c r="R91" s="13">
        <f>R92+R95+R98+R102+R106</f>
        <v>2888467</v>
      </c>
      <c r="S91" s="13">
        <f t="shared" si="39"/>
        <v>213000</v>
      </c>
      <c r="T91" s="129"/>
      <c r="U91" s="13">
        <f>U92+U95+U98+U102+U106</f>
        <v>2908467</v>
      </c>
      <c r="V91" s="13">
        <f t="shared" si="40"/>
        <v>20000</v>
      </c>
      <c r="W91" s="129"/>
      <c r="X91" s="13">
        <f>X92+X95+X98+X102+X106</f>
        <v>2914767</v>
      </c>
      <c r="Y91" s="13">
        <f t="shared" si="41"/>
        <v>6300</v>
      </c>
      <c r="Z91" s="129"/>
      <c r="AA91" s="13">
        <f>AA92+AA95+AA98+AA102+AA106</f>
        <v>2341567</v>
      </c>
      <c r="AB91" s="13">
        <f t="shared" si="42"/>
        <v>-573200</v>
      </c>
      <c r="AC91" s="386"/>
      <c r="AD91" s="13">
        <f>AD92+AD95+AD98+AD102+AD106</f>
        <v>2341567</v>
      </c>
      <c r="AE91" s="13">
        <f t="shared" si="43"/>
        <v>0</v>
      </c>
      <c r="AF91" s="129"/>
      <c r="AG91" s="593">
        <f>AG92+AG95+AG98+AG102+AG106</f>
        <v>2375104.83</v>
      </c>
      <c r="AH91" s="199">
        <f t="shared" si="60"/>
        <v>1.014322814593817</v>
      </c>
      <c r="AI91" s="558"/>
    </row>
    <row r="92" spans="1:35" x14ac:dyDescent="0.25">
      <c r="A92" s="2" t="s">
        <v>9</v>
      </c>
      <c r="B92" s="2" t="s">
        <v>115</v>
      </c>
      <c r="C92" s="69" t="s">
        <v>116</v>
      </c>
      <c r="D92" s="70" t="s">
        <v>523</v>
      </c>
      <c r="E92" s="346">
        <v>149000</v>
      </c>
      <c r="F92" s="346">
        <f>SUM(F93:F94)</f>
        <v>149000</v>
      </c>
      <c r="G92" s="11">
        <f t="shared" si="61"/>
        <v>0</v>
      </c>
      <c r="H92" s="384"/>
      <c r="I92" s="11">
        <f>SUM(I93:I94)</f>
        <v>149000</v>
      </c>
      <c r="J92" s="11">
        <f t="shared" si="62"/>
        <v>0</v>
      </c>
      <c r="K92" s="127"/>
      <c r="L92" s="11">
        <f>SUM(L93:L94)</f>
        <v>149000</v>
      </c>
      <c r="M92" s="11">
        <f t="shared" si="63"/>
        <v>0</v>
      </c>
      <c r="N92" s="127"/>
      <c r="O92" s="11">
        <f>SUM(O93:O94)</f>
        <v>149000</v>
      </c>
      <c r="P92" s="11">
        <f t="shared" si="64"/>
        <v>0</v>
      </c>
      <c r="Q92" s="127"/>
      <c r="R92" s="11">
        <f>SUM(R93:R94)</f>
        <v>279000</v>
      </c>
      <c r="S92" s="11">
        <f t="shared" si="39"/>
        <v>130000</v>
      </c>
      <c r="T92" s="127"/>
      <c r="U92" s="11">
        <f>SUM(U93:U94)</f>
        <v>279000</v>
      </c>
      <c r="V92" s="11">
        <f t="shared" si="40"/>
        <v>0</v>
      </c>
      <c r="W92" s="127"/>
      <c r="X92" s="11">
        <f>SUM(X93:X94)</f>
        <v>279000</v>
      </c>
      <c r="Y92" s="11">
        <f t="shared" si="41"/>
        <v>0</v>
      </c>
      <c r="Z92" s="127"/>
      <c r="AA92" s="11">
        <f>SUM(AA93:AA94)</f>
        <v>279000</v>
      </c>
      <c r="AB92" s="11">
        <f t="shared" si="42"/>
        <v>0</v>
      </c>
      <c r="AC92" s="384"/>
      <c r="AD92" s="11">
        <f>SUM(AD93:AD94)</f>
        <v>279000</v>
      </c>
      <c r="AE92" s="11">
        <f t="shared" si="43"/>
        <v>0</v>
      </c>
      <c r="AF92" s="127"/>
      <c r="AG92" s="474">
        <f>SUM(AG93:AG94)</f>
        <v>228103.26</v>
      </c>
      <c r="AH92" s="200">
        <f t="shared" si="60"/>
        <v>0.81757440860215058</v>
      </c>
      <c r="AI92" s="504"/>
    </row>
    <row r="93" spans="1:35" ht="14.25" customHeight="1" x14ac:dyDescent="0.25">
      <c r="B93" s="2" t="s">
        <v>118</v>
      </c>
      <c r="C93" s="77" t="s">
        <v>117</v>
      </c>
      <c r="D93" s="78" t="s">
        <v>519</v>
      </c>
      <c r="E93" s="346">
        <v>24000</v>
      </c>
      <c r="F93" s="346">
        <f>ROUND(E93,0)</f>
        <v>24000</v>
      </c>
      <c r="G93" s="11">
        <f t="shared" si="61"/>
        <v>0</v>
      </c>
      <c r="H93" s="387"/>
      <c r="I93" s="11">
        <f>ROUND(F93,0)</f>
        <v>24000</v>
      </c>
      <c r="J93" s="11">
        <f t="shared" si="62"/>
        <v>0</v>
      </c>
      <c r="K93" s="130"/>
      <c r="L93" s="11">
        <f>ROUND(I93,0)</f>
        <v>24000</v>
      </c>
      <c r="M93" s="11">
        <f t="shared" si="63"/>
        <v>0</v>
      </c>
      <c r="N93" s="130"/>
      <c r="O93" s="11">
        <f>ROUND(L93,0)</f>
        <v>24000</v>
      </c>
      <c r="P93" s="11">
        <f t="shared" si="64"/>
        <v>0</v>
      </c>
      <c r="Q93" s="130"/>
      <c r="R93" s="11">
        <f>ROUND(O93,0)+55000</f>
        <v>79000</v>
      </c>
      <c r="S93" s="11">
        <f t="shared" si="39"/>
        <v>55000</v>
      </c>
      <c r="T93" s="135" t="s">
        <v>883</v>
      </c>
      <c r="U93" s="11">
        <f>ROUND(R93,0)</f>
        <v>79000</v>
      </c>
      <c r="V93" s="11">
        <f t="shared" si="40"/>
        <v>0</v>
      </c>
      <c r="W93" s="135"/>
      <c r="X93" s="11">
        <f>ROUND(U93,0)</f>
        <v>79000</v>
      </c>
      <c r="Y93" s="11">
        <f t="shared" si="41"/>
        <v>0</v>
      </c>
      <c r="Z93" s="135"/>
      <c r="AA93" s="11">
        <f>ROUND(X93,0)</f>
        <v>79000</v>
      </c>
      <c r="AB93" s="11">
        <f t="shared" si="42"/>
        <v>0</v>
      </c>
      <c r="AC93" s="392"/>
      <c r="AD93" s="11">
        <f>ROUND(AA93,0)</f>
        <v>79000</v>
      </c>
      <c r="AE93" s="11">
        <f t="shared" si="43"/>
        <v>0</v>
      </c>
      <c r="AF93" s="135"/>
      <c r="AG93" s="474">
        <v>64154.01</v>
      </c>
      <c r="AH93" s="200">
        <f t="shared" si="60"/>
        <v>0.81207607594936715</v>
      </c>
      <c r="AI93" s="504"/>
    </row>
    <row r="94" spans="1:35" ht="30" customHeight="1" x14ac:dyDescent="0.25">
      <c r="B94" s="2" t="s">
        <v>120</v>
      </c>
      <c r="C94" s="77" t="s">
        <v>119</v>
      </c>
      <c r="D94" s="113" t="s">
        <v>520</v>
      </c>
      <c r="E94" s="346">
        <v>125000</v>
      </c>
      <c r="F94" s="346">
        <f>ROUND(E94,0)</f>
        <v>125000</v>
      </c>
      <c r="G94" s="11">
        <f t="shared" si="61"/>
        <v>0</v>
      </c>
      <c r="H94" s="387"/>
      <c r="I94" s="11">
        <f>ROUND(F94,0)</f>
        <v>125000</v>
      </c>
      <c r="J94" s="11">
        <f t="shared" si="62"/>
        <v>0</v>
      </c>
      <c r="K94" s="130"/>
      <c r="L94" s="11">
        <f>ROUND(I94,0)</f>
        <v>125000</v>
      </c>
      <c r="M94" s="11">
        <f t="shared" si="63"/>
        <v>0</v>
      </c>
      <c r="N94" s="130"/>
      <c r="O94" s="11">
        <f>ROUND(L94,0)</f>
        <v>125000</v>
      </c>
      <c r="P94" s="11">
        <f t="shared" si="64"/>
        <v>0</v>
      </c>
      <c r="Q94" s="130"/>
      <c r="R94" s="11">
        <f>ROUND(O94,0)+75000</f>
        <v>200000</v>
      </c>
      <c r="S94" s="11">
        <f t="shared" si="39"/>
        <v>75000</v>
      </c>
      <c r="T94" s="135" t="s">
        <v>883</v>
      </c>
      <c r="U94" s="11">
        <f>ROUND(R94,0)</f>
        <v>200000</v>
      </c>
      <c r="V94" s="11">
        <f t="shared" si="40"/>
        <v>0</v>
      </c>
      <c r="W94" s="135"/>
      <c r="X94" s="11">
        <f>ROUND(U94,0)</f>
        <v>200000</v>
      </c>
      <c r="Y94" s="11">
        <f t="shared" si="41"/>
        <v>0</v>
      </c>
      <c r="Z94" s="135"/>
      <c r="AA94" s="11">
        <f>ROUND(X94,0)</f>
        <v>200000</v>
      </c>
      <c r="AB94" s="11">
        <f t="shared" si="42"/>
        <v>0</v>
      </c>
      <c r="AC94" s="392"/>
      <c r="AD94" s="11">
        <f>ROUND(AA94,0)</f>
        <v>200000</v>
      </c>
      <c r="AE94" s="11">
        <f t="shared" si="43"/>
        <v>0</v>
      </c>
      <c r="AF94" s="135"/>
      <c r="AG94" s="474">
        <v>163949.25</v>
      </c>
      <c r="AH94" s="200">
        <f t="shared" si="60"/>
        <v>0.81974625000000001</v>
      </c>
      <c r="AI94" s="504"/>
    </row>
    <row r="95" spans="1:35" ht="13.9" customHeight="1" x14ac:dyDescent="0.25">
      <c r="C95" s="69" t="s">
        <v>122</v>
      </c>
      <c r="D95" s="70" t="s">
        <v>302</v>
      </c>
      <c r="E95" s="353">
        <v>0</v>
      </c>
      <c r="F95" s="353">
        <f>F96+F97</f>
        <v>0</v>
      </c>
      <c r="G95" s="54">
        <f t="shared" si="61"/>
        <v>0</v>
      </c>
      <c r="H95" s="408"/>
      <c r="I95" s="54">
        <f>I96+I97</f>
        <v>0</v>
      </c>
      <c r="J95" s="54">
        <f t="shared" si="62"/>
        <v>0</v>
      </c>
      <c r="K95" s="154"/>
      <c r="L95" s="54">
        <f>L96+L97</f>
        <v>0</v>
      </c>
      <c r="M95" s="54">
        <f t="shared" si="63"/>
        <v>0</v>
      </c>
      <c r="N95" s="154"/>
      <c r="O95" s="54">
        <f>O96+O97</f>
        <v>0</v>
      </c>
      <c r="P95" s="54">
        <f t="shared" si="64"/>
        <v>0</v>
      </c>
      <c r="Q95" s="154"/>
      <c r="R95" s="54">
        <f>R96+R97</f>
        <v>0</v>
      </c>
      <c r="S95" s="54">
        <f t="shared" si="39"/>
        <v>0</v>
      </c>
      <c r="T95" s="154"/>
      <c r="U95" s="54">
        <f>U96+U97</f>
        <v>0</v>
      </c>
      <c r="V95" s="54">
        <f t="shared" si="40"/>
        <v>0</v>
      </c>
      <c r="W95" s="154"/>
      <c r="X95" s="54">
        <f>X96+X97</f>
        <v>0</v>
      </c>
      <c r="Y95" s="54">
        <f t="shared" si="41"/>
        <v>0</v>
      </c>
      <c r="Z95" s="154"/>
      <c r="AA95" s="54">
        <f>AA96+AA97</f>
        <v>0</v>
      </c>
      <c r="AB95" s="54">
        <f t="shared" si="42"/>
        <v>0</v>
      </c>
      <c r="AC95" s="408"/>
      <c r="AD95" s="54">
        <f>AD96+AD97</f>
        <v>0</v>
      </c>
      <c r="AE95" s="54">
        <f t="shared" si="43"/>
        <v>0</v>
      </c>
      <c r="AF95" s="154"/>
      <c r="AG95" s="474">
        <v>3921</v>
      </c>
      <c r="AH95" s="205" t="e">
        <f t="shared" si="60"/>
        <v>#DIV/0!</v>
      </c>
      <c r="AI95" s="504"/>
    </row>
    <row r="96" spans="1:35" x14ac:dyDescent="0.25">
      <c r="C96" s="77" t="s">
        <v>125</v>
      </c>
      <c r="D96" s="78" t="s">
        <v>298</v>
      </c>
      <c r="E96" s="346">
        <v>0</v>
      </c>
      <c r="F96" s="346"/>
      <c r="G96" s="54">
        <f t="shared" si="61"/>
        <v>0</v>
      </c>
      <c r="H96" s="390"/>
      <c r="I96" s="11"/>
      <c r="J96" s="54">
        <f t="shared" si="62"/>
        <v>0</v>
      </c>
      <c r="K96" s="133"/>
      <c r="L96" s="11"/>
      <c r="M96" s="54">
        <f t="shared" si="63"/>
        <v>0</v>
      </c>
      <c r="N96" s="133"/>
      <c r="O96" s="11"/>
      <c r="P96" s="54">
        <f t="shared" si="64"/>
        <v>0</v>
      </c>
      <c r="Q96" s="133"/>
      <c r="R96" s="11"/>
      <c r="S96" s="54">
        <f t="shared" si="39"/>
        <v>0</v>
      </c>
      <c r="T96" s="133"/>
      <c r="U96" s="11"/>
      <c r="V96" s="54">
        <f t="shared" si="40"/>
        <v>0</v>
      </c>
      <c r="W96" s="133"/>
      <c r="X96" s="11"/>
      <c r="Y96" s="54">
        <f t="shared" si="41"/>
        <v>0</v>
      </c>
      <c r="Z96" s="133"/>
      <c r="AA96" s="11"/>
      <c r="AB96" s="54">
        <f t="shared" si="42"/>
        <v>0</v>
      </c>
      <c r="AC96" s="390"/>
      <c r="AD96" s="11"/>
      <c r="AE96" s="54">
        <f t="shared" si="43"/>
        <v>0</v>
      </c>
      <c r="AF96" s="133"/>
      <c r="AG96" s="504"/>
      <c r="AH96" s="205" t="e">
        <f t="shared" si="60"/>
        <v>#DIV/0!</v>
      </c>
      <c r="AI96" s="504"/>
    </row>
    <row r="97" spans="1:35" ht="30" customHeight="1" x14ac:dyDescent="0.25">
      <c r="B97" s="60" t="s">
        <v>471</v>
      </c>
      <c r="C97" s="77" t="s">
        <v>127</v>
      </c>
      <c r="D97" s="308" t="s">
        <v>301</v>
      </c>
      <c r="E97" s="346">
        <v>0</v>
      </c>
      <c r="F97" s="346">
        <f>ROUND(E97,0)</f>
        <v>0</v>
      </c>
      <c r="G97" s="54">
        <f t="shared" si="61"/>
        <v>0</v>
      </c>
      <c r="H97" s="390"/>
      <c r="I97" s="11">
        <f>ROUND(F97,0)</f>
        <v>0</v>
      </c>
      <c r="J97" s="54">
        <f t="shared" si="62"/>
        <v>0</v>
      </c>
      <c r="K97" s="133"/>
      <c r="L97" s="11">
        <f>ROUND(I97,0)</f>
        <v>0</v>
      </c>
      <c r="M97" s="54">
        <f t="shared" si="63"/>
        <v>0</v>
      </c>
      <c r="N97" s="133"/>
      <c r="O97" s="11">
        <f>ROUND(L97,0)</f>
        <v>0</v>
      </c>
      <c r="P97" s="54">
        <f t="shared" si="64"/>
        <v>0</v>
      </c>
      <c r="Q97" s="133"/>
      <c r="R97" s="11">
        <f>ROUND(O97,0)</f>
        <v>0</v>
      </c>
      <c r="S97" s="54">
        <f t="shared" si="39"/>
        <v>0</v>
      </c>
      <c r="T97" s="133"/>
      <c r="U97" s="11">
        <f>ROUND(R97,0)</f>
        <v>0</v>
      </c>
      <c r="V97" s="54">
        <f t="shared" si="40"/>
        <v>0</v>
      </c>
      <c r="W97" s="133"/>
      <c r="X97" s="11">
        <f>ROUND(U97,0)</f>
        <v>0</v>
      </c>
      <c r="Y97" s="54">
        <f t="shared" si="41"/>
        <v>0</v>
      </c>
      <c r="Z97" s="133"/>
      <c r="AA97" s="11">
        <f>ROUND(X97,0)</f>
        <v>0</v>
      </c>
      <c r="AB97" s="54">
        <f t="shared" si="42"/>
        <v>0</v>
      </c>
      <c r="AC97" s="390"/>
      <c r="AD97" s="11">
        <f>ROUND(AA97,0)</f>
        <v>0</v>
      </c>
      <c r="AE97" s="54">
        <f t="shared" si="43"/>
        <v>0</v>
      </c>
      <c r="AF97" s="133"/>
      <c r="AG97" s="504"/>
      <c r="AH97" s="205" t="e">
        <f t="shared" si="60"/>
        <v>#DIV/0!</v>
      </c>
      <c r="AI97" s="504"/>
    </row>
    <row r="98" spans="1:35" x14ac:dyDescent="0.25">
      <c r="A98" s="2" t="s">
        <v>9</v>
      </c>
      <c r="B98" s="2" t="s">
        <v>121</v>
      </c>
      <c r="C98" s="69" t="s">
        <v>129</v>
      </c>
      <c r="D98" s="70" t="s">
        <v>123</v>
      </c>
      <c r="E98" s="346">
        <v>180000</v>
      </c>
      <c r="F98" s="346">
        <f>SUM(F99:F101)</f>
        <v>180000</v>
      </c>
      <c r="G98" s="11">
        <f t="shared" si="61"/>
        <v>0</v>
      </c>
      <c r="H98" s="384"/>
      <c r="I98" s="11">
        <f>SUM(I99:I101)</f>
        <v>180000</v>
      </c>
      <c r="J98" s="11">
        <f t="shared" si="62"/>
        <v>0</v>
      </c>
      <c r="K98" s="127"/>
      <c r="L98" s="11">
        <f>SUM(L99:L101)</f>
        <v>180000</v>
      </c>
      <c r="M98" s="11">
        <f t="shared" si="63"/>
        <v>0</v>
      </c>
      <c r="N98" s="127"/>
      <c r="O98" s="11">
        <f>SUM(O99:O101)</f>
        <v>195370</v>
      </c>
      <c r="P98" s="11">
        <f t="shared" si="64"/>
        <v>15370</v>
      </c>
      <c r="Q98" s="127"/>
      <c r="R98" s="11">
        <f>SUM(R99:R101)</f>
        <v>278370</v>
      </c>
      <c r="S98" s="11">
        <f t="shared" si="39"/>
        <v>83000</v>
      </c>
      <c r="T98" s="127"/>
      <c r="U98" s="11">
        <f>SUM(U99:U101)</f>
        <v>278370</v>
      </c>
      <c r="V98" s="11">
        <f t="shared" si="40"/>
        <v>0</v>
      </c>
      <c r="W98" s="127"/>
      <c r="X98" s="11">
        <f>SUM(X99:X101)</f>
        <v>278370</v>
      </c>
      <c r="Y98" s="11">
        <f t="shared" si="41"/>
        <v>0</v>
      </c>
      <c r="Z98" s="127"/>
      <c r="AA98" s="11">
        <f>SUM(AA99:AA101)</f>
        <v>278370</v>
      </c>
      <c r="AB98" s="11">
        <f t="shared" si="42"/>
        <v>0</v>
      </c>
      <c r="AC98" s="384"/>
      <c r="AD98" s="11">
        <f>SUM(AD99:AD101)</f>
        <v>278370</v>
      </c>
      <c r="AE98" s="11">
        <f t="shared" si="43"/>
        <v>0</v>
      </c>
      <c r="AF98" s="127"/>
      <c r="AG98" s="594">
        <f>SUM(AG99:AG101)</f>
        <v>329919.86</v>
      </c>
      <c r="AH98" s="200">
        <f t="shared" si="60"/>
        <v>1.185184682257427</v>
      </c>
      <c r="AI98" s="504"/>
    </row>
    <row r="99" spans="1:35" ht="16.5" customHeight="1" x14ac:dyDescent="0.25">
      <c r="B99" s="2" t="s">
        <v>124</v>
      </c>
      <c r="C99" s="77" t="s">
        <v>303</v>
      </c>
      <c r="D99" s="78" t="s">
        <v>305</v>
      </c>
      <c r="E99" s="346">
        <v>143000</v>
      </c>
      <c r="F99" s="346">
        <f>ROUND(E99,0)</f>
        <v>143000</v>
      </c>
      <c r="G99" s="11">
        <f t="shared" si="61"/>
        <v>0</v>
      </c>
      <c r="H99" s="392"/>
      <c r="I99" s="11">
        <f>ROUND(F99,0)</f>
        <v>143000</v>
      </c>
      <c r="J99" s="11">
        <f t="shared" si="62"/>
        <v>0</v>
      </c>
      <c r="K99" s="135"/>
      <c r="L99" s="11">
        <f>ROUND(I99,0)</f>
        <v>143000</v>
      </c>
      <c r="M99" s="11">
        <f t="shared" si="63"/>
        <v>0</v>
      </c>
      <c r="N99" s="135"/>
      <c r="O99" s="11">
        <f>ROUND(L99,0)+6370+9000</f>
        <v>158370</v>
      </c>
      <c r="P99" s="11">
        <f t="shared" si="64"/>
        <v>15370</v>
      </c>
      <c r="Q99" s="135" t="s">
        <v>851</v>
      </c>
      <c r="R99" s="11">
        <f>ROUND(O99,0)+62000</f>
        <v>220370</v>
      </c>
      <c r="S99" s="11">
        <f t="shared" si="39"/>
        <v>62000</v>
      </c>
      <c r="T99" s="135" t="s">
        <v>884</v>
      </c>
      <c r="U99" s="11">
        <f>ROUND(R99,0)</f>
        <v>220370</v>
      </c>
      <c r="V99" s="11">
        <f t="shared" si="40"/>
        <v>0</v>
      </c>
      <c r="W99" s="135"/>
      <c r="X99" s="11">
        <f>ROUND(U99,0)</f>
        <v>220370</v>
      </c>
      <c r="Y99" s="11">
        <f t="shared" si="41"/>
        <v>0</v>
      </c>
      <c r="Z99" s="135"/>
      <c r="AA99" s="11">
        <f>ROUND(X99,0)</f>
        <v>220370</v>
      </c>
      <c r="AB99" s="11">
        <f t="shared" si="42"/>
        <v>0</v>
      </c>
      <c r="AC99" s="392"/>
      <c r="AD99" s="11">
        <f>ROUND(AA99,0)</f>
        <v>220370</v>
      </c>
      <c r="AE99" s="11">
        <f t="shared" si="43"/>
        <v>0</v>
      </c>
      <c r="AF99" s="135"/>
      <c r="AG99" s="474">
        <f>242063.39+247.84</f>
        <v>242311.23</v>
      </c>
      <c r="AH99" s="200">
        <f t="shared" si="60"/>
        <v>1.0995654127149794</v>
      </c>
      <c r="AI99" s="504"/>
    </row>
    <row r="100" spans="1:35" x14ac:dyDescent="0.25">
      <c r="B100" s="2" t="s">
        <v>126</v>
      </c>
      <c r="C100" s="77" t="s">
        <v>304</v>
      </c>
      <c r="D100" s="78" t="s">
        <v>306</v>
      </c>
      <c r="E100" s="346">
        <v>36000</v>
      </c>
      <c r="F100" s="346">
        <f>ROUND(E100,0)</f>
        <v>36000</v>
      </c>
      <c r="G100" s="11">
        <f t="shared" si="61"/>
        <v>0</v>
      </c>
      <c r="H100" s="384"/>
      <c r="I100" s="11">
        <f>ROUND(F100,0)</f>
        <v>36000</v>
      </c>
      <c r="J100" s="11">
        <f t="shared" si="62"/>
        <v>0</v>
      </c>
      <c r="K100" s="127"/>
      <c r="L100" s="11">
        <f>ROUND(I100,0)</f>
        <v>36000</v>
      </c>
      <c r="M100" s="11">
        <f t="shared" si="63"/>
        <v>0</v>
      </c>
      <c r="N100" s="127"/>
      <c r="O100" s="11">
        <f>ROUND(L100,0)</f>
        <v>36000</v>
      </c>
      <c r="P100" s="11">
        <f t="shared" si="64"/>
        <v>0</v>
      </c>
      <c r="Q100" s="127"/>
      <c r="R100" s="11">
        <f>ROUND(O100,0)+21000</f>
        <v>57000</v>
      </c>
      <c r="S100" s="11">
        <f t="shared" si="39"/>
        <v>21000</v>
      </c>
      <c r="T100" s="135" t="s">
        <v>884</v>
      </c>
      <c r="U100" s="11">
        <f>ROUND(R100,0)</f>
        <v>57000</v>
      </c>
      <c r="V100" s="11">
        <f t="shared" si="40"/>
        <v>0</v>
      </c>
      <c r="W100" s="135"/>
      <c r="X100" s="11">
        <f>ROUND(U100,0)</f>
        <v>57000</v>
      </c>
      <c r="Y100" s="11">
        <f t="shared" si="41"/>
        <v>0</v>
      </c>
      <c r="Z100" s="135"/>
      <c r="AA100" s="11">
        <f>ROUND(X100,0)</f>
        <v>57000</v>
      </c>
      <c r="AB100" s="11">
        <f t="shared" si="42"/>
        <v>0</v>
      </c>
      <c r="AC100" s="392"/>
      <c r="AD100" s="11">
        <f>ROUND(AA100,0)</f>
        <v>57000</v>
      </c>
      <c r="AE100" s="11">
        <f t="shared" si="43"/>
        <v>0</v>
      </c>
      <c r="AF100" s="135"/>
      <c r="AG100" s="474">
        <v>87390.83</v>
      </c>
      <c r="AH100" s="200">
        <f t="shared" si="60"/>
        <v>1.5331724561403508</v>
      </c>
      <c r="AI100" s="504"/>
    </row>
    <row r="101" spans="1:35" x14ac:dyDescent="0.25">
      <c r="B101" s="2" t="s">
        <v>483</v>
      </c>
      <c r="C101" s="77" t="s">
        <v>307</v>
      </c>
      <c r="D101" s="308" t="s">
        <v>308</v>
      </c>
      <c r="E101" s="346">
        <v>1000</v>
      </c>
      <c r="F101" s="346">
        <f>ROUND(E101,0)</f>
        <v>1000</v>
      </c>
      <c r="G101" s="54">
        <f t="shared" si="61"/>
        <v>0</v>
      </c>
      <c r="H101" s="393"/>
      <c r="I101" s="11">
        <f>ROUND(F101,0)</f>
        <v>1000</v>
      </c>
      <c r="J101" s="54">
        <f t="shared" si="62"/>
        <v>0</v>
      </c>
      <c r="K101" s="136"/>
      <c r="L101" s="11">
        <f>ROUND(I101,0)</f>
        <v>1000</v>
      </c>
      <c r="M101" s="54">
        <f t="shared" si="63"/>
        <v>0</v>
      </c>
      <c r="N101" s="136"/>
      <c r="O101" s="11">
        <f>ROUND(L101,0)</f>
        <v>1000</v>
      </c>
      <c r="P101" s="54">
        <f t="shared" si="64"/>
        <v>0</v>
      </c>
      <c r="Q101" s="136"/>
      <c r="R101" s="11">
        <f>ROUND(O101,0)</f>
        <v>1000</v>
      </c>
      <c r="S101" s="54">
        <f t="shared" si="39"/>
        <v>0</v>
      </c>
      <c r="T101" s="136"/>
      <c r="U101" s="11">
        <f>ROUND(R101,0)</f>
        <v>1000</v>
      </c>
      <c r="V101" s="54">
        <f t="shared" si="40"/>
        <v>0</v>
      </c>
      <c r="W101" s="136"/>
      <c r="X101" s="11">
        <f>ROUND(U101,0)</f>
        <v>1000</v>
      </c>
      <c r="Y101" s="54">
        <f t="shared" si="41"/>
        <v>0</v>
      </c>
      <c r="Z101" s="136"/>
      <c r="AA101" s="11">
        <f>ROUND(X101,0)</f>
        <v>1000</v>
      </c>
      <c r="AB101" s="54">
        <f t="shared" si="42"/>
        <v>0</v>
      </c>
      <c r="AC101" s="393"/>
      <c r="AD101" s="11">
        <f>ROUND(AA101,0)</f>
        <v>1000</v>
      </c>
      <c r="AE101" s="54">
        <f t="shared" si="43"/>
        <v>0</v>
      </c>
      <c r="AF101" s="136"/>
      <c r="AG101" s="474">
        <f>217.8</f>
        <v>217.8</v>
      </c>
      <c r="AH101" s="205">
        <f t="shared" si="60"/>
        <v>0.21780000000000002</v>
      </c>
      <c r="AI101" s="504"/>
    </row>
    <row r="102" spans="1:35" ht="25.15" customHeight="1" x14ac:dyDescent="0.25">
      <c r="A102" s="2" t="s">
        <v>9</v>
      </c>
      <c r="B102" s="2" t="s">
        <v>128</v>
      </c>
      <c r="C102" s="69" t="s">
        <v>131</v>
      </c>
      <c r="D102" s="70" t="s">
        <v>130</v>
      </c>
      <c r="E102" s="346">
        <v>1712137</v>
      </c>
      <c r="F102" s="346">
        <f t="shared" ref="F102" si="71">SUM(F103:F105)</f>
        <v>1543755</v>
      </c>
      <c r="G102" s="11">
        <f t="shared" si="61"/>
        <v>-168382</v>
      </c>
      <c r="H102" s="398"/>
      <c r="I102" s="11">
        <f>SUM(I103:I105)</f>
        <v>1543755</v>
      </c>
      <c r="J102" s="11">
        <f t="shared" si="62"/>
        <v>0</v>
      </c>
      <c r="K102" s="144"/>
      <c r="L102" s="11">
        <f>SUM(L103:L105)</f>
        <v>1543755</v>
      </c>
      <c r="M102" s="11">
        <f t="shared" si="63"/>
        <v>0</v>
      </c>
      <c r="N102" s="144"/>
      <c r="O102" s="11">
        <f>SUM(O103:O105)</f>
        <v>2224097</v>
      </c>
      <c r="P102" s="11">
        <f t="shared" si="64"/>
        <v>680342</v>
      </c>
      <c r="Q102" s="144"/>
      <c r="R102" s="11">
        <f>SUM(R103:R105)</f>
        <v>2224097</v>
      </c>
      <c r="S102" s="11">
        <f t="shared" si="39"/>
        <v>0</v>
      </c>
      <c r="T102" s="144"/>
      <c r="U102" s="11">
        <f>SUM(U103:U105)</f>
        <v>2224097</v>
      </c>
      <c r="V102" s="11">
        <f t="shared" si="40"/>
        <v>0</v>
      </c>
      <c r="W102" s="144"/>
      <c r="X102" s="11">
        <f>SUM(X103:X105)</f>
        <v>2230397</v>
      </c>
      <c r="Y102" s="11">
        <f t="shared" si="41"/>
        <v>6300</v>
      </c>
      <c r="Z102" s="144"/>
      <c r="AA102" s="11">
        <f>SUM(AA103:AA105)</f>
        <v>1657197</v>
      </c>
      <c r="AB102" s="11">
        <f t="shared" si="42"/>
        <v>-573200</v>
      </c>
      <c r="AC102" s="398"/>
      <c r="AD102" s="11">
        <f>SUM(AD103:AD105)</f>
        <v>1657197</v>
      </c>
      <c r="AE102" s="11">
        <f t="shared" si="43"/>
        <v>0</v>
      </c>
      <c r="AF102" s="144"/>
      <c r="AG102" s="474">
        <f>SUM(AG103:AG105)</f>
        <v>1634620.8</v>
      </c>
      <c r="AH102" s="200">
        <f t="shared" si="60"/>
        <v>0.98637687613482283</v>
      </c>
      <c r="AI102" s="504"/>
    </row>
    <row r="103" spans="1:35" ht="28.15" customHeight="1" x14ac:dyDescent="0.25">
      <c r="A103" s="60" t="s">
        <v>215</v>
      </c>
      <c r="C103" s="77" t="s">
        <v>281</v>
      </c>
      <c r="D103" s="78" t="s">
        <v>130</v>
      </c>
      <c r="E103" s="346">
        <v>135600</v>
      </c>
      <c r="F103" s="346">
        <f>ROUND(E103,0)</f>
        <v>135600</v>
      </c>
      <c r="G103" s="54">
        <f t="shared" si="61"/>
        <v>0</v>
      </c>
      <c r="H103" s="393"/>
      <c r="I103" s="11">
        <f>ROUND(F103,0)</f>
        <v>135600</v>
      </c>
      <c r="J103" s="54">
        <f t="shared" si="62"/>
        <v>0</v>
      </c>
      <c r="K103" s="136"/>
      <c r="L103" s="11">
        <f>ROUND(I103,0)</f>
        <v>135600</v>
      </c>
      <c r="M103" s="54">
        <f t="shared" si="63"/>
        <v>0</v>
      </c>
      <c r="N103" s="136"/>
      <c r="O103" s="11">
        <f>ROUND(L103,0)</f>
        <v>135600</v>
      </c>
      <c r="P103" s="54">
        <f t="shared" si="64"/>
        <v>0</v>
      </c>
      <c r="Q103" s="144"/>
      <c r="R103" s="11">
        <f>ROUND(O103,0)</f>
        <v>135600</v>
      </c>
      <c r="S103" s="54">
        <f t="shared" si="39"/>
        <v>0</v>
      </c>
      <c r="T103" s="144"/>
      <c r="U103" s="11">
        <f>ROUND(R103,0)</f>
        <v>135600</v>
      </c>
      <c r="V103" s="54">
        <f t="shared" si="40"/>
        <v>0</v>
      </c>
      <c r="W103" s="144"/>
      <c r="X103" s="11">
        <f>ROUND(U103,0)</f>
        <v>135600</v>
      </c>
      <c r="Y103" s="54">
        <f t="shared" si="41"/>
        <v>0</v>
      </c>
      <c r="Z103" s="144"/>
      <c r="AA103" s="11">
        <f>ROUND(X103,0)</f>
        <v>135600</v>
      </c>
      <c r="AB103" s="54">
        <f t="shared" si="42"/>
        <v>0</v>
      </c>
      <c r="AC103" s="398"/>
      <c r="AD103" s="11">
        <f>ROUND(AA103,0)</f>
        <v>135600</v>
      </c>
      <c r="AE103" s="54">
        <f t="shared" si="43"/>
        <v>0</v>
      </c>
      <c r="AF103" s="144"/>
      <c r="AG103" s="474">
        <f>115324.85</f>
        <v>115324.85</v>
      </c>
      <c r="AH103" s="205">
        <f t="shared" si="60"/>
        <v>0.85047824483775813</v>
      </c>
      <c r="AI103" s="504"/>
    </row>
    <row r="104" spans="1:35" ht="45" customHeight="1" x14ac:dyDescent="0.25">
      <c r="B104" s="2" t="s">
        <v>521</v>
      </c>
      <c r="C104" s="77" t="s">
        <v>282</v>
      </c>
      <c r="D104" s="78" t="s">
        <v>522</v>
      </c>
      <c r="E104" s="346">
        <v>2500</v>
      </c>
      <c r="F104" s="346">
        <f>ROUND(E104,0)</f>
        <v>2500</v>
      </c>
      <c r="G104" s="54">
        <f t="shared" si="61"/>
        <v>0</v>
      </c>
      <c r="H104" s="393"/>
      <c r="I104" s="11">
        <f>ROUND(F104,0)</f>
        <v>2500</v>
      </c>
      <c r="J104" s="54">
        <f t="shared" si="62"/>
        <v>0</v>
      </c>
      <c r="K104" s="136"/>
      <c r="L104" s="11">
        <f>ROUND(I104,0)</f>
        <v>2500</v>
      </c>
      <c r="M104" s="54">
        <f t="shared" si="63"/>
        <v>0</v>
      </c>
      <c r="N104" s="136"/>
      <c r="O104" s="11">
        <f>ROUND(L104,0)</f>
        <v>2500</v>
      </c>
      <c r="P104" s="54">
        <f t="shared" si="64"/>
        <v>0</v>
      </c>
      <c r="Q104" s="136"/>
      <c r="R104" s="11">
        <f>ROUND(O104,0)</f>
        <v>2500</v>
      </c>
      <c r="S104" s="54">
        <f t="shared" si="39"/>
        <v>0</v>
      </c>
      <c r="T104" s="136"/>
      <c r="U104" s="11">
        <f>ROUND(R104,0)</f>
        <v>2500</v>
      </c>
      <c r="V104" s="54">
        <f t="shared" si="40"/>
        <v>0</v>
      </c>
      <c r="W104" s="136"/>
      <c r="X104" s="11">
        <f>ROUND(U104,0)+6300</f>
        <v>8800</v>
      </c>
      <c r="Y104" s="54">
        <f t="shared" si="41"/>
        <v>6300</v>
      </c>
      <c r="Z104" s="144" t="s">
        <v>948</v>
      </c>
      <c r="AA104" s="11">
        <f>ROUND(X104,0)</f>
        <v>8800</v>
      </c>
      <c r="AB104" s="54">
        <f t="shared" si="42"/>
        <v>0</v>
      </c>
      <c r="AC104" s="398"/>
      <c r="AD104" s="11">
        <f>ROUND(AA104,0)</f>
        <v>8800</v>
      </c>
      <c r="AE104" s="54">
        <f t="shared" si="43"/>
        <v>0</v>
      </c>
      <c r="AF104" s="144"/>
      <c r="AG104" s="474">
        <v>6299.92</v>
      </c>
      <c r="AH104" s="205">
        <f t="shared" si="60"/>
        <v>0.71589999999999998</v>
      </c>
      <c r="AI104" s="504"/>
    </row>
    <row r="105" spans="1:35" ht="48.75" customHeight="1" x14ac:dyDescent="0.25">
      <c r="B105" s="2" t="s">
        <v>687</v>
      </c>
      <c r="C105" s="77" t="s">
        <v>283</v>
      </c>
      <c r="D105" s="78" t="s">
        <v>309</v>
      </c>
      <c r="E105" s="346">
        <v>1574037</v>
      </c>
      <c r="F105" s="346">
        <f>ROUND(E105,0)-168382</f>
        <v>1405655</v>
      </c>
      <c r="G105" s="54">
        <f t="shared" si="61"/>
        <v>-168382</v>
      </c>
      <c r="H105" s="448" t="s">
        <v>752</v>
      </c>
      <c r="I105" s="11">
        <f>ROUND(F105,0)</f>
        <v>1405655</v>
      </c>
      <c r="J105" s="54">
        <f t="shared" si="62"/>
        <v>0</v>
      </c>
      <c r="K105" s="136"/>
      <c r="L105" s="11">
        <f>ROUND(I105,0)</f>
        <v>1405655</v>
      </c>
      <c r="M105" s="54">
        <f t="shared" si="63"/>
        <v>0</v>
      </c>
      <c r="N105" s="144"/>
      <c r="O105" s="11">
        <f>ROUND(L105,0)+680342</f>
        <v>2085997</v>
      </c>
      <c r="P105" s="54">
        <f t="shared" si="64"/>
        <v>680342</v>
      </c>
      <c r="Q105" s="144" t="s">
        <v>852</v>
      </c>
      <c r="R105" s="11">
        <f>ROUND(O105,0)</f>
        <v>2085997</v>
      </c>
      <c r="S105" s="54">
        <f t="shared" si="39"/>
        <v>0</v>
      </c>
      <c r="T105" s="144"/>
      <c r="U105" s="11">
        <f>ROUND(R105,0)</f>
        <v>2085997</v>
      </c>
      <c r="V105" s="54">
        <f t="shared" si="40"/>
        <v>0</v>
      </c>
      <c r="W105" s="144"/>
      <c r="X105" s="11">
        <f>ROUND(U105,0)</f>
        <v>2085997</v>
      </c>
      <c r="Y105" s="54">
        <f t="shared" si="41"/>
        <v>0</v>
      </c>
      <c r="Z105" s="144"/>
      <c r="AA105" s="11">
        <f>ROUND(X105,0)-573200</f>
        <v>1512797</v>
      </c>
      <c r="AB105" s="54">
        <f t="shared" si="42"/>
        <v>-573200</v>
      </c>
      <c r="AC105" s="171" t="s">
        <v>975</v>
      </c>
      <c r="AD105" s="11">
        <f>ROUND(AA105,0)</f>
        <v>1512797</v>
      </c>
      <c r="AE105" s="54">
        <f t="shared" si="43"/>
        <v>0</v>
      </c>
      <c r="AF105" s="171"/>
      <c r="AG105" s="474">
        <v>1512996.03</v>
      </c>
      <c r="AH105" s="205">
        <f t="shared" si="60"/>
        <v>1.0001315642482105</v>
      </c>
      <c r="AI105" s="474" t="s">
        <v>625</v>
      </c>
    </row>
    <row r="106" spans="1:35" ht="15" customHeight="1" thickBot="1" x14ac:dyDescent="0.3">
      <c r="A106" s="2" t="s">
        <v>9</v>
      </c>
      <c r="B106" s="297" t="s">
        <v>688</v>
      </c>
      <c r="C106" s="69" t="s">
        <v>284</v>
      </c>
      <c r="D106" s="70" t="s">
        <v>524</v>
      </c>
      <c r="E106" s="346">
        <v>112621</v>
      </c>
      <c r="F106" s="346">
        <f>ROUND(E106,0)-10621</f>
        <v>102000</v>
      </c>
      <c r="G106" s="11">
        <f t="shared" si="61"/>
        <v>-10621</v>
      </c>
      <c r="H106" s="135" t="s">
        <v>710</v>
      </c>
      <c r="I106" s="11">
        <f>ROUND(F106,0)</f>
        <v>102000</v>
      </c>
      <c r="J106" s="11">
        <f t="shared" si="62"/>
        <v>0</v>
      </c>
      <c r="K106" s="127"/>
      <c r="L106" s="11">
        <f>ROUND(I106,0)</f>
        <v>102000</v>
      </c>
      <c r="M106" s="11">
        <f t="shared" si="63"/>
        <v>0</v>
      </c>
      <c r="N106" s="127"/>
      <c r="O106" s="11">
        <f>ROUND(L106,0)+5000</f>
        <v>107000</v>
      </c>
      <c r="P106" s="11">
        <f t="shared" si="64"/>
        <v>5000</v>
      </c>
      <c r="Q106" s="135" t="s">
        <v>850</v>
      </c>
      <c r="R106" s="11">
        <f>ROUND(O106,0)</f>
        <v>107000</v>
      </c>
      <c r="S106" s="11">
        <f t="shared" si="39"/>
        <v>0</v>
      </c>
      <c r="T106" s="135"/>
      <c r="U106" s="11">
        <f>ROUND(R106,0)+20000</f>
        <v>127000</v>
      </c>
      <c r="V106" s="11">
        <f t="shared" si="40"/>
        <v>20000</v>
      </c>
      <c r="W106" s="135" t="s">
        <v>927</v>
      </c>
      <c r="X106" s="11">
        <f>ROUND(U106,0)</f>
        <v>127000</v>
      </c>
      <c r="Y106" s="11">
        <f t="shared" si="41"/>
        <v>0</v>
      </c>
      <c r="Z106" s="135"/>
      <c r="AA106" s="11">
        <f>ROUND(X106,0)</f>
        <v>127000</v>
      </c>
      <c r="AB106" s="11">
        <f t="shared" si="42"/>
        <v>0</v>
      </c>
      <c r="AC106" s="392"/>
      <c r="AD106" s="11">
        <f>ROUND(AA106,0)</f>
        <v>127000</v>
      </c>
      <c r="AE106" s="11">
        <f t="shared" si="43"/>
        <v>0</v>
      </c>
      <c r="AF106" s="135"/>
      <c r="AG106" s="474">
        <f>1058.81+2.86+52998.67+2536.14+115347.91+6595.52</f>
        <v>178539.91</v>
      </c>
      <c r="AH106" s="200">
        <f t="shared" si="60"/>
        <v>1.405826062992126</v>
      </c>
      <c r="AI106" s="504"/>
    </row>
    <row r="107" spans="1:35" ht="15" customHeight="1" thickBot="1" x14ac:dyDescent="0.3">
      <c r="C107" s="20"/>
      <c r="D107" s="21" t="s">
        <v>132</v>
      </c>
      <c r="E107" s="355">
        <v>50914202.609999999</v>
      </c>
      <c r="F107" s="355">
        <f t="shared" ref="F107" si="72">F7+F10+F13+F16+F19+F22+F34+F37+F41+F42+F88+F91</f>
        <v>51193467</v>
      </c>
      <c r="G107" s="41">
        <f t="shared" si="61"/>
        <v>279264.3900000006</v>
      </c>
      <c r="H107" s="409"/>
      <c r="I107" s="41">
        <f>I7+I10+I13+I16+I19+I22+I34+I37+I41+I42+I88+I91</f>
        <v>51761438</v>
      </c>
      <c r="J107" s="41">
        <f t="shared" si="62"/>
        <v>567971</v>
      </c>
      <c r="K107" s="155"/>
      <c r="L107" s="41">
        <f>L7+L10+L13+L16+L19+L22+L34+L37+L41+L42+L88+L91</f>
        <v>51844623</v>
      </c>
      <c r="M107" s="41">
        <f t="shared" si="63"/>
        <v>83185</v>
      </c>
      <c r="N107" s="155"/>
      <c r="O107" s="41">
        <f>O7+O10+O13+O16+O19+O22+O34+O37+O41+O42+O88+O91</f>
        <v>52574335</v>
      </c>
      <c r="P107" s="41">
        <f t="shared" si="64"/>
        <v>729712</v>
      </c>
      <c r="Q107" s="155"/>
      <c r="R107" s="41">
        <f>R7+R10+R13+R16+R19+R22+R34+R37+R41+R42+R88+R91</f>
        <v>53088603</v>
      </c>
      <c r="S107" s="41">
        <f t="shared" si="39"/>
        <v>514268</v>
      </c>
      <c r="T107" s="155"/>
      <c r="U107" s="41">
        <f>U7+U10+U13+U16+U19+U22+U34+U37+U41+U42+U88+U91</f>
        <v>53301916</v>
      </c>
      <c r="V107" s="41">
        <f t="shared" si="40"/>
        <v>213313</v>
      </c>
      <c r="W107" s="155"/>
      <c r="X107" s="41">
        <f>X7+X10+X13+X16+X19+X22+X34+X37+X41+X42+X88+X91</f>
        <v>53404216</v>
      </c>
      <c r="Y107" s="41">
        <f t="shared" si="41"/>
        <v>102300</v>
      </c>
      <c r="Z107" s="155"/>
      <c r="AA107" s="41">
        <f>AA7+AA10+AA13+AA16+AA19+AA22+AA34+AA37+AA41+AA42+AA88+AA91</f>
        <v>52719115</v>
      </c>
      <c r="AB107" s="41">
        <f t="shared" si="42"/>
        <v>-685101</v>
      </c>
      <c r="AC107" s="409"/>
      <c r="AD107" s="41">
        <f>AD7+AD10+AD13+AD16+AD19+AD22+AD34+AD37+AD41+AD42+AD88+AD91</f>
        <v>54663069</v>
      </c>
      <c r="AE107" s="41">
        <f t="shared" si="43"/>
        <v>1943954</v>
      </c>
      <c r="AF107" s="155"/>
      <c r="AG107" s="595">
        <f>AG7+AG10+AG13+AG16+AG19+AG22+AG34+AG37+AG41+AG42+AG88+AG91</f>
        <v>54564511.610000007</v>
      </c>
      <c r="AH107" s="213">
        <f t="shared" si="60"/>
        <v>0.99819700225759378</v>
      </c>
      <c r="AI107" s="482"/>
    </row>
    <row r="108" spans="1:35" ht="15.75" thickBot="1" x14ac:dyDescent="0.3">
      <c r="C108" s="79" t="s">
        <v>133</v>
      </c>
      <c r="D108" s="356" t="s">
        <v>134</v>
      </c>
      <c r="E108" s="357">
        <v>9016614.0299999993</v>
      </c>
      <c r="F108" s="357">
        <f>SUM(F109:F110)</f>
        <v>9755067</v>
      </c>
      <c r="G108" s="42">
        <f t="shared" si="61"/>
        <v>738452.97000000067</v>
      </c>
      <c r="H108" s="410"/>
      <c r="I108" s="42">
        <f>SUM(I109:I110)</f>
        <v>9755067</v>
      </c>
      <c r="J108" s="42">
        <f t="shared" si="62"/>
        <v>0</v>
      </c>
      <c r="K108" s="156"/>
      <c r="L108" s="42">
        <f>SUM(L109:L110)</f>
        <v>9755067</v>
      </c>
      <c r="M108" s="42">
        <f t="shared" si="63"/>
        <v>0</v>
      </c>
      <c r="N108" s="156"/>
      <c r="O108" s="42">
        <f>SUM(O109:O110)</f>
        <v>9755067</v>
      </c>
      <c r="P108" s="42">
        <f t="shared" si="64"/>
        <v>0</v>
      </c>
      <c r="Q108" s="156"/>
      <c r="R108" s="42">
        <f>SUM(R109:R110)</f>
        <v>9755067</v>
      </c>
      <c r="S108" s="42">
        <f t="shared" si="39"/>
        <v>0</v>
      </c>
      <c r="T108" s="156"/>
      <c r="U108" s="42">
        <f>SUM(U109:U110)</f>
        <v>9755067</v>
      </c>
      <c r="V108" s="42">
        <f t="shared" si="40"/>
        <v>0</v>
      </c>
      <c r="W108" s="156"/>
      <c r="X108" s="42">
        <f>SUM(X109:X110)</f>
        <v>9755067</v>
      </c>
      <c r="Y108" s="42">
        <f t="shared" si="41"/>
        <v>0</v>
      </c>
      <c r="Z108" s="156"/>
      <c r="AA108" s="42">
        <f>SUM(AA109:AA110)</f>
        <v>9755067</v>
      </c>
      <c r="AB108" s="42">
        <f t="shared" si="42"/>
        <v>0</v>
      </c>
      <c r="AC108" s="410"/>
      <c r="AD108" s="42">
        <f>SUM(AD109:AD110)</f>
        <v>9755067</v>
      </c>
      <c r="AE108" s="42">
        <f t="shared" si="43"/>
        <v>0</v>
      </c>
      <c r="AF108" s="156"/>
      <c r="AG108" s="42">
        <f>SUM(AG109:AG110)</f>
        <v>9755067</v>
      </c>
      <c r="AH108" s="214">
        <f t="shared" si="60"/>
        <v>1</v>
      </c>
      <c r="AI108" s="286"/>
    </row>
    <row r="109" spans="1:35" ht="14.45" customHeight="1" x14ac:dyDescent="0.25">
      <c r="C109" s="69" t="s">
        <v>135</v>
      </c>
      <c r="D109" s="70" t="s">
        <v>136</v>
      </c>
      <c r="E109" s="346">
        <v>2707710.83</v>
      </c>
      <c r="F109" s="346">
        <f>ROUND(E109,0)+104970+230-1+750-1034+19357+1832+41+1093+13000+168382+10621+3808+904+17685+76439+38150+31285</f>
        <v>3195223</v>
      </c>
      <c r="G109" s="11">
        <f t="shared" si="61"/>
        <v>487512.16999999993</v>
      </c>
      <c r="H109" s="420" t="s">
        <v>741</v>
      </c>
      <c r="I109" s="11">
        <f>ROUND(F109,0)</f>
        <v>3195223</v>
      </c>
      <c r="J109" s="11">
        <f t="shared" si="62"/>
        <v>0</v>
      </c>
      <c r="K109" s="135"/>
      <c r="L109" s="11">
        <f>ROUND(I109,0)</f>
        <v>3195223</v>
      </c>
      <c r="M109" s="11">
        <f t="shared" si="63"/>
        <v>0</v>
      </c>
      <c r="N109" s="135"/>
      <c r="O109" s="11">
        <f>ROUND(L109,0)</f>
        <v>3195223</v>
      </c>
      <c r="P109" s="11">
        <f t="shared" si="64"/>
        <v>0</v>
      </c>
      <c r="Q109" s="135"/>
      <c r="R109" s="11">
        <f>ROUND(O109,0)</f>
        <v>3195223</v>
      </c>
      <c r="S109" s="11">
        <f t="shared" si="39"/>
        <v>0</v>
      </c>
      <c r="T109" s="135"/>
      <c r="U109" s="11">
        <f>ROUND(R109,0)</f>
        <v>3195223</v>
      </c>
      <c r="V109" s="11">
        <f t="shared" si="40"/>
        <v>0</v>
      </c>
      <c r="W109" s="135"/>
      <c r="X109" s="11">
        <f>ROUND(U109,0)</f>
        <v>3195223</v>
      </c>
      <c r="Y109" s="11">
        <f t="shared" si="41"/>
        <v>0</v>
      </c>
      <c r="Z109" s="135"/>
      <c r="AA109" s="11">
        <f>ROUND(X109,0)</f>
        <v>3195223</v>
      </c>
      <c r="AB109" s="11">
        <f t="shared" si="42"/>
        <v>0</v>
      </c>
      <c r="AC109" s="392"/>
      <c r="AD109" s="11">
        <f>ROUND(AA109,0)</f>
        <v>3195223</v>
      </c>
      <c r="AE109" s="11">
        <f t="shared" si="43"/>
        <v>0</v>
      </c>
      <c r="AF109" s="135"/>
      <c r="AG109" s="474">
        <v>3195223</v>
      </c>
      <c r="AH109" s="200">
        <f t="shared" si="60"/>
        <v>1</v>
      </c>
      <c r="AI109" s="504"/>
    </row>
    <row r="110" spans="1:35" x14ac:dyDescent="0.25">
      <c r="C110" s="69" t="s">
        <v>137</v>
      </c>
      <c r="D110" s="70" t="s">
        <v>138</v>
      </c>
      <c r="E110" s="346">
        <v>6308903</v>
      </c>
      <c r="F110" s="346">
        <f>ROUND(E110,0)+3445956+208-F109</f>
        <v>6559844</v>
      </c>
      <c r="G110" s="11">
        <f t="shared" si="61"/>
        <v>250941</v>
      </c>
      <c r="H110" s="384"/>
      <c r="I110" s="11">
        <f>ROUND(F110,0)</f>
        <v>6559844</v>
      </c>
      <c r="J110" s="11">
        <f t="shared" si="62"/>
        <v>0</v>
      </c>
      <c r="K110" s="127"/>
      <c r="L110" s="11">
        <f>ROUND(I110,0)</f>
        <v>6559844</v>
      </c>
      <c r="M110" s="11">
        <f t="shared" si="63"/>
        <v>0</v>
      </c>
      <c r="N110" s="127"/>
      <c r="O110" s="11">
        <f>ROUND(L110,0)</f>
        <v>6559844</v>
      </c>
      <c r="P110" s="11">
        <f t="shared" si="64"/>
        <v>0</v>
      </c>
      <c r="Q110" s="127"/>
      <c r="R110" s="11">
        <f>ROUND(O110,0)</f>
        <v>6559844</v>
      </c>
      <c r="S110" s="11">
        <f t="shared" si="39"/>
        <v>0</v>
      </c>
      <c r="T110" s="127"/>
      <c r="U110" s="11">
        <f>ROUND(R110,0)</f>
        <v>6559844</v>
      </c>
      <c r="V110" s="11">
        <f t="shared" si="40"/>
        <v>0</v>
      </c>
      <c r="W110" s="127"/>
      <c r="X110" s="11">
        <f>ROUND(U110,0)</f>
        <v>6559844</v>
      </c>
      <c r="Y110" s="11">
        <f t="shared" si="41"/>
        <v>0</v>
      </c>
      <c r="Z110" s="127"/>
      <c r="AA110" s="11">
        <f>ROUND(X110,0)</f>
        <v>6559844</v>
      </c>
      <c r="AB110" s="11">
        <f t="shared" si="42"/>
        <v>0</v>
      </c>
      <c r="AC110" s="384"/>
      <c r="AD110" s="11">
        <f>ROUND(AA110,0)</f>
        <v>6559844</v>
      </c>
      <c r="AE110" s="11">
        <f t="shared" si="43"/>
        <v>0</v>
      </c>
      <c r="AF110" s="127"/>
      <c r="AG110" s="474">
        <v>6559844</v>
      </c>
      <c r="AH110" s="200">
        <f t="shared" si="60"/>
        <v>1</v>
      </c>
      <c r="AI110" s="504"/>
    </row>
    <row r="111" spans="1:35" x14ac:dyDescent="0.25">
      <c r="C111" s="75" t="s">
        <v>139</v>
      </c>
      <c r="D111" s="335" t="s">
        <v>140</v>
      </c>
      <c r="E111" s="358">
        <v>1873161</v>
      </c>
      <c r="F111" s="358">
        <f>SUM(F112:F123)</f>
        <v>1917782</v>
      </c>
      <c r="G111" s="13">
        <f t="shared" si="61"/>
        <v>44621</v>
      </c>
      <c r="H111" s="386"/>
      <c r="I111" s="57">
        <f>SUM(I112:I123)</f>
        <v>1941929</v>
      </c>
      <c r="J111" s="13">
        <f t="shared" si="62"/>
        <v>24147</v>
      </c>
      <c r="K111" s="129"/>
      <c r="L111" s="57">
        <f>SUM(L112:L123)</f>
        <v>1941929</v>
      </c>
      <c r="M111" s="13">
        <f t="shared" si="63"/>
        <v>0</v>
      </c>
      <c r="N111" s="129"/>
      <c r="O111" s="57">
        <f>SUM(O112:O123)</f>
        <v>1941929</v>
      </c>
      <c r="P111" s="13">
        <f t="shared" si="64"/>
        <v>0</v>
      </c>
      <c r="Q111" s="129"/>
      <c r="R111" s="57">
        <f>SUM(R112:R123)</f>
        <v>1913234</v>
      </c>
      <c r="S111" s="13">
        <f t="shared" si="39"/>
        <v>-28695</v>
      </c>
      <c r="T111" s="129"/>
      <c r="U111" s="57">
        <f>SUM(U112:U123)</f>
        <v>1913234</v>
      </c>
      <c r="V111" s="13">
        <f t="shared" si="40"/>
        <v>0</v>
      </c>
      <c r="W111" s="129"/>
      <c r="X111" s="57">
        <f>SUM(X112:X123)</f>
        <v>1913234</v>
      </c>
      <c r="Y111" s="13">
        <f t="shared" si="41"/>
        <v>0</v>
      </c>
      <c r="Z111" s="129"/>
      <c r="AA111" s="57">
        <f>SUM(AA112:AA123)</f>
        <v>1848435</v>
      </c>
      <c r="AB111" s="13">
        <f t="shared" si="42"/>
        <v>-64799</v>
      </c>
      <c r="AC111" s="386"/>
      <c r="AD111" s="57">
        <f>SUM(AD112:AD123)</f>
        <v>1848435</v>
      </c>
      <c r="AE111" s="13">
        <f t="shared" si="43"/>
        <v>0</v>
      </c>
      <c r="AF111" s="129"/>
      <c r="AG111" s="557">
        <f>SUM(AG112:AG123)</f>
        <v>644371.21</v>
      </c>
      <c r="AH111" s="219">
        <f t="shared" si="60"/>
        <v>0.34860366201678716</v>
      </c>
      <c r="AI111" s="557" t="s">
        <v>624</v>
      </c>
    </row>
    <row r="112" spans="1:35" ht="45" hidden="1" outlineLevel="1" x14ac:dyDescent="0.25">
      <c r="A112" s="60"/>
      <c r="B112" s="60"/>
      <c r="C112" s="111" t="s">
        <v>498</v>
      </c>
      <c r="D112" s="317" t="s">
        <v>485</v>
      </c>
      <c r="E112" s="352">
        <v>0</v>
      </c>
      <c r="F112" s="352">
        <f t="shared" ref="F112:F123" si="73">ROUND(E112,0)</f>
        <v>0</v>
      </c>
      <c r="G112" s="157">
        <f t="shared" si="61"/>
        <v>0</v>
      </c>
      <c r="H112" s="411"/>
      <c r="I112" s="93">
        <f t="shared" ref="I112:I123" si="74">ROUND(F112,0)</f>
        <v>0</v>
      </c>
      <c r="J112" s="157">
        <f t="shared" si="62"/>
        <v>0</v>
      </c>
      <c r="K112" s="158"/>
      <c r="L112" s="93">
        <f t="shared" ref="L112:L117" si="75">ROUND(I112,0)</f>
        <v>0</v>
      </c>
      <c r="M112" s="157">
        <f t="shared" si="63"/>
        <v>0</v>
      </c>
      <c r="N112" s="158"/>
      <c r="O112" s="93">
        <f t="shared" ref="O112:O121" si="76">ROUND(L112,0)</f>
        <v>0</v>
      </c>
      <c r="P112" s="157">
        <f t="shared" si="64"/>
        <v>0</v>
      </c>
      <c r="Q112" s="158"/>
      <c r="R112" s="93">
        <f t="shared" ref="R112:R121" si="77">ROUND(O112,0)</f>
        <v>0</v>
      </c>
      <c r="S112" s="157">
        <f t="shared" si="39"/>
        <v>0</v>
      </c>
      <c r="T112" s="158"/>
      <c r="U112" s="93">
        <f>ROUND(R112,0)</f>
        <v>0</v>
      </c>
      <c r="V112" s="157">
        <f t="shared" si="40"/>
        <v>0</v>
      </c>
      <c r="W112" s="158"/>
      <c r="X112" s="93">
        <f>ROUND(U112,0)</f>
        <v>0</v>
      </c>
      <c r="Y112" s="157">
        <f t="shared" si="41"/>
        <v>0</v>
      </c>
      <c r="Z112" s="158"/>
      <c r="AA112" s="93">
        <f>ROUND(X112,0)</f>
        <v>0</v>
      </c>
      <c r="AB112" s="157">
        <f t="shared" si="42"/>
        <v>0</v>
      </c>
      <c r="AC112" s="411"/>
      <c r="AD112" s="93">
        <f t="shared" ref="AD112:AD123" si="78">ROUND(AA112,0)</f>
        <v>0</v>
      </c>
      <c r="AE112" s="157">
        <f t="shared" si="43"/>
        <v>0</v>
      </c>
      <c r="AF112" s="158"/>
      <c r="AG112" s="93">
        <f>ROUND(H112,0)</f>
        <v>0</v>
      </c>
      <c r="AH112" s="215" t="e">
        <f t="shared" si="60"/>
        <v>#DIV/0!</v>
      </c>
      <c r="AI112" s="483"/>
    </row>
    <row r="113" spans="1:35" hidden="1" outlineLevel="1" x14ac:dyDescent="0.25">
      <c r="A113" s="60"/>
      <c r="B113" s="60"/>
      <c r="C113" s="111" t="s">
        <v>499</v>
      </c>
      <c r="D113" s="317" t="s">
        <v>346</v>
      </c>
      <c r="E113" s="352">
        <v>0</v>
      </c>
      <c r="F113" s="352">
        <f t="shared" si="73"/>
        <v>0</v>
      </c>
      <c r="G113" s="157">
        <f t="shared" si="61"/>
        <v>0</v>
      </c>
      <c r="H113" s="411"/>
      <c r="I113" s="93">
        <f t="shared" si="74"/>
        <v>0</v>
      </c>
      <c r="J113" s="157">
        <f t="shared" si="62"/>
        <v>0</v>
      </c>
      <c r="K113" s="158"/>
      <c r="L113" s="93">
        <f t="shared" si="75"/>
        <v>0</v>
      </c>
      <c r="M113" s="157">
        <f t="shared" si="63"/>
        <v>0</v>
      </c>
      <c r="N113" s="158"/>
      <c r="O113" s="93">
        <f t="shared" si="76"/>
        <v>0</v>
      </c>
      <c r="P113" s="157">
        <f t="shared" si="64"/>
        <v>0</v>
      </c>
      <c r="Q113" s="158"/>
      <c r="R113" s="93">
        <f t="shared" si="77"/>
        <v>0</v>
      </c>
      <c r="S113" s="157">
        <f t="shared" si="39"/>
        <v>0</v>
      </c>
      <c r="T113" s="158"/>
      <c r="U113" s="93">
        <f>ROUND(R113,0)</f>
        <v>0</v>
      </c>
      <c r="V113" s="157">
        <f t="shared" si="40"/>
        <v>0</v>
      </c>
      <c r="W113" s="158"/>
      <c r="X113" s="93">
        <f>ROUND(U113,0)</f>
        <v>0</v>
      </c>
      <c r="Y113" s="157">
        <f t="shared" si="41"/>
        <v>0</v>
      </c>
      <c r="Z113" s="158"/>
      <c r="AA113" s="93">
        <f>ROUND(X113,0)</f>
        <v>0</v>
      </c>
      <c r="AB113" s="157">
        <f t="shared" si="42"/>
        <v>0</v>
      </c>
      <c r="AC113" s="411"/>
      <c r="AD113" s="93">
        <f t="shared" si="78"/>
        <v>0</v>
      </c>
      <c r="AE113" s="157">
        <f t="shared" si="43"/>
        <v>0</v>
      </c>
      <c r="AF113" s="158"/>
      <c r="AG113" s="93">
        <f>ROUND(H113,0)</f>
        <v>0</v>
      </c>
      <c r="AH113" s="215" t="e">
        <f t="shared" si="60"/>
        <v>#DIV/0!</v>
      </c>
      <c r="AI113" s="483"/>
    </row>
    <row r="114" spans="1:35" ht="30.6" customHeight="1" collapsed="1" x14ac:dyDescent="0.25">
      <c r="A114" s="60" t="s">
        <v>747</v>
      </c>
      <c r="B114" s="60"/>
      <c r="C114" s="111" t="s">
        <v>498</v>
      </c>
      <c r="D114" s="317" t="s">
        <v>694</v>
      </c>
      <c r="E114" s="352">
        <v>541742</v>
      </c>
      <c r="F114" s="352">
        <f t="shared" si="73"/>
        <v>541742</v>
      </c>
      <c r="G114" s="157">
        <f t="shared" si="61"/>
        <v>0</v>
      </c>
      <c r="H114" s="411"/>
      <c r="I114" s="93">
        <f t="shared" si="74"/>
        <v>541742</v>
      </c>
      <c r="J114" s="157">
        <f t="shared" si="62"/>
        <v>0</v>
      </c>
      <c r="K114" s="158"/>
      <c r="L114" s="93">
        <f t="shared" si="75"/>
        <v>541742</v>
      </c>
      <c r="M114" s="157">
        <f t="shared" si="63"/>
        <v>0</v>
      </c>
      <c r="N114" s="158"/>
      <c r="O114" s="93">
        <f t="shared" si="76"/>
        <v>541742</v>
      </c>
      <c r="P114" s="157">
        <f t="shared" si="64"/>
        <v>0</v>
      </c>
      <c r="Q114" s="158"/>
      <c r="R114" s="93">
        <f>ROUND(O114,0)-28695</f>
        <v>513047</v>
      </c>
      <c r="S114" s="157">
        <f t="shared" si="39"/>
        <v>-28695</v>
      </c>
      <c r="T114" s="158" t="s">
        <v>891</v>
      </c>
      <c r="U114" s="93">
        <f>ROUND(R114,0)</f>
        <v>513047</v>
      </c>
      <c r="V114" s="157">
        <f t="shared" si="40"/>
        <v>0</v>
      </c>
      <c r="W114" s="158"/>
      <c r="X114" s="93">
        <f>ROUND(U114,0)</f>
        <v>513047</v>
      </c>
      <c r="Y114" s="157">
        <f t="shared" si="41"/>
        <v>0</v>
      </c>
      <c r="Z114" s="158"/>
      <c r="AA114" s="93">
        <f>ROUND(X114,0)</f>
        <v>513047</v>
      </c>
      <c r="AB114" s="157">
        <f t="shared" si="42"/>
        <v>0</v>
      </c>
      <c r="AC114" s="411"/>
      <c r="AD114" s="93">
        <f t="shared" si="78"/>
        <v>513047</v>
      </c>
      <c r="AE114" s="157">
        <f t="shared" si="43"/>
        <v>0</v>
      </c>
      <c r="AF114" s="158"/>
      <c r="AG114" s="474">
        <v>0</v>
      </c>
      <c r="AH114" s="215">
        <f t="shared" si="60"/>
        <v>0</v>
      </c>
      <c r="AI114" s="483"/>
    </row>
    <row r="115" spans="1:35" ht="30" x14ac:dyDescent="0.25">
      <c r="A115" s="60" t="s">
        <v>454</v>
      </c>
      <c r="B115" s="60" t="s">
        <v>458</v>
      </c>
      <c r="C115" s="111" t="s">
        <v>499</v>
      </c>
      <c r="D115" s="320" t="s">
        <v>496</v>
      </c>
      <c r="E115" s="346">
        <v>353405</v>
      </c>
      <c r="F115" s="346">
        <f>ROUND(E115,0)-3420</f>
        <v>349985</v>
      </c>
      <c r="G115" s="159">
        <f t="shared" si="61"/>
        <v>-3420</v>
      </c>
      <c r="H115" s="444" t="s">
        <v>731</v>
      </c>
      <c r="I115" s="11">
        <f t="shared" si="74"/>
        <v>349985</v>
      </c>
      <c r="J115" s="159">
        <f t="shared" si="62"/>
        <v>0</v>
      </c>
      <c r="K115" s="160"/>
      <c r="L115" s="11">
        <f t="shared" si="75"/>
        <v>349985</v>
      </c>
      <c r="M115" s="159">
        <f t="shared" si="63"/>
        <v>0</v>
      </c>
      <c r="N115" s="160"/>
      <c r="O115" s="11">
        <f t="shared" si="76"/>
        <v>349985</v>
      </c>
      <c r="P115" s="159">
        <f t="shared" si="64"/>
        <v>0</v>
      </c>
      <c r="Q115" s="160"/>
      <c r="R115" s="11">
        <f t="shared" si="77"/>
        <v>349985</v>
      </c>
      <c r="S115" s="159">
        <f t="shared" si="39"/>
        <v>0</v>
      </c>
      <c r="T115" s="160"/>
      <c r="U115" s="11">
        <f t="shared" ref="U115:U121" si="79">ROUND(R115,0)</f>
        <v>349985</v>
      </c>
      <c r="V115" s="159">
        <f t="shared" si="40"/>
        <v>0</v>
      </c>
      <c r="W115" s="160"/>
      <c r="X115" s="11">
        <f t="shared" ref="X115:X121" si="80">ROUND(U115,0)</f>
        <v>349985</v>
      </c>
      <c r="Y115" s="159">
        <f t="shared" si="41"/>
        <v>0</v>
      </c>
      <c r="Z115" s="160"/>
      <c r="AA115" s="11">
        <f t="shared" ref="AA115:AA121" si="81">ROUND(X115,0)</f>
        <v>349985</v>
      </c>
      <c r="AB115" s="159">
        <f t="shared" si="42"/>
        <v>0</v>
      </c>
      <c r="AC115" s="570"/>
      <c r="AD115" s="11">
        <f t="shared" si="78"/>
        <v>349985</v>
      </c>
      <c r="AE115" s="159">
        <f t="shared" si="43"/>
        <v>0</v>
      </c>
      <c r="AF115" s="160"/>
      <c r="AG115" s="474">
        <f>16186.11+552.39+178665.22</f>
        <v>195403.72</v>
      </c>
      <c r="AH115" s="216">
        <f t="shared" si="60"/>
        <v>0.55832027086875147</v>
      </c>
      <c r="AI115" s="484"/>
    </row>
    <row r="116" spans="1:35" ht="16.899999999999999" hidden="1" customHeight="1" outlineLevel="1" x14ac:dyDescent="0.25">
      <c r="A116" s="60"/>
      <c r="B116" s="60"/>
      <c r="C116" s="111" t="s">
        <v>502</v>
      </c>
      <c r="D116" s="320"/>
      <c r="E116" s="352">
        <v>0</v>
      </c>
      <c r="F116" s="352">
        <f t="shared" si="73"/>
        <v>0</v>
      </c>
      <c r="G116" s="157">
        <f t="shared" si="61"/>
        <v>0</v>
      </c>
      <c r="H116" s="278"/>
      <c r="I116" s="93">
        <f t="shared" si="74"/>
        <v>0</v>
      </c>
      <c r="J116" s="157">
        <f t="shared" si="62"/>
        <v>0</v>
      </c>
      <c r="K116" s="161"/>
      <c r="L116" s="93">
        <f t="shared" si="75"/>
        <v>0</v>
      </c>
      <c r="M116" s="157">
        <f t="shared" si="63"/>
        <v>0</v>
      </c>
      <c r="N116" s="161"/>
      <c r="O116" s="93">
        <f t="shared" si="76"/>
        <v>0</v>
      </c>
      <c r="P116" s="157">
        <f t="shared" si="64"/>
        <v>0</v>
      </c>
      <c r="Q116" s="161"/>
      <c r="R116" s="93">
        <f t="shared" si="77"/>
        <v>0</v>
      </c>
      <c r="S116" s="157">
        <f t="shared" si="39"/>
        <v>0</v>
      </c>
      <c r="T116" s="161"/>
      <c r="U116" s="93">
        <f t="shared" si="79"/>
        <v>0</v>
      </c>
      <c r="V116" s="157">
        <f t="shared" si="40"/>
        <v>0</v>
      </c>
      <c r="W116" s="161"/>
      <c r="X116" s="93">
        <f t="shared" si="80"/>
        <v>0</v>
      </c>
      <c r="Y116" s="157">
        <f t="shared" si="41"/>
        <v>0</v>
      </c>
      <c r="Z116" s="161"/>
      <c r="AA116" s="93">
        <f t="shared" si="81"/>
        <v>0</v>
      </c>
      <c r="AB116" s="157">
        <f t="shared" si="42"/>
        <v>0</v>
      </c>
      <c r="AC116" s="278"/>
      <c r="AD116" s="93">
        <f t="shared" si="78"/>
        <v>0</v>
      </c>
      <c r="AE116" s="157">
        <f t="shared" si="43"/>
        <v>0</v>
      </c>
      <c r="AF116" s="161"/>
      <c r="AG116" s="474"/>
      <c r="AH116" s="216" t="e">
        <f t="shared" si="60"/>
        <v>#DIV/0!</v>
      </c>
      <c r="AI116" s="484"/>
    </row>
    <row r="117" spans="1:35" hidden="1" outlineLevel="1" x14ac:dyDescent="0.25">
      <c r="B117" s="60"/>
      <c r="C117" s="111" t="s">
        <v>503</v>
      </c>
      <c r="D117" s="320" t="s">
        <v>474</v>
      </c>
      <c r="E117" s="196">
        <v>0</v>
      </c>
      <c r="F117" s="196">
        <f t="shared" si="73"/>
        <v>0</v>
      </c>
      <c r="G117" s="162">
        <f t="shared" si="61"/>
        <v>0</v>
      </c>
      <c r="H117" s="450"/>
      <c r="I117" s="94">
        <f>ROUND(F117,0)</f>
        <v>0</v>
      </c>
      <c r="J117" s="162">
        <f t="shared" si="62"/>
        <v>0</v>
      </c>
      <c r="K117" s="158"/>
      <c r="L117" s="94">
        <f t="shared" si="75"/>
        <v>0</v>
      </c>
      <c r="M117" s="162">
        <f t="shared" si="63"/>
        <v>0</v>
      </c>
      <c r="N117" s="158"/>
      <c r="O117" s="94">
        <f t="shared" si="76"/>
        <v>0</v>
      </c>
      <c r="P117" s="162">
        <f t="shared" si="64"/>
        <v>0</v>
      </c>
      <c r="Q117" s="158"/>
      <c r="R117" s="94">
        <f t="shared" si="77"/>
        <v>0</v>
      </c>
      <c r="S117" s="162">
        <f t="shared" si="39"/>
        <v>0</v>
      </c>
      <c r="T117" s="158"/>
      <c r="U117" s="94">
        <f t="shared" si="79"/>
        <v>0</v>
      </c>
      <c r="V117" s="162">
        <f t="shared" si="40"/>
        <v>0</v>
      </c>
      <c r="W117" s="158"/>
      <c r="X117" s="94">
        <f t="shared" si="80"/>
        <v>0</v>
      </c>
      <c r="Y117" s="162">
        <f t="shared" si="41"/>
        <v>0</v>
      </c>
      <c r="Z117" s="158"/>
      <c r="AA117" s="94">
        <f t="shared" si="81"/>
        <v>0</v>
      </c>
      <c r="AB117" s="162">
        <f t="shared" si="42"/>
        <v>0</v>
      </c>
      <c r="AC117" s="411"/>
      <c r="AD117" s="94">
        <f t="shared" si="78"/>
        <v>0</v>
      </c>
      <c r="AE117" s="162">
        <f t="shared" si="43"/>
        <v>0</v>
      </c>
      <c r="AF117" s="158"/>
      <c r="AG117" s="474"/>
      <c r="AH117" s="216" t="e">
        <f t="shared" si="60"/>
        <v>#DIV/0!</v>
      </c>
      <c r="AI117" s="484"/>
    </row>
    <row r="118" spans="1:35" ht="42" customHeight="1" collapsed="1" x14ac:dyDescent="0.25">
      <c r="A118" s="60" t="s">
        <v>320</v>
      </c>
      <c r="B118" s="60"/>
      <c r="C118" s="111" t="s">
        <v>500</v>
      </c>
      <c r="D118" s="323" t="s">
        <v>489</v>
      </c>
      <c r="E118" s="324">
        <v>30982</v>
      </c>
      <c r="F118" s="196">
        <f>ROUND(E118,0)+48041</f>
        <v>79023</v>
      </c>
      <c r="G118" s="162">
        <f t="shared" si="61"/>
        <v>48041</v>
      </c>
      <c r="H118" s="451" t="s">
        <v>727</v>
      </c>
      <c r="I118" s="94">
        <f t="shared" si="74"/>
        <v>79023</v>
      </c>
      <c r="J118" s="162">
        <f t="shared" si="62"/>
        <v>0</v>
      </c>
      <c r="K118" s="158"/>
      <c r="L118" s="94">
        <f t="shared" ref="L118:L123" si="82">ROUND(I118,0)</f>
        <v>79023</v>
      </c>
      <c r="M118" s="162">
        <f t="shared" si="63"/>
        <v>0</v>
      </c>
      <c r="N118" s="161"/>
      <c r="O118" s="94">
        <f t="shared" si="76"/>
        <v>79023</v>
      </c>
      <c r="P118" s="162">
        <f t="shared" si="64"/>
        <v>0</v>
      </c>
      <c r="Q118" s="161"/>
      <c r="R118" s="94">
        <f t="shared" si="77"/>
        <v>79023</v>
      </c>
      <c r="S118" s="162">
        <f t="shared" si="39"/>
        <v>0</v>
      </c>
      <c r="T118" s="161"/>
      <c r="U118" s="94">
        <f t="shared" si="79"/>
        <v>79023</v>
      </c>
      <c r="V118" s="162">
        <f t="shared" si="40"/>
        <v>0</v>
      </c>
      <c r="W118" s="161"/>
      <c r="X118" s="94">
        <f t="shared" si="80"/>
        <v>79023</v>
      </c>
      <c r="Y118" s="162">
        <f t="shared" si="41"/>
        <v>0</v>
      </c>
      <c r="Z118" s="161"/>
      <c r="AA118" s="94">
        <f t="shared" si="81"/>
        <v>79023</v>
      </c>
      <c r="AB118" s="162">
        <f t="shared" si="42"/>
        <v>0</v>
      </c>
      <c r="AC118" s="278"/>
      <c r="AD118" s="94">
        <f t="shared" si="78"/>
        <v>79023</v>
      </c>
      <c r="AE118" s="162">
        <f t="shared" si="43"/>
        <v>0</v>
      </c>
      <c r="AF118" s="161"/>
      <c r="AG118" s="474">
        <f>69236.56+1074</f>
        <v>70310.559999999998</v>
      </c>
      <c r="AH118" s="216">
        <f t="shared" si="60"/>
        <v>0.88974804803664753</v>
      </c>
      <c r="AI118" s="287"/>
    </row>
    <row r="119" spans="1:35" ht="57.6" customHeight="1" thickBot="1" x14ac:dyDescent="0.3">
      <c r="A119" s="60" t="s">
        <v>320</v>
      </c>
      <c r="B119" s="60"/>
      <c r="C119" s="111" t="s">
        <v>501</v>
      </c>
      <c r="D119" s="319" t="s">
        <v>672</v>
      </c>
      <c r="E119" s="500">
        <v>783000</v>
      </c>
      <c r="F119" s="501">
        <f t="shared" si="73"/>
        <v>783000</v>
      </c>
      <c r="G119" s="443">
        <f t="shared" si="61"/>
        <v>0</v>
      </c>
      <c r="H119" s="401"/>
      <c r="I119" s="94">
        <f t="shared" si="74"/>
        <v>783000</v>
      </c>
      <c r="J119" s="162">
        <f t="shared" si="62"/>
        <v>0</v>
      </c>
      <c r="K119" s="158"/>
      <c r="L119" s="94">
        <f t="shared" si="82"/>
        <v>783000</v>
      </c>
      <c r="M119" s="162">
        <f t="shared" si="63"/>
        <v>0</v>
      </c>
      <c r="N119" s="161"/>
      <c r="O119" s="94">
        <f t="shared" si="76"/>
        <v>783000</v>
      </c>
      <c r="P119" s="162">
        <f t="shared" si="64"/>
        <v>0</v>
      </c>
      <c r="Q119" s="161"/>
      <c r="R119" s="94">
        <f t="shared" si="77"/>
        <v>783000</v>
      </c>
      <c r="S119" s="162">
        <f t="shared" si="39"/>
        <v>0</v>
      </c>
      <c r="T119" s="161"/>
      <c r="U119" s="94">
        <f t="shared" si="79"/>
        <v>783000</v>
      </c>
      <c r="V119" s="162">
        <f t="shared" si="40"/>
        <v>0</v>
      </c>
      <c r="W119" s="161"/>
      <c r="X119" s="94">
        <f t="shared" si="80"/>
        <v>783000</v>
      </c>
      <c r="Y119" s="162">
        <f t="shared" si="41"/>
        <v>0</v>
      </c>
      <c r="Z119" s="161"/>
      <c r="AA119" s="94">
        <f t="shared" si="81"/>
        <v>783000</v>
      </c>
      <c r="AB119" s="162">
        <f t="shared" si="42"/>
        <v>0</v>
      </c>
      <c r="AC119" s="278"/>
      <c r="AD119" s="94">
        <f t="shared" si="78"/>
        <v>783000</v>
      </c>
      <c r="AE119" s="162">
        <f t="shared" si="43"/>
        <v>0</v>
      </c>
      <c r="AF119" s="160"/>
      <c r="AG119" s="474">
        <f>45150+99866+110261</f>
        <v>255277</v>
      </c>
      <c r="AH119" s="216">
        <f t="shared" si="60"/>
        <v>0.32602426564495529</v>
      </c>
      <c r="AI119" s="191" t="s">
        <v>911</v>
      </c>
    </row>
    <row r="120" spans="1:35" ht="33" customHeight="1" x14ac:dyDescent="0.25">
      <c r="B120" s="60" t="s">
        <v>669</v>
      </c>
      <c r="C120" s="111" t="s">
        <v>502</v>
      </c>
      <c r="D120" s="319" t="s">
        <v>543</v>
      </c>
      <c r="E120" s="500">
        <v>164032</v>
      </c>
      <c r="F120" s="501">
        <f t="shared" si="73"/>
        <v>164032</v>
      </c>
      <c r="G120" s="122">
        <f t="shared" si="61"/>
        <v>0</v>
      </c>
      <c r="H120" s="452"/>
      <c r="I120" s="94">
        <f>ROUND(F120,0)+24147</f>
        <v>188179</v>
      </c>
      <c r="J120" s="470">
        <f t="shared" si="62"/>
        <v>24147</v>
      </c>
      <c r="K120" s="158" t="s">
        <v>800</v>
      </c>
      <c r="L120" s="498">
        <f t="shared" si="82"/>
        <v>188179</v>
      </c>
      <c r="M120" s="470">
        <f t="shared" si="63"/>
        <v>0</v>
      </c>
      <c r="N120" s="153"/>
      <c r="O120" s="470">
        <f t="shared" si="76"/>
        <v>188179</v>
      </c>
      <c r="P120" s="470">
        <f t="shared" si="64"/>
        <v>0</v>
      </c>
      <c r="Q120" s="161"/>
      <c r="R120" s="94">
        <f t="shared" si="77"/>
        <v>188179</v>
      </c>
      <c r="S120" s="470">
        <f t="shared" si="39"/>
        <v>0</v>
      </c>
      <c r="T120" s="161"/>
      <c r="U120" s="94">
        <f t="shared" si="79"/>
        <v>188179</v>
      </c>
      <c r="V120" s="470">
        <f t="shared" si="40"/>
        <v>0</v>
      </c>
      <c r="W120" s="161"/>
      <c r="X120" s="94">
        <f t="shared" si="80"/>
        <v>188179</v>
      </c>
      <c r="Y120" s="470">
        <f t="shared" si="41"/>
        <v>0</v>
      </c>
      <c r="Z120" s="161"/>
      <c r="AA120" s="94">
        <f>ROUND(X120,0)-64799</f>
        <v>123380</v>
      </c>
      <c r="AB120" s="470">
        <f t="shared" si="42"/>
        <v>-64799</v>
      </c>
      <c r="AC120" s="580" t="s">
        <v>976</v>
      </c>
      <c r="AD120" s="94">
        <f t="shared" si="78"/>
        <v>123380</v>
      </c>
      <c r="AE120" s="470">
        <f t="shared" si="43"/>
        <v>0</v>
      </c>
      <c r="AF120" s="599"/>
      <c r="AG120" s="474">
        <f>123379.93</f>
        <v>123379.93</v>
      </c>
      <c r="AH120" s="216">
        <f t="shared" si="60"/>
        <v>0.99999943264710645</v>
      </c>
      <c r="AI120" s="191" t="s">
        <v>802</v>
      </c>
    </row>
    <row r="121" spans="1:35" ht="18.600000000000001" hidden="1" customHeight="1" outlineLevel="1" x14ac:dyDescent="0.25">
      <c r="B121" s="60"/>
      <c r="C121" s="111" t="s">
        <v>540</v>
      </c>
      <c r="D121" s="319" t="s">
        <v>544</v>
      </c>
      <c r="E121" s="321">
        <v>0</v>
      </c>
      <c r="F121" s="468">
        <f t="shared" si="73"/>
        <v>0</v>
      </c>
      <c r="G121" s="442">
        <f t="shared" si="61"/>
        <v>0</v>
      </c>
      <c r="H121" s="450"/>
      <c r="I121" s="94">
        <f t="shared" si="74"/>
        <v>0</v>
      </c>
      <c r="J121" s="162">
        <f t="shared" si="62"/>
        <v>0</v>
      </c>
      <c r="K121" s="158"/>
      <c r="L121" s="94">
        <f t="shared" si="82"/>
        <v>0</v>
      </c>
      <c r="M121" s="162">
        <f t="shared" si="63"/>
        <v>0</v>
      </c>
      <c r="N121" s="495"/>
      <c r="O121" s="94">
        <f t="shared" si="76"/>
        <v>0</v>
      </c>
      <c r="P121" s="162">
        <f t="shared" si="64"/>
        <v>0</v>
      </c>
      <c r="Q121" s="161"/>
      <c r="R121" s="94">
        <f t="shared" si="77"/>
        <v>0</v>
      </c>
      <c r="S121" s="162">
        <f t="shared" si="39"/>
        <v>0</v>
      </c>
      <c r="T121" s="161"/>
      <c r="U121" s="94">
        <f t="shared" si="79"/>
        <v>0</v>
      </c>
      <c r="V121" s="162">
        <f t="shared" si="40"/>
        <v>0</v>
      </c>
      <c r="W121" s="161"/>
      <c r="X121" s="94">
        <f t="shared" si="80"/>
        <v>0</v>
      </c>
      <c r="Y121" s="162">
        <f t="shared" si="41"/>
        <v>0</v>
      </c>
      <c r="Z121" s="161"/>
      <c r="AA121" s="94">
        <f t="shared" si="81"/>
        <v>0</v>
      </c>
      <c r="AB121" s="162">
        <f t="shared" si="42"/>
        <v>0</v>
      </c>
      <c r="AC121" s="278"/>
      <c r="AD121" s="94">
        <f t="shared" si="78"/>
        <v>0</v>
      </c>
      <c r="AE121" s="162">
        <f t="shared" si="43"/>
        <v>0</v>
      </c>
      <c r="AF121" s="161"/>
      <c r="AG121" s="11">
        <f>ROUND(H121,0)</f>
        <v>0</v>
      </c>
      <c r="AH121" s="216" t="e">
        <f t="shared" si="60"/>
        <v>#DIV/0!</v>
      </c>
      <c r="AI121" s="484"/>
    </row>
    <row r="122" spans="1:35" ht="27.6" hidden="1" customHeight="1" outlineLevel="1" x14ac:dyDescent="0.25">
      <c r="B122" s="60"/>
      <c r="C122" s="119" t="s">
        <v>541</v>
      </c>
      <c r="D122" s="535" t="s">
        <v>490</v>
      </c>
      <c r="E122" s="321">
        <v>0</v>
      </c>
      <c r="F122" s="196">
        <f t="shared" si="73"/>
        <v>0</v>
      </c>
      <c r="G122" s="162">
        <f t="shared" si="61"/>
        <v>0</v>
      </c>
      <c r="H122" s="450"/>
      <c r="I122" s="94">
        <f t="shared" si="74"/>
        <v>0</v>
      </c>
      <c r="J122" s="162">
        <f t="shared" si="62"/>
        <v>0</v>
      </c>
      <c r="K122" s="158"/>
      <c r="L122" s="94"/>
      <c r="M122" s="162"/>
      <c r="N122" s="496"/>
      <c r="O122" s="94">
        <f>ROUND(L122,0)</f>
        <v>0</v>
      </c>
      <c r="P122" s="162">
        <f t="shared" si="64"/>
        <v>0</v>
      </c>
      <c r="Q122" s="161"/>
      <c r="R122" s="94">
        <f>ROUND(O122,0)</f>
        <v>0</v>
      </c>
      <c r="S122" s="162">
        <f t="shared" si="39"/>
        <v>0</v>
      </c>
      <c r="T122" s="161"/>
      <c r="U122" s="94">
        <f>ROUND(R122,0)</f>
        <v>0</v>
      </c>
      <c r="V122" s="162">
        <f t="shared" si="40"/>
        <v>0</v>
      </c>
      <c r="W122" s="161"/>
      <c r="X122" s="94">
        <f>ROUND(U122,0)</f>
        <v>0</v>
      </c>
      <c r="Y122" s="162">
        <f t="shared" si="41"/>
        <v>0</v>
      </c>
      <c r="Z122" s="161"/>
      <c r="AA122" s="94">
        <f>ROUND(X122,0)</f>
        <v>0</v>
      </c>
      <c r="AB122" s="162">
        <f t="shared" si="42"/>
        <v>0</v>
      </c>
      <c r="AC122" s="278"/>
      <c r="AD122" s="94">
        <f t="shared" si="78"/>
        <v>0</v>
      </c>
      <c r="AE122" s="162">
        <f t="shared" si="43"/>
        <v>0</v>
      </c>
      <c r="AF122" s="161"/>
      <c r="AG122" s="11">
        <f>ROUND(H122,0)</f>
        <v>0</v>
      </c>
      <c r="AH122" s="216" t="e">
        <f t="shared" si="60"/>
        <v>#DIV/0!</v>
      </c>
      <c r="AI122" s="484"/>
    </row>
    <row r="123" spans="1:35" ht="28.9" hidden="1" customHeight="1" outlineLevel="1" x14ac:dyDescent="0.25">
      <c r="B123" s="60"/>
      <c r="C123" s="190" t="s">
        <v>542</v>
      </c>
      <c r="D123" s="536" t="s">
        <v>545</v>
      </c>
      <c r="E123" s="197">
        <v>0</v>
      </c>
      <c r="F123" s="196">
        <f t="shared" si="73"/>
        <v>0</v>
      </c>
      <c r="G123" s="162">
        <f t="shared" si="61"/>
        <v>0</v>
      </c>
      <c r="H123" s="450"/>
      <c r="I123" s="94">
        <f t="shared" si="74"/>
        <v>0</v>
      </c>
      <c r="J123" s="162">
        <f t="shared" si="62"/>
        <v>0</v>
      </c>
      <c r="K123" s="158"/>
      <c r="L123" s="94">
        <f t="shared" si="82"/>
        <v>0</v>
      </c>
      <c r="M123" s="162">
        <f t="shared" si="63"/>
        <v>0</v>
      </c>
      <c r="N123" s="143"/>
      <c r="O123" s="94">
        <f>ROUND(L123,0)</f>
        <v>0</v>
      </c>
      <c r="P123" s="162">
        <f t="shared" si="64"/>
        <v>0</v>
      </c>
      <c r="Q123" s="161"/>
      <c r="R123" s="94">
        <f>ROUND(O123,0)</f>
        <v>0</v>
      </c>
      <c r="S123" s="162">
        <f t="shared" si="39"/>
        <v>0</v>
      </c>
      <c r="T123" s="161"/>
      <c r="U123" s="94">
        <f>ROUND(R123,0)</f>
        <v>0</v>
      </c>
      <c r="V123" s="162">
        <f t="shared" si="40"/>
        <v>0</v>
      </c>
      <c r="W123" s="161"/>
      <c r="X123" s="94">
        <f>ROUND(U123,0)</f>
        <v>0</v>
      </c>
      <c r="Y123" s="162">
        <f t="shared" si="41"/>
        <v>0</v>
      </c>
      <c r="Z123" s="161"/>
      <c r="AA123" s="94">
        <f>ROUND(X123,0)</f>
        <v>0</v>
      </c>
      <c r="AB123" s="162">
        <f t="shared" si="42"/>
        <v>0</v>
      </c>
      <c r="AC123" s="278"/>
      <c r="AD123" s="94">
        <f t="shared" si="78"/>
        <v>0</v>
      </c>
      <c r="AE123" s="162">
        <f t="shared" si="43"/>
        <v>0</v>
      </c>
      <c r="AF123" s="161"/>
      <c r="AG123" s="11">
        <f>ROUND(H123,0)</f>
        <v>0</v>
      </c>
      <c r="AH123" s="216" t="e">
        <f t="shared" si="60"/>
        <v>#DIV/0!</v>
      </c>
      <c r="AI123" s="484"/>
    </row>
    <row r="124" spans="1:35" ht="15.75" collapsed="1" thickBot="1" x14ac:dyDescent="0.3">
      <c r="C124" s="58"/>
      <c r="D124" s="341" t="s">
        <v>141</v>
      </c>
      <c r="E124" s="357">
        <v>61803977.640000001</v>
      </c>
      <c r="F124" s="357">
        <f t="shared" ref="F124" si="83">F107+F108+F111</f>
        <v>62866316</v>
      </c>
      <c r="G124" s="42">
        <f t="shared" si="61"/>
        <v>1062338.3599999994</v>
      </c>
      <c r="H124" s="412"/>
      <c r="I124" s="42">
        <f>I107+I108+I111</f>
        <v>63458434</v>
      </c>
      <c r="J124" s="42">
        <f t="shared" si="62"/>
        <v>592118</v>
      </c>
      <c r="K124" s="163"/>
      <c r="L124" s="42">
        <f>L107+L108+L111</f>
        <v>63541619</v>
      </c>
      <c r="M124" s="42">
        <f t="shared" si="63"/>
        <v>83185</v>
      </c>
      <c r="N124" s="163"/>
      <c r="O124" s="42">
        <f>O107+O108+O111</f>
        <v>64271331</v>
      </c>
      <c r="P124" s="42">
        <f t="shared" si="64"/>
        <v>729712</v>
      </c>
      <c r="Q124" s="163"/>
      <c r="R124" s="42">
        <f>R107+R108+R111</f>
        <v>64756904</v>
      </c>
      <c r="S124" s="42">
        <f t="shared" si="39"/>
        <v>485573</v>
      </c>
      <c r="T124" s="163"/>
      <c r="U124" s="42">
        <f>U107+U108+U111</f>
        <v>64970217</v>
      </c>
      <c r="V124" s="42">
        <f t="shared" si="40"/>
        <v>213313</v>
      </c>
      <c r="W124" s="163"/>
      <c r="X124" s="42">
        <f>X107+X108+X111</f>
        <v>65072517</v>
      </c>
      <c r="Y124" s="42">
        <f t="shared" si="41"/>
        <v>102300</v>
      </c>
      <c r="Z124" s="163"/>
      <c r="AA124" s="42">
        <f>AA107+AA108+AA111</f>
        <v>64322617</v>
      </c>
      <c r="AB124" s="42">
        <f t="shared" si="42"/>
        <v>-749900</v>
      </c>
      <c r="AC124" s="412"/>
      <c r="AD124" s="42">
        <f>AD107+AD108+AD111</f>
        <v>66266571</v>
      </c>
      <c r="AE124" s="42">
        <f t="shared" si="43"/>
        <v>1943954</v>
      </c>
      <c r="AF124" s="163"/>
      <c r="AG124" s="42">
        <f>AG107+AG108+AG111</f>
        <v>64963949.820000008</v>
      </c>
      <c r="AH124" s="217">
        <f t="shared" si="60"/>
        <v>0.98034271035391296</v>
      </c>
      <c r="AI124" s="286"/>
    </row>
    <row r="126" spans="1:35" x14ac:dyDescent="0.25">
      <c r="G126" s="40"/>
      <c r="I126" s="40"/>
      <c r="J126" s="40"/>
      <c r="L126" s="40"/>
      <c r="M126" s="40"/>
      <c r="O126" s="40"/>
      <c r="P126" s="40"/>
      <c r="R126" s="40"/>
      <c r="S126" s="40"/>
      <c r="U126" s="40"/>
      <c r="V126" s="40"/>
      <c r="X126" s="40"/>
      <c r="Y126" s="40"/>
      <c r="AA126" s="40"/>
      <c r="AB126" s="40"/>
      <c r="AD126" s="40"/>
      <c r="AE126" s="40"/>
      <c r="AG126" s="282">
        <v>54511126</v>
      </c>
      <c r="AI126" s="114"/>
    </row>
    <row r="127" spans="1:35" ht="20.25" x14ac:dyDescent="0.3">
      <c r="C127" s="621" t="s">
        <v>142</v>
      </c>
      <c r="D127" s="621"/>
      <c r="G127" s="40"/>
      <c r="I127" s="40"/>
      <c r="J127" s="40"/>
      <c r="L127" s="40"/>
      <c r="M127" s="40"/>
      <c r="O127" s="40"/>
      <c r="P127" s="40"/>
      <c r="R127" s="40"/>
      <c r="S127" s="40"/>
      <c r="U127" s="40"/>
      <c r="V127" s="40"/>
      <c r="X127" s="40"/>
      <c r="Y127" s="40"/>
      <c r="AA127" s="40"/>
      <c r="AB127" s="40"/>
      <c r="AD127" s="40"/>
      <c r="AE127" s="40"/>
      <c r="AG127" s="282">
        <f>AG107-AG126</f>
        <v>53385.610000006855</v>
      </c>
      <c r="AI127" s="114"/>
    </row>
    <row r="128" spans="1:35" ht="15.75" thickBot="1" x14ac:dyDescent="0.3">
      <c r="C128" s="628"/>
      <c r="D128" s="628"/>
      <c r="G128" s="47"/>
      <c r="I128" s="47"/>
      <c r="J128" s="47"/>
      <c r="L128" s="47"/>
      <c r="M128" s="47"/>
      <c r="O128" s="47"/>
      <c r="P128" s="47"/>
      <c r="R128" s="47"/>
      <c r="S128" s="47"/>
      <c r="U128" s="47"/>
      <c r="V128" s="47"/>
      <c r="X128" s="47"/>
      <c r="Y128" s="47"/>
      <c r="AA128" s="47"/>
      <c r="AB128" s="47"/>
      <c r="AD128" s="47"/>
      <c r="AE128" s="47"/>
      <c r="AG128" s="288"/>
      <c r="AI128" s="115"/>
    </row>
    <row r="129" spans="2:35" ht="57" customHeight="1" thickBot="1" x14ac:dyDescent="0.3">
      <c r="C129" s="6" t="s">
        <v>1</v>
      </c>
      <c r="D129" s="7" t="s">
        <v>2</v>
      </c>
      <c r="E129" s="359" t="s">
        <v>698</v>
      </c>
      <c r="F129" s="359" t="s">
        <v>707</v>
      </c>
      <c r="G129" s="45" t="s">
        <v>553</v>
      </c>
      <c r="H129" s="381" t="s">
        <v>3</v>
      </c>
      <c r="I129" s="45" t="s">
        <v>798</v>
      </c>
      <c r="J129" s="45" t="s">
        <v>773</v>
      </c>
      <c r="K129" s="48" t="s">
        <v>3</v>
      </c>
      <c r="L129" s="45" t="s">
        <v>817</v>
      </c>
      <c r="M129" s="45" t="s">
        <v>818</v>
      </c>
      <c r="N129" s="48" t="s">
        <v>3</v>
      </c>
      <c r="O129" s="45" t="s">
        <v>832</v>
      </c>
      <c r="P129" s="45" t="s">
        <v>833</v>
      </c>
      <c r="Q129" s="48" t="s">
        <v>3</v>
      </c>
      <c r="R129" s="45" t="str">
        <f>R5</f>
        <v>29.08.2024. grozījumi</v>
      </c>
      <c r="S129" s="45" t="str">
        <f>S5</f>
        <v>Izmaiņa 29.08.2024. -27.06.2024.</v>
      </c>
      <c r="T129" s="48" t="s">
        <v>3</v>
      </c>
      <c r="U129" s="45" t="str">
        <f>U5</f>
        <v>24.10.2024. grozījumi</v>
      </c>
      <c r="V129" s="45" t="str">
        <f>V5</f>
        <v>Izmaiņa 24.10.2024. -29.08.2024.</v>
      </c>
      <c r="W129" s="48" t="s">
        <v>3</v>
      </c>
      <c r="X129" s="45" t="str">
        <f>X5</f>
        <v>28.11.2024. grozījumi</v>
      </c>
      <c r="Y129" s="45" t="str">
        <f>Y5</f>
        <v>Izmaiņa 28.11.2024. -24.10.2024.</v>
      </c>
      <c r="Z129" s="48" t="s">
        <v>3</v>
      </c>
      <c r="AA129" s="45" t="str">
        <f>AA5</f>
        <v>27.12.2024. grozījumi</v>
      </c>
      <c r="AB129" s="45" t="str">
        <f>AB5</f>
        <v>Izmaiņa 27.12.2024. - 28.11.2024.</v>
      </c>
      <c r="AC129" s="381" t="s">
        <v>3</v>
      </c>
      <c r="AD129" s="45" t="str">
        <f>AD5</f>
        <v>23.01.2025. grozījumi</v>
      </c>
      <c r="AE129" s="45" t="str">
        <f>AE5</f>
        <v>Izmaiņa 23.01.2025. - 27.12.2024.</v>
      </c>
      <c r="AF129" s="48" t="s">
        <v>3</v>
      </c>
      <c r="AG129" s="45" t="str">
        <f>AG5</f>
        <v>31.12.2024. fakts</v>
      </c>
      <c r="AH129" s="201" t="str">
        <f>AH5</f>
        <v>31.12.2024. fakts (%) pret 2024. plānu</v>
      </c>
      <c r="AI129" s="189" t="s">
        <v>4</v>
      </c>
    </row>
    <row r="130" spans="2:35" x14ac:dyDescent="0.25">
      <c r="C130" s="80" t="s">
        <v>7</v>
      </c>
      <c r="D130" s="333" t="s">
        <v>143</v>
      </c>
      <c r="E130" s="360">
        <v>11584924</v>
      </c>
      <c r="F130" s="360">
        <f t="shared" ref="F130" si="84">SUM(F131:F139)</f>
        <v>11593156</v>
      </c>
      <c r="G130" s="23">
        <f t="shared" ref="G130:G181" si="85">F130-E130</f>
        <v>8232</v>
      </c>
      <c r="H130" s="413"/>
      <c r="I130" s="23">
        <f>SUM(I131:I139)</f>
        <v>11675168</v>
      </c>
      <c r="J130" s="23">
        <f t="shared" ref="J130:J201" si="86">I130-F130</f>
        <v>82012</v>
      </c>
      <c r="K130" s="164"/>
      <c r="L130" s="23">
        <f>SUM(L131:L139)</f>
        <v>11718990</v>
      </c>
      <c r="M130" s="23">
        <f t="shared" ref="M130:M201" si="87">L130-I130</f>
        <v>43822</v>
      </c>
      <c r="N130" s="164"/>
      <c r="O130" s="23">
        <f>SUM(O131:O139)</f>
        <v>11668303</v>
      </c>
      <c r="P130" s="23">
        <f t="shared" ref="P130:P201" si="88">O130-L130</f>
        <v>-50687</v>
      </c>
      <c r="Q130" s="164"/>
      <c r="R130" s="23">
        <f>SUM(R131:R139)</f>
        <v>11628303</v>
      </c>
      <c r="S130" s="23">
        <f t="shared" ref="S130:S187" si="89">R130-O130</f>
        <v>-40000</v>
      </c>
      <c r="T130" s="164"/>
      <c r="U130" s="23">
        <f>SUM(U131:U139)</f>
        <v>11628303</v>
      </c>
      <c r="V130" s="23">
        <f t="shared" ref="V130:V187" si="90">U130-R130</f>
        <v>0</v>
      </c>
      <c r="W130" s="164"/>
      <c r="X130" s="23">
        <f>SUM(X131:X139)</f>
        <v>11628303</v>
      </c>
      <c r="Y130" s="23">
        <f t="shared" ref="Y130:Y187" si="91">X130-U130</f>
        <v>0</v>
      </c>
      <c r="Z130" s="164"/>
      <c r="AA130" s="23">
        <f>SUM(AA131:AA139)</f>
        <v>11628303</v>
      </c>
      <c r="AB130" s="23">
        <f t="shared" ref="AB130:AB187" si="92">AA130-X130</f>
        <v>0</v>
      </c>
      <c r="AC130" s="413"/>
      <c r="AD130" s="23">
        <f>SUM(AD131:AD139)</f>
        <v>11975578</v>
      </c>
      <c r="AE130" s="23">
        <f t="shared" ref="AE130:AE187" si="93">AD130-AA130</f>
        <v>347275</v>
      </c>
      <c r="AF130" s="164"/>
      <c r="AG130" s="23">
        <f>SUM(AG131:AG139)</f>
        <v>11642780.500000002</v>
      </c>
      <c r="AH130" s="221">
        <f t="shared" ref="AH130:AH193" si="94">AG130/AD130</f>
        <v>0.97221031836626193</v>
      </c>
      <c r="AI130" s="99"/>
    </row>
    <row r="131" spans="2:35" ht="31.5" customHeight="1" x14ac:dyDescent="0.25">
      <c r="B131" s="60" t="s">
        <v>205</v>
      </c>
      <c r="C131" s="81" t="s">
        <v>10</v>
      </c>
      <c r="D131" s="296" t="s">
        <v>144</v>
      </c>
      <c r="E131" s="37">
        <v>1983487</v>
      </c>
      <c r="F131" s="37">
        <f>ROUND(E131,0)</f>
        <v>1983487</v>
      </c>
      <c r="G131" s="18">
        <f t="shared" si="85"/>
        <v>0</v>
      </c>
      <c r="H131" s="399"/>
      <c r="I131" s="18">
        <f>ROUND(F131,0)</f>
        <v>1983487</v>
      </c>
      <c r="J131" s="18">
        <f t="shared" si="86"/>
        <v>0</v>
      </c>
      <c r="K131" s="145"/>
      <c r="L131" s="18">
        <f t="shared" ref="L131:L142" si="95">ROUND(I131,0)</f>
        <v>1983487</v>
      </c>
      <c r="M131" s="18">
        <f t="shared" si="87"/>
        <v>0</v>
      </c>
      <c r="N131" s="145"/>
      <c r="O131" s="18">
        <f t="shared" ref="O131:O141" si="96">ROUND(L131,0)</f>
        <v>1983487</v>
      </c>
      <c r="P131" s="18">
        <f t="shared" si="88"/>
        <v>0</v>
      </c>
      <c r="Q131" s="145"/>
      <c r="R131" s="18">
        <f t="shared" ref="R131:R136" si="97">ROUND(O131,0)</f>
        <v>1983487</v>
      </c>
      <c r="S131" s="18">
        <f t="shared" si="89"/>
        <v>0</v>
      </c>
      <c r="T131" s="145" t="s">
        <v>904</v>
      </c>
      <c r="U131" s="18">
        <f>ROUND(R131,0)+28260</f>
        <v>2011747</v>
      </c>
      <c r="V131" s="18">
        <f t="shared" si="90"/>
        <v>28260</v>
      </c>
      <c r="W131" s="145" t="s">
        <v>942</v>
      </c>
      <c r="X131" s="18">
        <f>ROUND(U131,0)</f>
        <v>2011747</v>
      </c>
      <c r="Y131" s="18">
        <f t="shared" si="91"/>
        <v>0</v>
      </c>
      <c r="Z131" s="145"/>
      <c r="AA131" s="18">
        <f>ROUND(X131,0)</f>
        <v>2011747</v>
      </c>
      <c r="AB131" s="18">
        <f t="shared" si="92"/>
        <v>0</v>
      </c>
      <c r="AC131" s="399"/>
      <c r="AD131" s="18">
        <f>ROUND(AA131,0)</f>
        <v>2011747</v>
      </c>
      <c r="AE131" s="18">
        <f t="shared" si="93"/>
        <v>0</v>
      </c>
      <c r="AF131" s="145"/>
      <c r="AG131" s="510">
        <f>10907174.69-AG137-AG138</f>
        <v>1932200.1600000001</v>
      </c>
      <c r="AH131" s="211">
        <f t="shared" si="94"/>
        <v>0.96045882509082914</v>
      </c>
      <c r="AI131" s="98"/>
    </row>
    <row r="132" spans="2:35" x14ac:dyDescent="0.25">
      <c r="B132" s="60" t="s">
        <v>206</v>
      </c>
      <c r="C132" s="81" t="s">
        <v>12</v>
      </c>
      <c r="D132" s="296" t="s">
        <v>145</v>
      </c>
      <c r="E132" s="37">
        <v>376850</v>
      </c>
      <c r="F132" s="37">
        <f t="shared" ref="F132:F141" si="98">ROUND(E132,0)</f>
        <v>376850</v>
      </c>
      <c r="G132" s="18">
        <f t="shared" si="85"/>
        <v>0</v>
      </c>
      <c r="H132" s="277"/>
      <c r="I132" s="18">
        <f t="shared" ref="I132:I137" si="99">ROUND(F132,0)</f>
        <v>376850</v>
      </c>
      <c r="J132" s="18">
        <f t="shared" si="86"/>
        <v>0</v>
      </c>
      <c r="K132" s="165"/>
      <c r="L132" s="18">
        <f t="shared" si="95"/>
        <v>376850</v>
      </c>
      <c r="M132" s="18">
        <f t="shared" si="87"/>
        <v>0</v>
      </c>
      <c r="N132" s="165"/>
      <c r="O132" s="18">
        <f t="shared" si="96"/>
        <v>376850</v>
      </c>
      <c r="P132" s="18">
        <f t="shared" si="88"/>
        <v>0</v>
      </c>
      <c r="Q132" s="165"/>
      <c r="R132" s="18">
        <f t="shared" si="97"/>
        <v>376850</v>
      </c>
      <c r="S132" s="18">
        <f t="shared" si="89"/>
        <v>0</v>
      </c>
      <c r="T132" s="165"/>
      <c r="U132" s="18">
        <f>ROUND(R132,0)-28260</f>
        <v>348590</v>
      </c>
      <c r="V132" s="18">
        <f t="shared" si="90"/>
        <v>-28260</v>
      </c>
      <c r="W132" s="145"/>
      <c r="X132" s="18">
        <f>ROUND(U132,0)</f>
        <v>348590</v>
      </c>
      <c r="Y132" s="18">
        <f t="shared" si="91"/>
        <v>0</v>
      </c>
      <c r="Z132" s="145"/>
      <c r="AA132" s="18">
        <f>ROUND(X132,0)</f>
        <v>348590</v>
      </c>
      <c r="AB132" s="18">
        <f t="shared" si="92"/>
        <v>0</v>
      </c>
      <c r="AC132" s="399"/>
      <c r="AD132" s="18">
        <f>ROUND(AA132,0)</f>
        <v>348590</v>
      </c>
      <c r="AE132" s="18">
        <f t="shared" si="93"/>
        <v>0</v>
      </c>
      <c r="AF132" s="145"/>
      <c r="AG132" s="510">
        <v>238530.96</v>
      </c>
      <c r="AH132" s="211">
        <f t="shared" si="94"/>
        <v>0.68427367394360139</v>
      </c>
      <c r="AI132" s="98"/>
    </row>
    <row r="133" spans="2:35" ht="13.15" customHeight="1" x14ac:dyDescent="0.25">
      <c r="B133" s="60" t="s">
        <v>208</v>
      </c>
      <c r="C133" s="81" t="s">
        <v>146</v>
      </c>
      <c r="D133" s="296" t="s">
        <v>147</v>
      </c>
      <c r="E133" s="37">
        <v>62512</v>
      </c>
      <c r="F133" s="37">
        <f>ROUND(E133,0)</f>
        <v>62512</v>
      </c>
      <c r="G133" s="18">
        <f t="shared" si="85"/>
        <v>0</v>
      </c>
      <c r="H133" s="399"/>
      <c r="I133" s="18">
        <f t="shared" si="99"/>
        <v>62512</v>
      </c>
      <c r="J133" s="18">
        <f t="shared" si="86"/>
        <v>0</v>
      </c>
      <c r="K133" s="145"/>
      <c r="L133" s="18">
        <f t="shared" si="95"/>
        <v>62512</v>
      </c>
      <c r="M133" s="18">
        <f t="shared" si="87"/>
        <v>0</v>
      </c>
      <c r="N133" s="145"/>
      <c r="O133" s="18">
        <f t="shared" si="96"/>
        <v>62512</v>
      </c>
      <c r="P133" s="18">
        <f t="shared" si="88"/>
        <v>0</v>
      </c>
      <c r="Q133" s="145"/>
      <c r="R133" s="18">
        <f t="shared" si="97"/>
        <v>62512</v>
      </c>
      <c r="S133" s="18">
        <f t="shared" si="89"/>
        <v>0</v>
      </c>
      <c r="T133" s="145"/>
      <c r="U133" s="18">
        <f>ROUND(R133,0)</f>
        <v>62512</v>
      </c>
      <c r="V133" s="18">
        <f t="shared" si="90"/>
        <v>0</v>
      </c>
      <c r="W133" s="145"/>
      <c r="X133" s="18">
        <f t="shared" ref="X133:X142" si="100">ROUND(U133,0)</f>
        <v>62512</v>
      </c>
      <c r="Y133" s="18">
        <f t="shared" si="91"/>
        <v>0</v>
      </c>
      <c r="Z133" s="145"/>
      <c r="AA133" s="18">
        <f t="shared" ref="AA133:AA142" si="101">ROUND(X133,0)</f>
        <v>62512</v>
      </c>
      <c r="AB133" s="18">
        <f t="shared" si="92"/>
        <v>0</v>
      </c>
      <c r="AC133" s="399"/>
      <c r="AD133" s="18">
        <f t="shared" ref="AD133:AD142" si="102">ROUND(AA133,0)</f>
        <v>62512</v>
      </c>
      <c r="AE133" s="18">
        <f t="shared" si="93"/>
        <v>0</v>
      </c>
      <c r="AF133" s="145"/>
      <c r="AG133" s="510">
        <v>44728.06</v>
      </c>
      <c r="AH133" s="211">
        <f t="shared" si="94"/>
        <v>0.71551158177629892</v>
      </c>
      <c r="AI133" s="280"/>
    </row>
    <row r="134" spans="2:35" ht="14.45" customHeight="1" x14ac:dyDescent="0.25">
      <c r="B134" s="60" t="s">
        <v>209</v>
      </c>
      <c r="C134" s="81" t="s">
        <v>148</v>
      </c>
      <c r="D134" s="296" t="s">
        <v>149</v>
      </c>
      <c r="E134" s="37">
        <v>45277</v>
      </c>
      <c r="F134" s="37">
        <f t="shared" si="98"/>
        <v>45277</v>
      </c>
      <c r="G134" s="18">
        <f t="shared" si="85"/>
        <v>0</v>
      </c>
      <c r="H134" s="399"/>
      <c r="I134" s="18">
        <f t="shared" si="99"/>
        <v>45277</v>
      </c>
      <c r="J134" s="18">
        <f t="shared" si="86"/>
        <v>0</v>
      </c>
      <c r="K134" s="145"/>
      <c r="L134" s="18">
        <f t="shared" si="95"/>
        <v>45277</v>
      </c>
      <c r="M134" s="18">
        <f t="shared" si="87"/>
        <v>0</v>
      </c>
      <c r="N134" s="145"/>
      <c r="O134" s="18">
        <f t="shared" si="96"/>
        <v>45277</v>
      </c>
      <c r="P134" s="18">
        <f t="shared" si="88"/>
        <v>0</v>
      </c>
      <c r="Q134" s="145"/>
      <c r="R134" s="18">
        <f t="shared" si="97"/>
        <v>45277</v>
      </c>
      <c r="S134" s="18">
        <f t="shared" si="89"/>
        <v>0</v>
      </c>
      <c r="T134" s="145"/>
      <c r="U134" s="18">
        <f>ROUND(R134,0)</f>
        <v>45277</v>
      </c>
      <c r="V134" s="18">
        <f t="shared" si="90"/>
        <v>0</v>
      </c>
      <c r="W134" s="145"/>
      <c r="X134" s="18">
        <f t="shared" si="100"/>
        <v>45277</v>
      </c>
      <c r="Y134" s="18">
        <f t="shared" si="91"/>
        <v>0</v>
      </c>
      <c r="Z134" s="145"/>
      <c r="AA134" s="18">
        <f t="shared" si="101"/>
        <v>45277</v>
      </c>
      <c r="AB134" s="18">
        <f t="shared" si="92"/>
        <v>0</v>
      </c>
      <c r="AC134" s="399"/>
      <c r="AD134" s="18">
        <f t="shared" si="102"/>
        <v>45277</v>
      </c>
      <c r="AE134" s="18">
        <f t="shared" si="93"/>
        <v>0</v>
      </c>
      <c r="AF134" s="145"/>
      <c r="AG134" s="510">
        <v>21649.69</v>
      </c>
      <c r="AH134" s="211">
        <f t="shared" si="94"/>
        <v>0.47816087638315258</v>
      </c>
      <c r="AI134" s="280"/>
    </row>
    <row r="135" spans="2:35" ht="15.6" customHeight="1" x14ac:dyDescent="0.25">
      <c r="B135" s="60" t="s">
        <v>207</v>
      </c>
      <c r="C135" s="81" t="s">
        <v>150</v>
      </c>
      <c r="D135" s="296" t="s">
        <v>151</v>
      </c>
      <c r="E135" s="37">
        <v>8040</v>
      </c>
      <c r="F135" s="37">
        <f>ROUND(E135,0)+8232</f>
        <v>16272</v>
      </c>
      <c r="G135" s="18">
        <f t="shared" si="85"/>
        <v>8232</v>
      </c>
      <c r="H135" s="447" t="s">
        <v>745</v>
      </c>
      <c r="I135" s="18">
        <f t="shared" si="99"/>
        <v>16272</v>
      </c>
      <c r="J135" s="18">
        <f t="shared" si="86"/>
        <v>0</v>
      </c>
      <c r="K135" s="165"/>
      <c r="L135" s="18">
        <f>ROUND(I135,0)+50781</f>
        <v>67053</v>
      </c>
      <c r="M135" s="18">
        <f t="shared" si="87"/>
        <v>50781</v>
      </c>
      <c r="N135" s="165" t="s">
        <v>820</v>
      </c>
      <c r="O135" s="18">
        <f t="shared" si="96"/>
        <v>67053</v>
      </c>
      <c r="P135" s="18">
        <f t="shared" si="88"/>
        <v>0</v>
      </c>
      <c r="Q135" s="165"/>
      <c r="R135" s="18">
        <f t="shared" si="97"/>
        <v>67053</v>
      </c>
      <c r="S135" s="18">
        <f t="shared" si="89"/>
        <v>0</v>
      </c>
      <c r="T135" s="165"/>
      <c r="U135" s="18">
        <f>ROUND(R135,0)</f>
        <v>67053</v>
      </c>
      <c r="V135" s="18">
        <f t="shared" si="90"/>
        <v>0</v>
      </c>
      <c r="W135" s="165"/>
      <c r="X135" s="18">
        <f t="shared" si="100"/>
        <v>67053</v>
      </c>
      <c r="Y135" s="18">
        <f t="shared" si="91"/>
        <v>0</v>
      </c>
      <c r="Z135" s="165"/>
      <c r="AA135" s="18">
        <f t="shared" si="101"/>
        <v>67053</v>
      </c>
      <c r="AB135" s="18">
        <f t="shared" si="92"/>
        <v>0</v>
      </c>
      <c r="AC135" s="277"/>
      <c r="AD135" s="18">
        <f t="shared" si="102"/>
        <v>67053</v>
      </c>
      <c r="AE135" s="18">
        <f t="shared" si="93"/>
        <v>0</v>
      </c>
      <c r="AF135" s="165"/>
      <c r="AG135" s="510">
        <v>49920.93</v>
      </c>
      <c r="AH135" s="211">
        <f t="shared" si="94"/>
        <v>0.74449957496308894</v>
      </c>
      <c r="AI135" s="280"/>
    </row>
    <row r="136" spans="2:35" ht="14.45" customHeight="1" x14ac:dyDescent="0.25">
      <c r="B136" s="60" t="s">
        <v>210</v>
      </c>
      <c r="C136" s="81" t="s">
        <v>152</v>
      </c>
      <c r="D136" s="296" t="s">
        <v>233</v>
      </c>
      <c r="E136" s="37">
        <v>53045</v>
      </c>
      <c r="F136" s="37">
        <f t="shared" si="98"/>
        <v>53045</v>
      </c>
      <c r="G136" s="18">
        <f t="shared" si="85"/>
        <v>0</v>
      </c>
      <c r="H136" s="277"/>
      <c r="I136" s="18">
        <f>ROUND(F136,0)</f>
        <v>53045</v>
      </c>
      <c r="J136" s="18">
        <f t="shared" si="86"/>
        <v>0</v>
      </c>
      <c r="K136" s="165"/>
      <c r="L136" s="18">
        <f t="shared" si="95"/>
        <v>53045</v>
      </c>
      <c r="M136" s="18">
        <f t="shared" si="87"/>
        <v>0</v>
      </c>
      <c r="N136" s="165"/>
      <c r="O136" s="18">
        <f t="shared" si="96"/>
        <v>53045</v>
      </c>
      <c r="P136" s="18">
        <f t="shared" si="88"/>
        <v>0</v>
      </c>
      <c r="Q136" s="165"/>
      <c r="R136" s="18">
        <f t="shared" si="97"/>
        <v>53045</v>
      </c>
      <c r="S136" s="18">
        <f t="shared" si="89"/>
        <v>0</v>
      </c>
      <c r="T136" s="165"/>
      <c r="U136" s="18">
        <f>ROUND(R136,0)</f>
        <v>53045</v>
      </c>
      <c r="V136" s="18">
        <f t="shared" si="90"/>
        <v>0</v>
      </c>
      <c r="W136" s="165"/>
      <c r="X136" s="18">
        <f t="shared" si="100"/>
        <v>53045</v>
      </c>
      <c r="Y136" s="18">
        <f t="shared" si="91"/>
        <v>0</v>
      </c>
      <c r="Z136" s="165"/>
      <c r="AA136" s="18">
        <f t="shared" si="101"/>
        <v>53045</v>
      </c>
      <c r="AB136" s="18">
        <f t="shared" si="92"/>
        <v>0</v>
      </c>
      <c r="AC136" s="277"/>
      <c r="AD136" s="18">
        <f t="shared" si="102"/>
        <v>53045</v>
      </c>
      <c r="AE136" s="18">
        <f t="shared" si="93"/>
        <v>0</v>
      </c>
      <c r="AF136" s="165"/>
      <c r="AG136" s="510">
        <v>32284.45</v>
      </c>
      <c r="AH136" s="211">
        <f t="shared" si="94"/>
        <v>0.60862380997266474</v>
      </c>
      <c r="AI136" s="280"/>
    </row>
    <row r="137" spans="2:35" ht="30" customHeight="1" x14ac:dyDescent="0.25">
      <c r="B137" s="60" t="s">
        <v>205</v>
      </c>
      <c r="C137" s="81" t="s">
        <v>153</v>
      </c>
      <c r="D137" s="296" t="s">
        <v>155</v>
      </c>
      <c r="E137" s="37">
        <v>2229302</v>
      </c>
      <c r="F137" s="37">
        <f t="shared" si="98"/>
        <v>2229302</v>
      </c>
      <c r="G137" s="18">
        <f t="shared" si="85"/>
        <v>0</v>
      </c>
      <c r="H137" s="414"/>
      <c r="I137" s="18">
        <f t="shared" si="99"/>
        <v>2229302</v>
      </c>
      <c r="J137" s="18">
        <f t="shared" si="86"/>
        <v>0</v>
      </c>
      <c r="K137" s="166"/>
      <c r="L137" s="18">
        <f t="shared" si="95"/>
        <v>2229302</v>
      </c>
      <c r="M137" s="18">
        <f t="shared" si="87"/>
        <v>0</v>
      </c>
      <c r="N137" s="166"/>
      <c r="O137" s="18">
        <f>ROUND(L137,0)-50687</f>
        <v>2178615</v>
      </c>
      <c r="P137" s="18">
        <f t="shared" si="88"/>
        <v>-50687</v>
      </c>
      <c r="Q137" s="166" t="s">
        <v>856</v>
      </c>
      <c r="R137" s="18">
        <f>ROUND(O137,0)-40000</f>
        <v>2138615</v>
      </c>
      <c r="S137" s="18">
        <f t="shared" si="89"/>
        <v>-40000</v>
      </c>
      <c r="T137" s="166" t="s">
        <v>903</v>
      </c>
      <c r="U137" s="18">
        <f t="shared" ref="U137:U142" si="103">ROUND(R137,0)</f>
        <v>2138615</v>
      </c>
      <c r="V137" s="18">
        <f t="shared" si="90"/>
        <v>0</v>
      </c>
      <c r="W137" s="166"/>
      <c r="X137" s="18">
        <f t="shared" si="100"/>
        <v>2138615</v>
      </c>
      <c r="Y137" s="18">
        <f t="shared" si="91"/>
        <v>0</v>
      </c>
      <c r="Z137" s="166"/>
      <c r="AA137" s="18">
        <f t="shared" si="101"/>
        <v>2138615</v>
      </c>
      <c r="AB137" s="18">
        <f t="shared" si="92"/>
        <v>0</v>
      </c>
      <c r="AC137" s="414"/>
      <c r="AD137" s="18">
        <f t="shared" si="102"/>
        <v>2138615</v>
      </c>
      <c r="AE137" s="18">
        <f t="shared" si="93"/>
        <v>0</v>
      </c>
      <c r="AF137" s="166"/>
      <c r="AG137" s="510">
        <v>2129583.5499999998</v>
      </c>
      <c r="AH137" s="211">
        <f t="shared" si="94"/>
        <v>0.99577696312800568</v>
      </c>
      <c r="AI137" s="280"/>
    </row>
    <row r="138" spans="2:35" ht="13.9" customHeight="1" x14ac:dyDescent="0.25">
      <c r="B138" s="60" t="s">
        <v>205</v>
      </c>
      <c r="C138" s="81" t="s">
        <v>154</v>
      </c>
      <c r="D138" s="296" t="s">
        <v>156</v>
      </c>
      <c r="E138" s="37">
        <v>6416104</v>
      </c>
      <c r="F138" s="37">
        <f t="shared" si="98"/>
        <v>6416104</v>
      </c>
      <c r="G138" s="18">
        <f t="shared" si="85"/>
        <v>0</v>
      </c>
      <c r="H138" s="277"/>
      <c r="I138" s="18">
        <f>ROUND(F138,0)+61071+20941</f>
        <v>6498116</v>
      </c>
      <c r="J138" s="18">
        <f t="shared" si="86"/>
        <v>82012</v>
      </c>
      <c r="K138" s="145" t="s">
        <v>779</v>
      </c>
      <c r="L138" s="18">
        <f t="shared" si="95"/>
        <v>6498116</v>
      </c>
      <c r="M138" s="18">
        <f t="shared" si="87"/>
        <v>0</v>
      </c>
      <c r="N138" s="165"/>
      <c r="O138" s="18">
        <f t="shared" si="96"/>
        <v>6498116</v>
      </c>
      <c r="P138" s="18">
        <f t="shared" si="88"/>
        <v>0</v>
      </c>
      <c r="Q138" s="165"/>
      <c r="R138" s="18">
        <f>ROUND(O138,0)</f>
        <v>6498116</v>
      </c>
      <c r="S138" s="18">
        <f t="shared" si="89"/>
        <v>0</v>
      </c>
      <c r="T138" s="165"/>
      <c r="U138" s="18">
        <f t="shared" si="103"/>
        <v>6498116</v>
      </c>
      <c r="V138" s="18">
        <f t="shared" si="90"/>
        <v>0</v>
      </c>
      <c r="W138" s="165"/>
      <c r="X138" s="18">
        <f t="shared" si="100"/>
        <v>6498116</v>
      </c>
      <c r="Y138" s="18">
        <f t="shared" si="91"/>
        <v>0</v>
      </c>
      <c r="Z138" s="165"/>
      <c r="AA138" s="18">
        <f t="shared" si="101"/>
        <v>6498116</v>
      </c>
      <c r="AB138" s="18">
        <f t="shared" si="92"/>
        <v>0</v>
      </c>
      <c r="AC138" s="277"/>
      <c r="AD138" s="18">
        <f>ROUND(AA138,0)+347275</f>
        <v>6845391</v>
      </c>
      <c r="AE138" s="18">
        <f t="shared" si="93"/>
        <v>347275</v>
      </c>
      <c r="AF138" s="165" t="s">
        <v>986</v>
      </c>
      <c r="AG138" s="510">
        <v>6845390.9800000004</v>
      </c>
      <c r="AH138" s="211">
        <f t="shared" si="94"/>
        <v>0.99999999707832621</v>
      </c>
      <c r="AI138" s="280"/>
    </row>
    <row r="139" spans="2:35" ht="42.6" customHeight="1" x14ac:dyDescent="0.25">
      <c r="B139" s="60" t="s">
        <v>335</v>
      </c>
      <c r="C139" s="81" t="s">
        <v>285</v>
      </c>
      <c r="D139" s="296" t="s">
        <v>311</v>
      </c>
      <c r="E139" s="37">
        <v>410307</v>
      </c>
      <c r="F139" s="37">
        <f>ROUND(E139,0)</f>
        <v>410307</v>
      </c>
      <c r="G139" s="167">
        <f t="shared" si="85"/>
        <v>0</v>
      </c>
      <c r="H139" s="415"/>
      <c r="I139" s="18">
        <f>ROUND(F139,0)</f>
        <v>410307</v>
      </c>
      <c r="J139" s="167">
        <f t="shared" si="86"/>
        <v>0</v>
      </c>
      <c r="K139" s="168"/>
      <c r="L139" s="18">
        <f>ROUND(I139,0)-6959</f>
        <v>403348</v>
      </c>
      <c r="M139" s="167">
        <f t="shared" si="87"/>
        <v>-6959</v>
      </c>
      <c r="N139" s="168" t="s">
        <v>815</v>
      </c>
      <c r="O139" s="18">
        <f t="shared" si="96"/>
        <v>403348</v>
      </c>
      <c r="P139" s="167">
        <f t="shared" si="88"/>
        <v>0</v>
      </c>
      <c r="Q139" s="168"/>
      <c r="R139" s="18">
        <f>ROUND(O139,0)</f>
        <v>403348</v>
      </c>
      <c r="S139" s="167">
        <f t="shared" si="89"/>
        <v>0</v>
      </c>
      <c r="T139" s="168"/>
      <c r="U139" s="18">
        <f t="shared" si="103"/>
        <v>403348</v>
      </c>
      <c r="V139" s="167">
        <f t="shared" si="90"/>
        <v>0</v>
      </c>
      <c r="W139" s="168"/>
      <c r="X139" s="18">
        <f t="shared" si="100"/>
        <v>403348</v>
      </c>
      <c r="Y139" s="167">
        <f t="shared" si="91"/>
        <v>0</v>
      </c>
      <c r="Z139" s="168"/>
      <c r="AA139" s="18">
        <f t="shared" si="101"/>
        <v>403348</v>
      </c>
      <c r="AB139" s="167">
        <f t="shared" si="92"/>
        <v>0</v>
      </c>
      <c r="AC139" s="415"/>
      <c r="AD139" s="18">
        <f t="shared" si="102"/>
        <v>403348</v>
      </c>
      <c r="AE139" s="167">
        <f t="shared" si="93"/>
        <v>0</v>
      </c>
      <c r="AF139" s="168"/>
      <c r="AG139" s="510">
        <v>348491.72</v>
      </c>
      <c r="AH139" s="211">
        <f t="shared" si="94"/>
        <v>0.86399763975524846</v>
      </c>
      <c r="AI139" s="280"/>
    </row>
    <row r="140" spans="2:35" x14ac:dyDescent="0.25">
      <c r="C140" s="82" t="s">
        <v>15</v>
      </c>
      <c r="D140" s="306" t="s">
        <v>157</v>
      </c>
      <c r="E140" s="345">
        <v>0</v>
      </c>
      <c r="F140" s="345">
        <f t="shared" si="98"/>
        <v>0</v>
      </c>
      <c r="G140" s="13">
        <f t="shared" si="85"/>
        <v>0</v>
      </c>
      <c r="H140" s="386"/>
      <c r="I140" s="13">
        <f>ROUND(F140,0)</f>
        <v>0</v>
      </c>
      <c r="J140" s="13">
        <f t="shared" si="86"/>
        <v>0</v>
      </c>
      <c r="K140" s="129"/>
      <c r="L140" s="13">
        <f t="shared" si="95"/>
        <v>0</v>
      </c>
      <c r="M140" s="13">
        <f t="shared" si="87"/>
        <v>0</v>
      </c>
      <c r="N140" s="129"/>
      <c r="O140" s="13">
        <f t="shared" si="96"/>
        <v>0</v>
      </c>
      <c r="P140" s="13">
        <f t="shared" si="88"/>
        <v>0</v>
      </c>
      <c r="Q140" s="129"/>
      <c r="R140" s="13">
        <f>ROUND(O140,0)</f>
        <v>0</v>
      </c>
      <c r="S140" s="13">
        <f t="shared" si="89"/>
        <v>0</v>
      </c>
      <c r="T140" s="129"/>
      <c r="U140" s="13">
        <f t="shared" si="103"/>
        <v>0</v>
      </c>
      <c r="V140" s="13">
        <f t="shared" si="90"/>
        <v>0</v>
      </c>
      <c r="W140" s="129"/>
      <c r="X140" s="13">
        <f t="shared" si="100"/>
        <v>0</v>
      </c>
      <c r="Y140" s="13">
        <f t="shared" si="91"/>
        <v>0</v>
      </c>
      <c r="Z140" s="129"/>
      <c r="AA140" s="13">
        <f t="shared" si="101"/>
        <v>0</v>
      </c>
      <c r="AB140" s="13">
        <f t="shared" si="92"/>
        <v>0</v>
      </c>
      <c r="AC140" s="386"/>
      <c r="AD140" s="13">
        <f t="shared" si="102"/>
        <v>0</v>
      </c>
      <c r="AE140" s="13">
        <f t="shared" si="93"/>
        <v>0</v>
      </c>
      <c r="AF140" s="129"/>
      <c r="AG140" s="598">
        <f>ROUND(H140,0)</f>
        <v>0</v>
      </c>
      <c r="AH140" s="199" t="e">
        <f t="shared" si="94"/>
        <v>#DIV/0!</v>
      </c>
      <c r="AI140" s="279"/>
    </row>
    <row r="141" spans="2:35" ht="13.9" customHeight="1" x14ac:dyDescent="0.25">
      <c r="B141" s="60" t="s">
        <v>213</v>
      </c>
      <c r="C141" s="81" t="s">
        <v>18</v>
      </c>
      <c r="D141" s="296" t="s">
        <v>158</v>
      </c>
      <c r="E141" s="37">
        <v>0</v>
      </c>
      <c r="F141" s="37">
        <f t="shared" si="98"/>
        <v>0</v>
      </c>
      <c r="G141" s="18">
        <f t="shared" si="85"/>
        <v>0</v>
      </c>
      <c r="H141" s="277"/>
      <c r="I141" s="18">
        <f>ROUND(F141,0)</f>
        <v>0</v>
      </c>
      <c r="J141" s="18">
        <f t="shared" si="86"/>
        <v>0</v>
      </c>
      <c r="K141" s="165"/>
      <c r="L141" s="18">
        <f t="shared" si="95"/>
        <v>0</v>
      </c>
      <c r="M141" s="18">
        <f t="shared" si="87"/>
        <v>0</v>
      </c>
      <c r="N141" s="165"/>
      <c r="O141" s="18">
        <f t="shared" si="96"/>
        <v>0</v>
      </c>
      <c r="P141" s="18">
        <f t="shared" si="88"/>
        <v>0</v>
      </c>
      <c r="Q141" s="165"/>
      <c r="R141" s="18">
        <f>ROUND(O141,0)</f>
        <v>0</v>
      </c>
      <c r="S141" s="18">
        <f t="shared" si="89"/>
        <v>0</v>
      </c>
      <c r="T141" s="165"/>
      <c r="U141" s="18">
        <f t="shared" si="103"/>
        <v>0</v>
      </c>
      <c r="V141" s="18">
        <f t="shared" si="90"/>
        <v>0</v>
      </c>
      <c r="W141" s="165"/>
      <c r="X141" s="18">
        <f t="shared" si="100"/>
        <v>0</v>
      </c>
      <c r="Y141" s="18">
        <f t="shared" si="91"/>
        <v>0</v>
      </c>
      <c r="Z141" s="165"/>
      <c r="AA141" s="18">
        <f t="shared" si="101"/>
        <v>0</v>
      </c>
      <c r="AB141" s="18">
        <f t="shared" si="92"/>
        <v>0</v>
      </c>
      <c r="AC141" s="277"/>
      <c r="AD141" s="18">
        <f t="shared" si="102"/>
        <v>0</v>
      </c>
      <c r="AE141" s="18">
        <f t="shared" si="93"/>
        <v>0</v>
      </c>
      <c r="AF141" s="165"/>
      <c r="AG141" s="26">
        <v>0</v>
      </c>
      <c r="AH141" s="211" t="e">
        <f t="shared" si="94"/>
        <v>#DIV/0!</v>
      </c>
      <c r="AI141" s="485"/>
    </row>
    <row r="142" spans="2:35" ht="15" customHeight="1" collapsed="1" x14ac:dyDescent="0.25">
      <c r="B142" s="60" t="s">
        <v>212</v>
      </c>
      <c r="C142" s="82" t="s">
        <v>23</v>
      </c>
      <c r="D142" s="306" t="s">
        <v>159</v>
      </c>
      <c r="E142" s="345">
        <v>1032367.7769225</v>
      </c>
      <c r="F142" s="345">
        <f>ROUND(E142,0)+645</f>
        <v>1033013</v>
      </c>
      <c r="G142" s="13">
        <f t="shared" si="85"/>
        <v>645.22307750000618</v>
      </c>
      <c r="H142" s="391" t="s">
        <v>729</v>
      </c>
      <c r="I142" s="13">
        <f>ROUND(F142,0)+13315</f>
        <v>1046328</v>
      </c>
      <c r="J142" s="13">
        <f t="shared" si="86"/>
        <v>13315</v>
      </c>
      <c r="K142" s="134" t="s">
        <v>781</v>
      </c>
      <c r="L142" s="13">
        <f t="shared" si="95"/>
        <v>1046328</v>
      </c>
      <c r="M142" s="13">
        <f t="shared" si="87"/>
        <v>0</v>
      </c>
      <c r="N142" s="134"/>
      <c r="O142" s="13">
        <f>ROUND(L142,0)-102</f>
        <v>1046226</v>
      </c>
      <c r="P142" s="13">
        <f t="shared" si="88"/>
        <v>-102</v>
      </c>
      <c r="Q142" s="134" t="s">
        <v>844</v>
      </c>
      <c r="R142" s="13">
        <f>ROUND(O142,0)+12131</f>
        <v>1058357</v>
      </c>
      <c r="S142" s="13">
        <f t="shared" si="89"/>
        <v>12131</v>
      </c>
      <c r="T142" s="134" t="s">
        <v>886</v>
      </c>
      <c r="U142" s="13">
        <f t="shared" si="103"/>
        <v>1058357</v>
      </c>
      <c r="V142" s="13">
        <f t="shared" si="90"/>
        <v>0</v>
      </c>
      <c r="W142" s="134"/>
      <c r="X142" s="13">
        <f t="shared" si="100"/>
        <v>1058357</v>
      </c>
      <c r="Y142" s="13">
        <f t="shared" si="91"/>
        <v>0</v>
      </c>
      <c r="Z142" s="134"/>
      <c r="AA142" s="13">
        <f t="shared" si="101"/>
        <v>1058357</v>
      </c>
      <c r="AB142" s="13">
        <f t="shared" si="92"/>
        <v>0</v>
      </c>
      <c r="AC142" s="391"/>
      <c r="AD142" s="13">
        <f t="shared" si="102"/>
        <v>1058357</v>
      </c>
      <c r="AE142" s="13">
        <f t="shared" si="93"/>
        <v>0</v>
      </c>
      <c r="AF142" s="134"/>
      <c r="AG142" s="517">
        <v>1007582.84</v>
      </c>
      <c r="AH142" s="199">
        <f t="shared" si="94"/>
        <v>0.95202548856387781</v>
      </c>
      <c r="AI142" s="481"/>
    </row>
    <row r="143" spans="2:35" s="19" customFormat="1" ht="16.899999999999999" customHeight="1" x14ac:dyDescent="0.25">
      <c r="C143" s="82" t="s">
        <v>31</v>
      </c>
      <c r="D143" s="306" t="s">
        <v>349</v>
      </c>
      <c r="E143" s="345">
        <v>521949.07229136</v>
      </c>
      <c r="F143" s="345">
        <f t="shared" ref="F143" si="104">F144+F147</f>
        <v>583582</v>
      </c>
      <c r="G143" s="13">
        <f t="shared" si="85"/>
        <v>61632.927708639996</v>
      </c>
      <c r="H143" s="391"/>
      <c r="I143" s="13">
        <f>I144+I147</f>
        <v>587548</v>
      </c>
      <c r="J143" s="13">
        <f t="shared" si="86"/>
        <v>3966</v>
      </c>
      <c r="K143" s="134"/>
      <c r="L143" s="13">
        <f>L144+L147</f>
        <v>587548</v>
      </c>
      <c r="M143" s="13">
        <f t="shared" si="87"/>
        <v>0</v>
      </c>
      <c r="N143" s="134"/>
      <c r="O143" s="13">
        <f>O144+O147</f>
        <v>587548</v>
      </c>
      <c r="P143" s="13">
        <f t="shared" si="88"/>
        <v>0</v>
      </c>
      <c r="Q143" s="134"/>
      <c r="R143" s="13">
        <f>R144+R147</f>
        <v>587548</v>
      </c>
      <c r="S143" s="13">
        <f t="shared" si="89"/>
        <v>0</v>
      </c>
      <c r="T143" s="134"/>
      <c r="U143" s="13">
        <f>U144+U147</f>
        <v>587548</v>
      </c>
      <c r="V143" s="13">
        <f t="shared" si="90"/>
        <v>0</v>
      </c>
      <c r="W143" s="134"/>
      <c r="X143" s="13">
        <f>X144+X147</f>
        <v>587548</v>
      </c>
      <c r="Y143" s="13">
        <f t="shared" si="91"/>
        <v>0</v>
      </c>
      <c r="Z143" s="134"/>
      <c r="AA143" s="13">
        <f>AA144+AA147</f>
        <v>587548</v>
      </c>
      <c r="AB143" s="13">
        <f t="shared" si="92"/>
        <v>0</v>
      </c>
      <c r="AC143" s="391"/>
      <c r="AD143" s="13">
        <f>AD144+AD147</f>
        <v>587548</v>
      </c>
      <c r="AE143" s="13">
        <f t="shared" si="93"/>
        <v>0</v>
      </c>
      <c r="AF143" s="134"/>
      <c r="AG143" s="517">
        <f>AG144+AG147</f>
        <v>548017.64</v>
      </c>
      <c r="AH143" s="199">
        <f t="shared" si="94"/>
        <v>0.9327197777883679</v>
      </c>
      <c r="AI143" s="279"/>
    </row>
    <row r="144" spans="2:35" x14ac:dyDescent="0.25">
      <c r="B144" s="60" t="s">
        <v>211</v>
      </c>
      <c r="C144" s="81" t="s">
        <v>34</v>
      </c>
      <c r="D144" s="296" t="s">
        <v>160</v>
      </c>
      <c r="E144" s="37">
        <v>179686.07229136</v>
      </c>
      <c r="F144" s="37">
        <f>SUM(F145:F146)</f>
        <v>179686</v>
      </c>
      <c r="G144" s="18">
        <f t="shared" ref="G144" si="105">SUM(G145:G146)</f>
        <v>-7.2291360003873706E-2</v>
      </c>
      <c r="H144" s="280"/>
      <c r="I144" s="18">
        <f>SUM(I145:I146)</f>
        <v>179686</v>
      </c>
      <c r="J144" s="18">
        <f t="shared" si="86"/>
        <v>0</v>
      </c>
      <c r="K144" s="18"/>
      <c r="L144" s="18">
        <f>SUM(L145:L146)</f>
        <v>179686</v>
      </c>
      <c r="M144" s="18">
        <f t="shared" si="87"/>
        <v>0</v>
      </c>
      <c r="N144" s="18"/>
      <c r="O144" s="18">
        <f>SUM(O145:O146)</f>
        <v>179686</v>
      </c>
      <c r="P144" s="18">
        <f t="shared" si="88"/>
        <v>0</v>
      </c>
      <c r="Q144" s="18"/>
      <c r="R144" s="18">
        <f>SUM(R145:R146)</f>
        <v>179686</v>
      </c>
      <c r="S144" s="18">
        <f t="shared" si="89"/>
        <v>0</v>
      </c>
      <c r="T144" s="18"/>
      <c r="U144" s="18">
        <f>SUM(U145:U146)</f>
        <v>179686</v>
      </c>
      <c r="V144" s="18">
        <f t="shared" si="90"/>
        <v>0</v>
      </c>
      <c r="W144" s="18"/>
      <c r="X144" s="18">
        <f>SUM(X145:X146)</f>
        <v>179686</v>
      </c>
      <c r="Y144" s="18">
        <f t="shared" si="91"/>
        <v>0</v>
      </c>
      <c r="Z144" s="18"/>
      <c r="AA144" s="18">
        <f>SUM(AA145:AA146)</f>
        <v>179686</v>
      </c>
      <c r="AB144" s="18">
        <f t="shared" si="92"/>
        <v>0</v>
      </c>
      <c r="AC144" s="280"/>
      <c r="AD144" s="18">
        <f>SUM(AD145:AD146)</f>
        <v>179686</v>
      </c>
      <c r="AE144" s="18">
        <f t="shared" si="93"/>
        <v>0</v>
      </c>
      <c r="AF144" s="18"/>
      <c r="AG144" s="510">
        <f>SUM(AG145:AG146)</f>
        <v>179107.48</v>
      </c>
      <c r="AH144" s="211">
        <f t="shared" si="94"/>
        <v>0.9967803835579846</v>
      </c>
      <c r="AI144" s="280"/>
    </row>
    <row r="145" spans="2:35" ht="15.75" customHeight="1" x14ac:dyDescent="0.25">
      <c r="B145" s="60" t="s">
        <v>211</v>
      </c>
      <c r="C145" s="83" t="s">
        <v>465</v>
      </c>
      <c r="D145" s="294" t="s">
        <v>410</v>
      </c>
      <c r="E145" s="346">
        <v>150459.07229136</v>
      </c>
      <c r="F145" s="346">
        <f>ROUND(E145,0)</f>
        <v>150459</v>
      </c>
      <c r="G145" s="54">
        <f t="shared" si="85"/>
        <v>-7.2291360003873706E-2</v>
      </c>
      <c r="H145" s="393"/>
      <c r="I145" s="11">
        <f>ROUND(F145,0)-3283-544</f>
        <v>146632</v>
      </c>
      <c r="J145" s="54">
        <f t="shared" si="86"/>
        <v>-3827</v>
      </c>
      <c r="K145" s="606" t="s">
        <v>771</v>
      </c>
      <c r="L145" s="11">
        <f>ROUND(I145,0)-660</f>
        <v>145972</v>
      </c>
      <c r="M145" s="54">
        <f t="shared" si="87"/>
        <v>-660</v>
      </c>
      <c r="N145" s="144" t="s">
        <v>821</v>
      </c>
      <c r="O145" s="11">
        <f>ROUND(L145,0)</f>
        <v>145972</v>
      </c>
      <c r="P145" s="54">
        <f t="shared" si="88"/>
        <v>0</v>
      </c>
      <c r="Q145" s="136"/>
      <c r="R145" s="11">
        <f>ROUND(O145,0)</f>
        <v>145972</v>
      </c>
      <c r="S145" s="54">
        <f t="shared" si="89"/>
        <v>0</v>
      </c>
      <c r="T145" s="136"/>
      <c r="U145" s="11">
        <f>ROUND(R145,0)</f>
        <v>145972</v>
      </c>
      <c r="V145" s="54">
        <f t="shared" si="90"/>
        <v>0</v>
      </c>
      <c r="W145" s="136"/>
      <c r="X145" s="11">
        <f>ROUND(U145,0)</f>
        <v>145972</v>
      </c>
      <c r="Y145" s="54">
        <f t="shared" si="91"/>
        <v>0</v>
      </c>
      <c r="Z145" s="136"/>
      <c r="AA145" s="11">
        <f>ROUND(X145,0)</f>
        <v>145972</v>
      </c>
      <c r="AB145" s="54">
        <f t="shared" si="92"/>
        <v>0</v>
      </c>
      <c r="AC145" s="393"/>
      <c r="AD145" s="11">
        <f>ROUND(AA145,0)</f>
        <v>145972</v>
      </c>
      <c r="AE145" s="54">
        <f t="shared" si="93"/>
        <v>0</v>
      </c>
      <c r="AF145" s="136"/>
      <c r="AG145" s="474">
        <v>145715.6</v>
      </c>
      <c r="AH145" s="200">
        <f t="shared" si="94"/>
        <v>0.99824349875318563</v>
      </c>
      <c r="AI145" s="12"/>
    </row>
    <row r="146" spans="2:35" ht="15.6" customHeight="1" x14ac:dyDescent="0.25">
      <c r="B146" s="60"/>
      <c r="C146" s="83" t="s">
        <v>466</v>
      </c>
      <c r="D146" s="334" t="s">
        <v>464</v>
      </c>
      <c r="E146" s="352">
        <v>29227</v>
      </c>
      <c r="F146" s="346">
        <f>ROUND(E146,0)</f>
        <v>29227</v>
      </c>
      <c r="G146" s="54">
        <f t="shared" si="85"/>
        <v>0</v>
      </c>
      <c r="H146" s="416"/>
      <c r="I146" s="11">
        <f>ROUND(F146,0)+3283+544</f>
        <v>33054</v>
      </c>
      <c r="J146" s="93">
        <f t="shared" si="86"/>
        <v>3827</v>
      </c>
      <c r="K146" s="607"/>
      <c r="L146" s="11">
        <f>ROUND(I146,0)+660</f>
        <v>33714</v>
      </c>
      <c r="M146" s="93">
        <f t="shared" si="87"/>
        <v>660</v>
      </c>
      <c r="N146" s="142"/>
      <c r="O146" s="11">
        <f>ROUND(L146,0)</f>
        <v>33714</v>
      </c>
      <c r="P146" s="93">
        <f t="shared" si="88"/>
        <v>0</v>
      </c>
      <c r="Q146" s="142"/>
      <c r="R146" s="11">
        <f>ROUND(O146,0)</f>
        <v>33714</v>
      </c>
      <c r="S146" s="93">
        <f t="shared" si="89"/>
        <v>0</v>
      </c>
      <c r="T146" s="142"/>
      <c r="U146" s="11">
        <f>ROUND(R146,0)</f>
        <v>33714</v>
      </c>
      <c r="V146" s="93">
        <f t="shared" si="90"/>
        <v>0</v>
      </c>
      <c r="W146" s="142"/>
      <c r="X146" s="11">
        <f>ROUND(U146,0)</f>
        <v>33714</v>
      </c>
      <c r="Y146" s="93">
        <f t="shared" si="91"/>
        <v>0</v>
      </c>
      <c r="Z146" s="142"/>
      <c r="AA146" s="11">
        <f>ROUND(X146,0)</f>
        <v>33714</v>
      </c>
      <c r="AB146" s="93">
        <f t="shared" si="92"/>
        <v>0</v>
      </c>
      <c r="AC146" s="416"/>
      <c r="AD146" s="11">
        <f>ROUND(AA146,0)</f>
        <v>33714</v>
      </c>
      <c r="AE146" s="93">
        <f t="shared" si="93"/>
        <v>0</v>
      </c>
      <c r="AF146" s="142"/>
      <c r="AG146" s="474">
        <v>33391.879999999997</v>
      </c>
      <c r="AH146" s="212">
        <f t="shared" si="94"/>
        <v>0.99044551225010369</v>
      </c>
      <c r="AI146" s="281"/>
    </row>
    <row r="147" spans="2:35" ht="30" x14ac:dyDescent="0.25">
      <c r="B147" s="60" t="s">
        <v>415</v>
      </c>
      <c r="C147" s="81" t="s">
        <v>36</v>
      </c>
      <c r="D147" s="299" t="s">
        <v>286</v>
      </c>
      <c r="E147" s="37">
        <v>342263</v>
      </c>
      <c r="F147" s="37">
        <f>ROUND(E147,0)+1093+59292+1248</f>
        <v>403896</v>
      </c>
      <c r="G147" s="95">
        <f t="shared" si="85"/>
        <v>61633</v>
      </c>
      <c r="H147" s="184" t="s">
        <v>740</v>
      </c>
      <c r="I147" s="18">
        <f>ROUND(F147,0)+3966</f>
        <v>407862</v>
      </c>
      <c r="J147" s="95">
        <f t="shared" si="86"/>
        <v>3966</v>
      </c>
      <c r="K147" s="18" t="s">
        <v>775</v>
      </c>
      <c r="L147" s="18">
        <f>ROUND(I147,0)</f>
        <v>407862</v>
      </c>
      <c r="M147" s="95">
        <f t="shared" si="87"/>
        <v>0</v>
      </c>
      <c r="N147" s="18"/>
      <c r="O147" s="18">
        <f>ROUND(L147,0)</f>
        <v>407862</v>
      </c>
      <c r="P147" s="95">
        <f t="shared" si="88"/>
        <v>0</v>
      </c>
      <c r="Q147" s="18"/>
      <c r="R147" s="18">
        <f>ROUND(O147,0)</f>
        <v>407862</v>
      </c>
      <c r="S147" s="95">
        <f t="shared" si="89"/>
        <v>0</v>
      </c>
      <c r="T147" s="18"/>
      <c r="U147" s="18">
        <f>ROUND(R147,0)</f>
        <v>407862</v>
      </c>
      <c r="V147" s="95">
        <f t="shared" si="90"/>
        <v>0</v>
      </c>
      <c r="W147" s="18"/>
      <c r="X147" s="18">
        <f>ROUND(U147,0)</f>
        <v>407862</v>
      </c>
      <c r="Y147" s="95">
        <f t="shared" si="91"/>
        <v>0</v>
      </c>
      <c r="Z147" s="18"/>
      <c r="AA147" s="18">
        <f>ROUND(X147,0)</f>
        <v>407862</v>
      </c>
      <c r="AB147" s="95">
        <f t="shared" si="92"/>
        <v>0</v>
      </c>
      <c r="AC147" s="280"/>
      <c r="AD147" s="18">
        <f>ROUND(AA147,0)</f>
        <v>407862</v>
      </c>
      <c r="AE147" s="95">
        <f t="shared" si="93"/>
        <v>0</v>
      </c>
      <c r="AF147" s="18"/>
      <c r="AG147" s="510">
        <v>368910.16</v>
      </c>
      <c r="AH147" s="211">
        <f t="shared" si="94"/>
        <v>0.90449750160593523</v>
      </c>
      <c r="AI147" s="18" t="s">
        <v>556</v>
      </c>
    </row>
    <row r="148" spans="2:35" x14ac:dyDescent="0.25">
      <c r="C148" s="82" t="s">
        <v>37</v>
      </c>
      <c r="D148" s="306" t="s">
        <v>351</v>
      </c>
      <c r="E148" s="345">
        <v>70000</v>
      </c>
      <c r="F148" s="345">
        <f t="shared" ref="F148" si="106">F149</f>
        <v>174970</v>
      </c>
      <c r="G148" s="13">
        <f t="shared" si="85"/>
        <v>104970</v>
      </c>
      <c r="H148" s="386"/>
      <c r="I148" s="13">
        <f>I149</f>
        <v>174970</v>
      </c>
      <c r="J148" s="13">
        <f t="shared" si="86"/>
        <v>0</v>
      </c>
      <c r="K148" s="129"/>
      <c r="L148" s="13">
        <f>L149</f>
        <v>174970</v>
      </c>
      <c r="M148" s="13">
        <f t="shared" si="87"/>
        <v>0</v>
      </c>
      <c r="N148" s="129"/>
      <c r="O148" s="13">
        <f>O149</f>
        <v>174970</v>
      </c>
      <c r="P148" s="13">
        <f t="shared" si="88"/>
        <v>0</v>
      </c>
      <c r="Q148" s="129"/>
      <c r="R148" s="13">
        <f>R149</f>
        <v>174970</v>
      </c>
      <c r="S148" s="13">
        <f t="shared" si="89"/>
        <v>0</v>
      </c>
      <c r="T148" s="129"/>
      <c r="U148" s="13">
        <f>U149</f>
        <v>174970</v>
      </c>
      <c r="V148" s="13">
        <f t="shared" si="90"/>
        <v>0</v>
      </c>
      <c r="W148" s="129"/>
      <c r="X148" s="13">
        <f>X149</f>
        <v>174970</v>
      </c>
      <c r="Y148" s="13">
        <f t="shared" si="91"/>
        <v>0</v>
      </c>
      <c r="Z148" s="129"/>
      <c r="AA148" s="13">
        <f>AA149</f>
        <v>174970</v>
      </c>
      <c r="AB148" s="13">
        <f t="shared" si="92"/>
        <v>0</v>
      </c>
      <c r="AC148" s="386"/>
      <c r="AD148" s="13">
        <f>AD149</f>
        <v>174970</v>
      </c>
      <c r="AE148" s="13">
        <f t="shared" si="93"/>
        <v>0</v>
      </c>
      <c r="AF148" s="129"/>
      <c r="AG148" s="517">
        <f>AG149</f>
        <v>7664.36</v>
      </c>
      <c r="AH148" s="199">
        <f t="shared" si="94"/>
        <v>4.3803852088929528E-2</v>
      </c>
      <c r="AI148" s="279"/>
    </row>
    <row r="149" spans="2:35" ht="16.149999999999999" customHeight="1" x14ac:dyDescent="0.25">
      <c r="B149" s="60" t="s">
        <v>414</v>
      </c>
      <c r="C149" s="81" t="s">
        <v>162</v>
      </c>
      <c r="D149" s="296" t="s">
        <v>350</v>
      </c>
      <c r="E149" s="37">
        <v>70000</v>
      </c>
      <c r="F149" s="37">
        <f>ROUND(E149,0)+104970</f>
        <v>174970</v>
      </c>
      <c r="G149" s="18">
        <f t="shared" si="85"/>
        <v>104970</v>
      </c>
      <c r="H149" s="145" t="s">
        <v>526</v>
      </c>
      <c r="I149" s="18">
        <f>ROUND(F149,0)</f>
        <v>174970</v>
      </c>
      <c r="J149" s="18">
        <f t="shared" si="86"/>
        <v>0</v>
      </c>
      <c r="K149" s="145"/>
      <c r="L149" s="18">
        <f>ROUND(I149,0)</f>
        <v>174970</v>
      </c>
      <c r="M149" s="18">
        <f t="shared" si="87"/>
        <v>0</v>
      </c>
      <c r="N149" s="145"/>
      <c r="O149" s="18">
        <f>ROUND(L149,0)</f>
        <v>174970</v>
      </c>
      <c r="P149" s="18">
        <f t="shared" si="88"/>
        <v>0</v>
      </c>
      <c r="Q149" s="145"/>
      <c r="R149" s="18">
        <f>ROUND(O149,0)</f>
        <v>174970</v>
      </c>
      <c r="S149" s="18">
        <f t="shared" si="89"/>
        <v>0</v>
      </c>
      <c r="T149" s="145"/>
      <c r="U149" s="18">
        <f>ROUND(R149,0)</f>
        <v>174970</v>
      </c>
      <c r="V149" s="18">
        <f t="shared" si="90"/>
        <v>0</v>
      </c>
      <c r="W149" s="145"/>
      <c r="X149" s="18">
        <f>ROUND(U149,0)</f>
        <v>174970</v>
      </c>
      <c r="Y149" s="18">
        <f t="shared" si="91"/>
        <v>0</v>
      </c>
      <c r="Z149" s="145"/>
      <c r="AA149" s="18">
        <f>ROUND(X149,0)</f>
        <v>174970</v>
      </c>
      <c r="AB149" s="18">
        <f t="shared" si="92"/>
        <v>0</v>
      </c>
      <c r="AC149" s="399"/>
      <c r="AD149" s="18">
        <f>ROUND(AA149,0)</f>
        <v>174970</v>
      </c>
      <c r="AE149" s="18">
        <f t="shared" si="93"/>
        <v>0</v>
      </c>
      <c r="AF149" s="145"/>
      <c r="AG149" s="510">
        <v>7664.36</v>
      </c>
      <c r="AH149" s="211">
        <f t="shared" si="94"/>
        <v>4.3803852088929528E-2</v>
      </c>
      <c r="AI149" s="18" t="s">
        <v>804</v>
      </c>
    </row>
    <row r="150" spans="2:35" ht="29.25" x14ac:dyDescent="0.25">
      <c r="C150" s="82" t="s">
        <v>40</v>
      </c>
      <c r="D150" s="306" t="s">
        <v>161</v>
      </c>
      <c r="E150" s="345">
        <v>14182678.841957785</v>
      </c>
      <c r="F150" s="345">
        <f t="shared" ref="F150" si="107">F151+F152+F153+F154+F172</f>
        <v>14286414</v>
      </c>
      <c r="G150" s="13">
        <f>G152+G153+G154+G172</f>
        <v>103735.15804221481</v>
      </c>
      <c r="H150" s="279"/>
      <c r="I150" s="13">
        <f>I151+I152+I153+I154+I172</f>
        <v>14591725</v>
      </c>
      <c r="J150" s="13">
        <f t="shared" si="86"/>
        <v>305311</v>
      </c>
      <c r="K150" s="13"/>
      <c r="L150" s="13">
        <f>L151+L152+L153+L154+L172</f>
        <v>14665800</v>
      </c>
      <c r="M150" s="13">
        <f t="shared" si="87"/>
        <v>74075</v>
      </c>
      <c r="N150" s="13"/>
      <c r="O150" s="13">
        <f>O151+O152+O153+O154+O172</f>
        <v>15381807</v>
      </c>
      <c r="P150" s="13">
        <f t="shared" si="88"/>
        <v>716007</v>
      </c>
      <c r="Q150" s="13"/>
      <c r="R150" s="13">
        <f>R151+R152+R153+R154+R172</f>
        <v>15496067</v>
      </c>
      <c r="S150" s="13">
        <f t="shared" si="89"/>
        <v>114260</v>
      </c>
      <c r="T150" s="13"/>
      <c r="U150" s="13">
        <f>U151+U152+U153+U154+U172</f>
        <v>15508113</v>
      </c>
      <c r="V150" s="13">
        <f t="shared" si="90"/>
        <v>12046</v>
      </c>
      <c r="W150" s="13"/>
      <c r="X150" s="13">
        <f>X151+X152+X153+X154+X172</f>
        <v>15508113</v>
      </c>
      <c r="Y150" s="13">
        <f t="shared" si="91"/>
        <v>0</v>
      </c>
      <c r="Z150" s="13"/>
      <c r="AA150" s="13">
        <f>AA151+AA152+AA153+AA154+AA172</f>
        <v>14585778</v>
      </c>
      <c r="AB150" s="13">
        <f t="shared" si="92"/>
        <v>-922335</v>
      </c>
      <c r="AC150" s="279"/>
      <c r="AD150" s="13">
        <f>AD151+AD152+AD153+AD154+AD172</f>
        <v>14585778</v>
      </c>
      <c r="AE150" s="13">
        <f t="shared" si="93"/>
        <v>0</v>
      </c>
      <c r="AF150" s="13"/>
      <c r="AG150" s="593">
        <f>AG151+AG152+AG153+AG154+AG172</f>
        <v>12537490.959999999</v>
      </c>
      <c r="AH150" s="199">
        <f t="shared" si="94"/>
        <v>0.85956957249726407</v>
      </c>
      <c r="AI150" s="279"/>
    </row>
    <row r="151" spans="2:35" ht="15.6" customHeight="1" x14ac:dyDescent="0.25">
      <c r="B151" s="60" t="s">
        <v>213</v>
      </c>
      <c r="C151" s="81" t="s">
        <v>43</v>
      </c>
      <c r="D151" s="316" t="s">
        <v>158</v>
      </c>
      <c r="E151" s="361">
        <v>70000</v>
      </c>
      <c r="F151" s="37">
        <f>ROUND(E151,0)</f>
        <v>70000</v>
      </c>
      <c r="G151" s="18">
        <f>F151-E151</f>
        <v>0</v>
      </c>
      <c r="H151" s="277"/>
      <c r="I151" s="18">
        <f>ROUND(F151,0)</f>
        <v>70000</v>
      </c>
      <c r="J151" s="18">
        <f t="shared" si="86"/>
        <v>0</v>
      </c>
      <c r="K151" s="165"/>
      <c r="L151" s="18">
        <f>ROUND(I151,0)</f>
        <v>70000</v>
      </c>
      <c r="M151" s="18">
        <f t="shared" si="87"/>
        <v>0</v>
      </c>
      <c r="N151" s="165"/>
      <c r="O151" s="18">
        <f>ROUND(L151,0)</f>
        <v>70000</v>
      </c>
      <c r="P151" s="18">
        <f t="shared" si="88"/>
        <v>0</v>
      </c>
      <c r="Q151" s="165"/>
      <c r="R151" s="18">
        <f>ROUND(O151,0)</f>
        <v>70000</v>
      </c>
      <c r="S151" s="18">
        <f t="shared" si="89"/>
        <v>0</v>
      </c>
      <c r="T151" s="165"/>
      <c r="U151" s="18">
        <f>ROUND(R151,0)</f>
        <v>70000</v>
      </c>
      <c r="V151" s="18">
        <f t="shared" si="90"/>
        <v>0</v>
      </c>
      <c r="W151" s="165"/>
      <c r="X151" s="18">
        <f>ROUND(U151,0)</f>
        <v>70000</v>
      </c>
      <c r="Y151" s="18">
        <f t="shared" si="91"/>
        <v>0</v>
      </c>
      <c r="Z151" s="165"/>
      <c r="AA151" s="18">
        <f>ROUND(X151,0)</f>
        <v>70000</v>
      </c>
      <c r="AB151" s="18">
        <f t="shared" si="92"/>
        <v>0</v>
      </c>
      <c r="AC151" s="277"/>
      <c r="AD151" s="18">
        <f>ROUND(AA151,0)</f>
        <v>70000</v>
      </c>
      <c r="AE151" s="18">
        <f t="shared" si="93"/>
        <v>0</v>
      </c>
      <c r="AF151" s="165"/>
      <c r="AG151" s="510">
        <f>ROUND(K151,0)</f>
        <v>0</v>
      </c>
      <c r="AH151" s="211">
        <f t="shared" si="94"/>
        <v>0</v>
      </c>
      <c r="AI151" s="485"/>
    </row>
    <row r="152" spans="2:35" ht="28.15" customHeight="1" x14ac:dyDescent="0.25">
      <c r="B152" s="60" t="s">
        <v>452</v>
      </c>
      <c r="C152" s="81" t="s">
        <v>53</v>
      </c>
      <c r="D152" s="316" t="s">
        <v>163</v>
      </c>
      <c r="E152" s="361">
        <v>330452</v>
      </c>
      <c r="F152" s="361">
        <f>ROUND(E152,0)</f>
        <v>330452</v>
      </c>
      <c r="G152" s="24">
        <f t="shared" si="85"/>
        <v>0</v>
      </c>
      <c r="H152" s="399"/>
      <c r="I152" s="24">
        <f>ROUND(F152,0)</f>
        <v>330452</v>
      </c>
      <c r="J152" s="24">
        <f t="shared" si="86"/>
        <v>0</v>
      </c>
      <c r="K152" s="193"/>
      <c r="L152" s="24">
        <f>ROUND(I152,0)</f>
        <v>330452</v>
      </c>
      <c r="M152" s="24">
        <f t="shared" si="87"/>
        <v>0</v>
      </c>
      <c r="N152" s="193"/>
      <c r="O152" s="24">
        <f>ROUND(L152,0)</f>
        <v>330452</v>
      </c>
      <c r="P152" s="24">
        <f t="shared" si="88"/>
        <v>0</v>
      </c>
      <c r="Q152" s="193"/>
      <c r="R152" s="24">
        <f>ROUND(O152,0)</f>
        <v>330452</v>
      </c>
      <c r="S152" s="24">
        <f t="shared" si="89"/>
        <v>0</v>
      </c>
      <c r="T152" s="193"/>
      <c r="U152" s="24">
        <f>ROUND(R152,0)</f>
        <v>330452</v>
      </c>
      <c r="V152" s="24">
        <f t="shared" si="90"/>
        <v>0</v>
      </c>
      <c r="W152" s="193"/>
      <c r="X152" s="24">
        <f>ROUND(U152,0)</f>
        <v>330452</v>
      </c>
      <c r="Y152" s="24">
        <f t="shared" si="91"/>
        <v>0</v>
      </c>
      <c r="Z152" s="193"/>
      <c r="AA152" s="24">
        <f>ROUND(X152,0)</f>
        <v>330452</v>
      </c>
      <c r="AB152" s="24">
        <f t="shared" si="92"/>
        <v>0</v>
      </c>
      <c r="AC152" s="571"/>
      <c r="AD152" s="24">
        <f>ROUND(AA152,0)</f>
        <v>330452</v>
      </c>
      <c r="AE152" s="24">
        <f t="shared" si="93"/>
        <v>0</v>
      </c>
      <c r="AF152" s="193"/>
      <c r="AG152" s="518">
        <v>318705.62</v>
      </c>
      <c r="AH152" s="222">
        <f t="shared" si="94"/>
        <v>0.96445359689153043</v>
      </c>
      <c r="AI152" s="485"/>
    </row>
    <row r="153" spans="2:35" ht="19.5" customHeight="1" x14ac:dyDescent="0.25">
      <c r="B153" s="60" t="s">
        <v>463</v>
      </c>
      <c r="C153" s="81" t="s">
        <v>167</v>
      </c>
      <c r="D153" s="316" t="s">
        <v>338</v>
      </c>
      <c r="E153" s="361">
        <v>393055</v>
      </c>
      <c r="F153" s="361">
        <f>ROUND(E153,0)</f>
        <v>393055</v>
      </c>
      <c r="G153" s="105">
        <f t="shared" si="85"/>
        <v>0</v>
      </c>
      <c r="H153" s="453"/>
      <c r="I153" s="24">
        <f>ROUND(F153,0)</f>
        <v>393055</v>
      </c>
      <c r="J153" s="105">
        <f t="shared" si="86"/>
        <v>0</v>
      </c>
      <c r="K153" s="145"/>
      <c r="L153" s="24">
        <f>ROUND(I153,0)</f>
        <v>393055</v>
      </c>
      <c r="M153" s="105">
        <f t="shared" si="87"/>
        <v>0</v>
      </c>
      <c r="N153" s="145"/>
      <c r="O153" s="24">
        <f>ROUND(L153,0)</f>
        <v>393055</v>
      </c>
      <c r="P153" s="105">
        <f t="shared" si="88"/>
        <v>0</v>
      </c>
      <c r="Q153" s="145"/>
      <c r="R153" s="24">
        <f>ROUND(O153,0)</f>
        <v>393055</v>
      </c>
      <c r="S153" s="105">
        <f t="shared" si="89"/>
        <v>0</v>
      </c>
      <c r="T153" s="145"/>
      <c r="U153" s="24">
        <f>ROUND(R153,0)</f>
        <v>393055</v>
      </c>
      <c r="V153" s="105">
        <f t="shared" si="90"/>
        <v>0</v>
      </c>
      <c r="W153" s="145" t="s">
        <v>920</v>
      </c>
      <c r="X153" s="24">
        <f>ROUND(U153,0)</f>
        <v>393055</v>
      </c>
      <c r="Y153" s="105">
        <f t="shared" si="91"/>
        <v>0</v>
      </c>
      <c r="Z153" s="145"/>
      <c r="AA153" s="24">
        <f>ROUND(X153,0)</f>
        <v>393055</v>
      </c>
      <c r="AB153" s="105">
        <f t="shared" si="92"/>
        <v>0</v>
      </c>
      <c r="AC153" s="399"/>
      <c r="AD153" s="24">
        <f>ROUND(AA153,0)</f>
        <v>393055</v>
      </c>
      <c r="AE153" s="105">
        <f t="shared" si="93"/>
        <v>0</v>
      </c>
      <c r="AF153" s="145"/>
      <c r="AG153" s="518">
        <v>343886.1</v>
      </c>
      <c r="AH153" s="222">
        <f t="shared" si="94"/>
        <v>0.87490580198699919</v>
      </c>
      <c r="AI153" s="485"/>
    </row>
    <row r="154" spans="2:35" x14ac:dyDescent="0.25">
      <c r="C154" s="81" t="s">
        <v>169</v>
      </c>
      <c r="D154" s="316" t="s">
        <v>339</v>
      </c>
      <c r="E154" s="361">
        <v>1839370</v>
      </c>
      <c r="F154" s="361">
        <f t="shared" ref="F154:G154" si="108">SUM(F155:F171)</f>
        <v>1839370</v>
      </c>
      <c r="G154" s="24">
        <f t="shared" si="108"/>
        <v>0</v>
      </c>
      <c r="H154" s="289"/>
      <c r="I154" s="24">
        <f>SUM(I155:I171)</f>
        <v>1841370</v>
      </c>
      <c r="J154" s="24">
        <f t="shared" si="86"/>
        <v>2000</v>
      </c>
      <c r="K154" s="24"/>
      <c r="L154" s="24">
        <f>SUM(L155:L171)</f>
        <v>1834021</v>
      </c>
      <c r="M154" s="24">
        <f t="shared" si="87"/>
        <v>-7349</v>
      </c>
      <c r="N154" s="24"/>
      <c r="O154" s="24">
        <f>SUM(O155:O171)</f>
        <v>1862424</v>
      </c>
      <c r="P154" s="24">
        <f t="shared" si="88"/>
        <v>28403</v>
      </c>
      <c r="Q154" s="24"/>
      <c r="R154" s="24">
        <f>SUM(R155:R171)</f>
        <v>1777862</v>
      </c>
      <c r="S154" s="24">
        <f t="shared" si="89"/>
        <v>-84562</v>
      </c>
      <c r="T154" s="24"/>
      <c r="U154" s="24">
        <f>SUM(U155:U171)</f>
        <v>1777862</v>
      </c>
      <c r="V154" s="24">
        <f t="shared" si="90"/>
        <v>0</v>
      </c>
      <c r="W154" s="24"/>
      <c r="X154" s="24">
        <f>SUM(X155:X171)</f>
        <v>1777862</v>
      </c>
      <c r="Y154" s="24">
        <f t="shared" si="91"/>
        <v>0</v>
      </c>
      <c r="Z154" s="24"/>
      <c r="AA154" s="24">
        <f>SUM(AA155:AA171)</f>
        <v>1761862</v>
      </c>
      <c r="AB154" s="24">
        <f t="shared" si="92"/>
        <v>-16000</v>
      </c>
      <c r="AC154" s="289"/>
      <c r="AD154" s="24">
        <f>SUM(AD155:AD171)</f>
        <v>1761862</v>
      </c>
      <c r="AE154" s="24">
        <f t="shared" si="93"/>
        <v>0</v>
      </c>
      <c r="AF154" s="24"/>
      <c r="AG154" s="518">
        <f>SUM(AG155:AG171)</f>
        <v>1085354.8899999999</v>
      </c>
      <c r="AH154" s="222">
        <f t="shared" si="94"/>
        <v>0.61602718601116313</v>
      </c>
      <c r="AI154" s="289"/>
    </row>
    <row r="155" spans="2:35" ht="45.75" customHeight="1" x14ac:dyDescent="0.25">
      <c r="B155" s="60" t="s">
        <v>214</v>
      </c>
      <c r="C155" s="83" t="s">
        <v>352</v>
      </c>
      <c r="D155" s="292" t="s">
        <v>164</v>
      </c>
      <c r="E155" s="346">
        <v>696938</v>
      </c>
      <c r="F155" s="346">
        <f>ROUND(E155,0)</f>
        <v>696938</v>
      </c>
      <c r="G155" s="11">
        <f t="shared" si="85"/>
        <v>0</v>
      </c>
      <c r="H155" s="417"/>
      <c r="I155" s="11">
        <f>ROUND(F155,0)+2000</f>
        <v>698938</v>
      </c>
      <c r="J155" s="11">
        <f t="shared" si="86"/>
        <v>2000</v>
      </c>
      <c r="K155" s="170" t="s">
        <v>780</v>
      </c>
      <c r="L155" s="11">
        <f>ROUND(I155,0)-7349+5000+26640</f>
        <v>723229</v>
      </c>
      <c r="M155" s="11">
        <f t="shared" si="87"/>
        <v>24291</v>
      </c>
      <c r="N155" s="170" t="s">
        <v>823</v>
      </c>
      <c r="O155" s="11">
        <f>ROUND(L155,0)-5801-44284-3347</f>
        <v>669797</v>
      </c>
      <c r="P155" s="11">
        <f t="shared" si="88"/>
        <v>-53432</v>
      </c>
      <c r="Q155" s="192" t="s">
        <v>858</v>
      </c>
      <c r="R155" s="11">
        <f>ROUND(O155,0)+44284-85085-120000+19840+1500+1500</f>
        <v>531836</v>
      </c>
      <c r="S155" s="538">
        <f t="shared" si="89"/>
        <v>-137961</v>
      </c>
      <c r="T155" s="540" t="s">
        <v>908</v>
      </c>
      <c r="U155" s="11">
        <f>ROUND(R155,0)</f>
        <v>531836</v>
      </c>
      <c r="V155" s="11">
        <f t="shared" si="90"/>
        <v>0</v>
      </c>
      <c r="W155" s="310"/>
      <c r="X155" s="11">
        <f>ROUND(U155,0)</f>
        <v>531836</v>
      </c>
      <c r="Y155" s="11">
        <f t="shared" si="91"/>
        <v>0</v>
      </c>
      <c r="Z155" s="310"/>
      <c r="AA155" s="11">
        <f>ROUND(X155,0)-16000</f>
        <v>515836</v>
      </c>
      <c r="AB155" s="11">
        <f t="shared" si="92"/>
        <v>-16000</v>
      </c>
      <c r="AC155" s="566" t="s">
        <v>977</v>
      </c>
      <c r="AD155" s="11">
        <f>ROUND(AA155,0)</f>
        <v>515836</v>
      </c>
      <c r="AE155" s="11">
        <f t="shared" si="93"/>
        <v>0</v>
      </c>
      <c r="AF155" s="566"/>
      <c r="AG155" s="474">
        <f>400897.73-AG166</f>
        <v>392867.73</v>
      </c>
      <c r="AH155" s="204">
        <f t="shared" si="94"/>
        <v>0.76161363301514429</v>
      </c>
      <c r="AI155" s="480"/>
    </row>
    <row r="156" spans="2:35" ht="18.600000000000001" customHeight="1" x14ac:dyDescent="0.25">
      <c r="B156" s="60" t="s">
        <v>472</v>
      </c>
      <c r="C156" s="83" t="s">
        <v>353</v>
      </c>
      <c r="D156" s="292" t="s">
        <v>289</v>
      </c>
      <c r="E156" s="353">
        <v>40000</v>
      </c>
      <c r="F156" s="353">
        <f t="shared" ref="F156:F161" si="109">ROUND(E156,0)</f>
        <v>40000</v>
      </c>
      <c r="G156" s="54">
        <f t="shared" si="85"/>
        <v>0</v>
      </c>
      <c r="H156" s="418"/>
      <c r="I156" s="54">
        <f t="shared" ref="I156:I161" si="110">ROUND(F156,0)</f>
        <v>40000</v>
      </c>
      <c r="J156" s="54">
        <f t="shared" si="86"/>
        <v>0</v>
      </c>
      <c r="K156" s="171"/>
      <c r="L156" s="54">
        <f>ROUND(I156,0)</f>
        <v>40000</v>
      </c>
      <c r="M156" s="54">
        <f t="shared" si="87"/>
        <v>0</v>
      </c>
      <c r="N156" s="171"/>
      <c r="O156" s="54">
        <f>ROUND(L156,0)</f>
        <v>40000</v>
      </c>
      <c r="P156" s="54">
        <f t="shared" si="88"/>
        <v>0</v>
      </c>
      <c r="Q156" s="171"/>
      <c r="R156" s="54">
        <f t="shared" ref="R156:R162" si="111">ROUND(O156,0)</f>
        <v>40000</v>
      </c>
      <c r="S156" s="54">
        <f t="shared" si="89"/>
        <v>0</v>
      </c>
      <c r="T156" s="171"/>
      <c r="U156" s="54">
        <f t="shared" ref="U156:U162" si="112">ROUND(R156,0)</f>
        <v>40000</v>
      </c>
      <c r="V156" s="54">
        <f t="shared" si="90"/>
        <v>0</v>
      </c>
      <c r="W156" s="171"/>
      <c r="X156" s="54">
        <f t="shared" ref="X156:X171" si="113">ROUND(U156,0)</f>
        <v>40000</v>
      </c>
      <c r="Y156" s="54">
        <f t="shared" si="91"/>
        <v>0</v>
      </c>
      <c r="Z156" s="171"/>
      <c r="AA156" s="54">
        <f t="shared" ref="AA156:AA171" si="114">ROUND(X156,0)</f>
        <v>40000</v>
      </c>
      <c r="AB156" s="54">
        <f t="shared" si="92"/>
        <v>0</v>
      </c>
      <c r="AC156" s="418"/>
      <c r="AD156" s="54">
        <f t="shared" ref="AD156:AD171" si="115">ROUND(AA156,0)</f>
        <v>40000</v>
      </c>
      <c r="AE156" s="54">
        <f t="shared" si="93"/>
        <v>0</v>
      </c>
      <c r="AF156" s="171"/>
      <c r="AG156" s="618">
        <v>49542.71</v>
      </c>
      <c r="AH156" s="610">
        <f t="shared" si="94"/>
        <v>1.2385677500000001</v>
      </c>
      <c r="AI156" s="284"/>
    </row>
    <row r="157" spans="2:35" ht="16.5" customHeight="1" x14ac:dyDescent="0.25">
      <c r="B157" s="60" t="s">
        <v>472</v>
      </c>
      <c r="C157" s="83" t="s">
        <v>534</v>
      </c>
      <c r="D157" s="329" t="s">
        <v>467</v>
      </c>
      <c r="E157" s="352">
        <v>15094</v>
      </c>
      <c r="F157" s="353">
        <f t="shared" si="109"/>
        <v>15094</v>
      </c>
      <c r="G157" s="54">
        <f t="shared" si="85"/>
        <v>0</v>
      </c>
      <c r="H157" s="419"/>
      <c r="I157" s="54">
        <f t="shared" si="110"/>
        <v>15094</v>
      </c>
      <c r="J157" s="54">
        <f t="shared" si="86"/>
        <v>0</v>
      </c>
      <c r="K157" s="172"/>
      <c r="L157" s="54">
        <f>ROUND(I157,0)</f>
        <v>15094</v>
      </c>
      <c r="M157" s="54">
        <f t="shared" si="87"/>
        <v>0</v>
      </c>
      <c r="N157" s="172"/>
      <c r="O157" s="54">
        <f>ROUND(L157,0)</f>
        <v>15094</v>
      </c>
      <c r="P157" s="54">
        <f t="shared" si="88"/>
        <v>0</v>
      </c>
      <c r="Q157" s="172"/>
      <c r="R157" s="54">
        <f t="shared" si="111"/>
        <v>15094</v>
      </c>
      <c r="S157" s="54">
        <f t="shared" si="89"/>
        <v>0</v>
      </c>
      <c r="T157" s="172"/>
      <c r="U157" s="54">
        <f t="shared" si="112"/>
        <v>15094</v>
      </c>
      <c r="V157" s="54">
        <f t="shared" si="90"/>
        <v>0</v>
      </c>
      <c r="W157" s="172"/>
      <c r="X157" s="54">
        <f t="shared" si="113"/>
        <v>15094</v>
      </c>
      <c r="Y157" s="54">
        <f t="shared" si="91"/>
        <v>0</v>
      </c>
      <c r="Z157" s="172"/>
      <c r="AA157" s="54">
        <f t="shared" si="114"/>
        <v>15094</v>
      </c>
      <c r="AB157" s="54">
        <f t="shared" si="92"/>
        <v>0</v>
      </c>
      <c r="AC157" s="419"/>
      <c r="AD157" s="54">
        <f t="shared" si="115"/>
        <v>15094</v>
      </c>
      <c r="AE157" s="54">
        <f t="shared" si="93"/>
        <v>0</v>
      </c>
      <c r="AF157" s="172"/>
      <c r="AG157" s="619"/>
      <c r="AH157" s="611">
        <f t="shared" si="94"/>
        <v>0</v>
      </c>
      <c r="AI157" s="281"/>
    </row>
    <row r="158" spans="2:35" ht="28.15" customHeight="1" x14ac:dyDescent="0.25">
      <c r="B158" s="60" t="s">
        <v>497</v>
      </c>
      <c r="C158" s="107" t="s">
        <v>535</v>
      </c>
      <c r="D158" s="308" t="s">
        <v>495</v>
      </c>
      <c r="E158" s="346">
        <v>50458</v>
      </c>
      <c r="F158" s="346">
        <f>ROUND(E158,0)</f>
        <v>50458</v>
      </c>
      <c r="G158" s="11">
        <f t="shared" si="85"/>
        <v>0</v>
      </c>
      <c r="H158" s="417"/>
      <c r="I158" s="11">
        <f t="shared" si="110"/>
        <v>50458</v>
      </c>
      <c r="J158" s="11">
        <f t="shared" si="86"/>
        <v>0</v>
      </c>
      <c r="K158" s="170"/>
      <c r="L158" s="11">
        <f>ROUND(I158,0)</f>
        <v>50458</v>
      </c>
      <c r="M158" s="11">
        <f t="shared" si="87"/>
        <v>0</v>
      </c>
      <c r="N158" s="170"/>
      <c r="O158" s="11">
        <f>ROUND(L158,0)</f>
        <v>50458</v>
      </c>
      <c r="P158" s="11">
        <f t="shared" si="88"/>
        <v>0</v>
      </c>
      <c r="Q158" s="170"/>
      <c r="R158" s="11">
        <f t="shared" si="111"/>
        <v>50458</v>
      </c>
      <c r="S158" s="11">
        <f t="shared" si="89"/>
        <v>0</v>
      </c>
      <c r="T158" s="170"/>
      <c r="U158" s="11">
        <f t="shared" si="112"/>
        <v>50458</v>
      </c>
      <c r="V158" s="11">
        <f t="shared" si="90"/>
        <v>0</v>
      </c>
      <c r="W158" s="170"/>
      <c r="X158" s="11">
        <f t="shared" si="113"/>
        <v>50458</v>
      </c>
      <c r="Y158" s="11">
        <f t="shared" si="91"/>
        <v>0</v>
      </c>
      <c r="Z158" s="170"/>
      <c r="AA158" s="11">
        <f t="shared" si="114"/>
        <v>50458</v>
      </c>
      <c r="AB158" s="11">
        <f t="shared" si="92"/>
        <v>0</v>
      </c>
      <c r="AC158" s="417"/>
      <c r="AD158" s="11">
        <f t="shared" si="115"/>
        <v>50458</v>
      </c>
      <c r="AE158" s="11">
        <f t="shared" si="93"/>
        <v>0</v>
      </c>
      <c r="AF158" s="170"/>
      <c r="AG158" s="474">
        <v>7740.37</v>
      </c>
      <c r="AH158" s="200">
        <f t="shared" si="94"/>
        <v>0.15340223552261287</v>
      </c>
      <c r="AI158" s="11" t="s">
        <v>571</v>
      </c>
    </row>
    <row r="159" spans="2:35" ht="40.9" customHeight="1" x14ac:dyDescent="0.25">
      <c r="B159" s="60" t="s">
        <v>416</v>
      </c>
      <c r="C159" s="108" t="s">
        <v>536</v>
      </c>
      <c r="D159" s="537" t="s">
        <v>345</v>
      </c>
      <c r="E159" s="346">
        <v>145650</v>
      </c>
      <c r="F159" s="346">
        <f t="shared" si="109"/>
        <v>145650</v>
      </c>
      <c r="G159" s="93">
        <f t="shared" si="85"/>
        <v>0</v>
      </c>
      <c r="H159" s="419"/>
      <c r="I159" s="11">
        <f>ROUND(F159,0)</f>
        <v>145650</v>
      </c>
      <c r="J159" s="93">
        <f t="shared" si="86"/>
        <v>0</v>
      </c>
      <c r="K159" s="172"/>
      <c r="L159" s="11">
        <f>ROUND(I159,0)-5000-26640</f>
        <v>114010</v>
      </c>
      <c r="M159" s="93">
        <f t="shared" si="87"/>
        <v>-31640</v>
      </c>
      <c r="N159" s="172" t="s">
        <v>822</v>
      </c>
      <c r="O159" s="11">
        <f>ROUND(L159,0)+3347</f>
        <v>117357</v>
      </c>
      <c r="P159" s="93">
        <f t="shared" si="88"/>
        <v>3347</v>
      </c>
      <c r="Q159" s="172" t="s">
        <v>855</v>
      </c>
      <c r="R159" s="11">
        <f t="shared" si="111"/>
        <v>117357</v>
      </c>
      <c r="S159" s="93">
        <f t="shared" si="89"/>
        <v>0</v>
      </c>
      <c r="T159" s="172"/>
      <c r="U159" s="11">
        <f t="shared" si="112"/>
        <v>117357</v>
      </c>
      <c r="V159" s="93">
        <f t="shared" si="90"/>
        <v>0</v>
      </c>
      <c r="W159" s="172"/>
      <c r="X159" s="11">
        <f t="shared" si="113"/>
        <v>117357</v>
      </c>
      <c r="Y159" s="93">
        <f t="shared" si="91"/>
        <v>0</v>
      </c>
      <c r="Z159" s="172"/>
      <c r="AA159" s="11">
        <f t="shared" si="114"/>
        <v>117357</v>
      </c>
      <c r="AB159" s="93">
        <f t="shared" si="92"/>
        <v>0</v>
      </c>
      <c r="AC159" s="419"/>
      <c r="AD159" s="11">
        <f t="shared" si="115"/>
        <v>117357</v>
      </c>
      <c r="AE159" s="93">
        <f t="shared" si="93"/>
        <v>0</v>
      </c>
      <c r="AF159" s="172"/>
      <c r="AG159" s="474">
        <v>24587.200000000001</v>
      </c>
      <c r="AH159" s="200">
        <f t="shared" si="94"/>
        <v>0.20950774133626457</v>
      </c>
      <c r="AI159" s="11" t="s">
        <v>571</v>
      </c>
    </row>
    <row r="160" spans="2:35" ht="31.9" customHeight="1" x14ac:dyDescent="0.25">
      <c r="B160" s="60" t="s">
        <v>417</v>
      </c>
      <c r="C160" s="107" t="s">
        <v>354</v>
      </c>
      <c r="D160" s="537" t="s">
        <v>346</v>
      </c>
      <c r="E160" s="346">
        <v>397337</v>
      </c>
      <c r="F160" s="346">
        <f t="shared" si="109"/>
        <v>397337</v>
      </c>
      <c r="G160" s="93">
        <f t="shared" si="85"/>
        <v>0</v>
      </c>
      <c r="H160" s="419"/>
      <c r="I160" s="11">
        <f t="shared" si="110"/>
        <v>397337</v>
      </c>
      <c r="J160" s="93">
        <f t="shared" si="86"/>
        <v>0</v>
      </c>
      <c r="K160" s="172"/>
      <c r="L160" s="11">
        <f t="shared" ref="L160:L168" si="116">ROUND(I160,0)</f>
        <v>397337</v>
      </c>
      <c r="M160" s="93">
        <f t="shared" si="87"/>
        <v>0</v>
      </c>
      <c r="N160" s="172"/>
      <c r="O160" s="11">
        <f>ROUND(L160,0)</f>
        <v>397337</v>
      </c>
      <c r="P160" s="93">
        <f t="shared" si="88"/>
        <v>0</v>
      </c>
      <c r="Q160" s="172"/>
      <c r="R160" s="11">
        <f t="shared" si="111"/>
        <v>397337</v>
      </c>
      <c r="S160" s="93">
        <f t="shared" si="89"/>
        <v>0</v>
      </c>
      <c r="T160" s="172"/>
      <c r="U160" s="11">
        <f t="shared" si="112"/>
        <v>397337</v>
      </c>
      <c r="V160" s="93">
        <f t="shared" si="90"/>
        <v>0</v>
      </c>
      <c r="W160" s="172"/>
      <c r="X160" s="11">
        <f t="shared" si="113"/>
        <v>397337</v>
      </c>
      <c r="Y160" s="93">
        <f t="shared" si="91"/>
        <v>0</v>
      </c>
      <c r="Z160" s="172"/>
      <c r="AA160" s="11">
        <f t="shared" si="114"/>
        <v>397337</v>
      </c>
      <c r="AB160" s="93">
        <f t="shared" si="92"/>
        <v>0</v>
      </c>
      <c r="AC160" s="419"/>
      <c r="AD160" s="11">
        <f t="shared" si="115"/>
        <v>397337</v>
      </c>
      <c r="AE160" s="93">
        <f t="shared" si="93"/>
        <v>0</v>
      </c>
      <c r="AF160" s="172"/>
      <c r="AG160" s="474">
        <v>307872.40000000002</v>
      </c>
      <c r="AH160" s="200">
        <f t="shared" si="94"/>
        <v>0.77483949393084461</v>
      </c>
      <c r="AI160" s="12"/>
    </row>
    <row r="161" spans="2:35" ht="15" customHeight="1" x14ac:dyDescent="0.25">
      <c r="B161" s="532" t="s">
        <v>767</v>
      </c>
      <c r="C161" s="107" t="s">
        <v>355</v>
      </c>
      <c r="D161" s="307" t="s">
        <v>673</v>
      </c>
      <c r="E161" s="346">
        <v>207440</v>
      </c>
      <c r="F161" s="346">
        <f t="shared" si="109"/>
        <v>207440</v>
      </c>
      <c r="G161" s="43">
        <f t="shared" si="85"/>
        <v>0</v>
      </c>
      <c r="H161" s="398"/>
      <c r="I161" s="11">
        <f t="shared" si="110"/>
        <v>207440</v>
      </c>
      <c r="J161" s="43">
        <f t="shared" si="86"/>
        <v>0</v>
      </c>
      <c r="K161" s="144"/>
      <c r="L161" s="11">
        <f t="shared" si="116"/>
        <v>207440</v>
      </c>
      <c r="M161" s="43">
        <f t="shared" si="87"/>
        <v>0</v>
      </c>
      <c r="N161" s="144"/>
      <c r="O161" s="11">
        <f>ROUND(L161,0)+22000+50687</f>
        <v>280127</v>
      </c>
      <c r="P161" s="43">
        <f t="shared" si="88"/>
        <v>72687</v>
      </c>
      <c r="Q161" s="144" t="s">
        <v>857</v>
      </c>
      <c r="R161" s="11">
        <f t="shared" si="111"/>
        <v>280127</v>
      </c>
      <c r="S161" s="43">
        <f t="shared" si="89"/>
        <v>0</v>
      </c>
      <c r="T161" s="144"/>
      <c r="U161" s="11">
        <f t="shared" si="112"/>
        <v>280127</v>
      </c>
      <c r="V161" s="43">
        <f t="shared" si="90"/>
        <v>0</v>
      </c>
      <c r="W161" s="144"/>
      <c r="X161" s="11">
        <f t="shared" si="113"/>
        <v>280127</v>
      </c>
      <c r="Y161" s="43">
        <f t="shared" si="91"/>
        <v>0</v>
      </c>
      <c r="Z161" s="144"/>
      <c r="AA161" s="11">
        <f t="shared" si="114"/>
        <v>280127</v>
      </c>
      <c r="AB161" s="43">
        <f t="shared" si="92"/>
        <v>0</v>
      </c>
      <c r="AC161" s="398"/>
      <c r="AD161" s="11">
        <f t="shared" si="115"/>
        <v>280127</v>
      </c>
      <c r="AE161" s="43">
        <f t="shared" si="93"/>
        <v>0</v>
      </c>
      <c r="AF161" s="144"/>
      <c r="AG161" s="474">
        <v>215654.76</v>
      </c>
      <c r="AH161" s="200">
        <f t="shared" si="94"/>
        <v>0.76984639110117914</v>
      </c>
      <c r="AI161" s="11" t="s">
        <v>571</v>
      </c>
    </row>
    <row r="162" spans="2:35" ht="39.6" customHeight="1" x14ac:dyDescent="0.25">
      <c r="B162" s="60" t="s">
        <v>945</v>
      </c>
      <c r="C162" s="107" t="s">
        <v>356</v>
      </c>
      <c r="D162" s="309" t="s">
        <v>680</v>
      </c>
      <c r="E162" s="350">
        <v>14067</v>
      </c>
      <c r="F162" s="346">
        <f t="shared" ref="F162:F171" si="117">ROUND(E162,0)</f>
        <v>14067</v>
      </c>
      <c r="G162" s="43">
        <f t="shared" ref="G162:G168" si="118">F162-E162</f>
        <v>0</v>
      </c>
      <c r="H162" s="420"/>
      <c r="I162" s="11">
        <f t="shared" ref="I162:I168" si="119">ROUND(F162,0)</f>
        <v>14067</v>
      </c>
      <c r="J162" s="43">
        <f t="shared" ref="J162:J168" si="120">I162-F162</f>
        <v>0</v>
      </c>
      <c r="K162" s="310"/>
      <c r="L162" s="11">
        <f t="shared" si="116"/>
        <v>14067</v>
      </c>
      <c r="M162" s="43">
        <f t="shared" ref="M162:M168" si="121">L162-I162</f>
        <v>0</v>
      </c>
      <c r="N162" s="310"/>
      <c r="O162" s="11">
        <f>ROUND(L162,0)+5801</f>
        <v>19868</v>
      </c>
      <c r="P162" s="43">
        <f t="shared" ref="P162:P168" si="122">O162-L162</f>
        <v>5801</v>
      </c>
      <c r="Q162" s="310" t="s">
        <v>859</v>
      </c>
      <c r="R162" s="11">
        <f t="shared" si="111"/>
        <v>19868</v>
      </c>
      <c r="S162" s="43">
        <f t="shared" si="89"/>
        <v>0</v>
      </c>
      <c r="T162" s="310"/>
      <c r="U162" s="11">
        <f t="shared" si="112"/>
        <v>19868</v>
      </c>
      <c r="V162" s="43">
        <f t="shared" si="90"/>
        <v>0</v>
      </c>
      <c r="W162" s="310"/>
      <c r="X162" s="11">
        <f t="shared" si="113"/>
        <v>19868</v>
      </c>
      <c r="Y162" s="43">
        <f t="shared" si="91"/>
        <v>0</v>
      </c>
      <c r="Z162" s="310"/>
      <c r="AA162" s="11">
        <f t="shared" si="114"/>
        <v>19868</v>
      </c>
      <c r="AB162" s="43">
        <f t="shared" si="92"/>
        <v>0</v>
      </c>
      <c r="AC162" s="420"/>
      <c r="AD162" s="11">
        <f t="shared" si="115"/>
        <v>19868</v>
      </c>
      <c r="AE162" s="43">
        <f t="shared" si="93"/>
        <v>0</v>
      </c>
      <c r="AF162" s="310"/>
      <c r="AG162" s="474">
        <v>19867.599999999999</v>
      </c>
      <c r="AH162" s="208">
        <f t="shared" si="94"/>
        <v>0.99997986712301179</v>
      </c>
      <c r="AI162" s="285"/>
    </row>
    <row r="163" spans="2:35" ht="33" customHeight="1" x14ac:dyDescent="0.25">
      <c r="B163" s="60" t="s">
        <v>946</v>
      </c>
      <c r="C163" s="107" t="s">
        <v>357</v>
      </c>
      <c r="D163" s="309" t="s">
        <v>681</v>
      </c>
      <c r="E163" s="350">
        <v>7900</v>
      </c>
      <c r="F163" s="346">
        <f t="shared" si="117"/>
        <v>7900</v>
      </c>
      <c r="G163" s="43">
        <f t="shared" si="118"/>
        <v>0</v>
      </c>
      <c r="H163" s="420"/>
      <c r="I163" s="11">
        <f t="shared" si="119"/>
        <v>7900</v>
      </c>
      <c r="J163" s="43">
        <f t="shared" si="120"/>
        <v>0</v>
      </c>
      <c r="K163" s="310"/>
      <c r="L163" s="11">
        <f t="shared" si="116"/>
        <v>7900</v>
      </c>
      <c r="M163" s="43">
        <f t="shared" si="121"/>
        <v>0</v>
      </c>
      <c r="N163" s="310"/>
      <c r="O163" s="11">
        <f t="shared" ref="O163:O171" si="123">ROUND(L163,0)</f>
        <v>7900</v>
      </c>
      <c r="P163" s="43">
        <f t="shared" si="122"/>
        <v>0</v>
      </c>
      <c r="Q163" s="310"/>
      <c r="R163" s="11">
        <f>ROUND(O163,0)+12598</f>
        <v>20498</v>
      </c>
      <c r="S163" s="539">
        <f t="shared" si="89"/>
        <v>12598</v>
      </c>
      <c r="T163" s="540" t="s">
        <v>906</v>
      </c>
      <c r="U163" s="11">
        <f t="shared" ref="U163:U171" si="124">ROUND(R163,0)</f>
        <v>20498</v>
      </c>
      <c r="V163" s="43">
        <f t="shared" si="90"/>
        <v>0</v>
      </c>
      <c r="W163" s="310"/>
      <c r="X163" s="11">
        <f t="shared" si="113"/>
        <v>20498</v>
      </c>
      <c r="Y163" s="43">
        <f t="shared" si="91"/>
        <v>0</v>
      </c>
      <c r="Z163" s="310"/>
      <c r="AA163" s="11">
        <f t="shared" si="114"/>
        <v>20498</v>
      </c>
      <c r="AB163" s="43">
        <f t="shared" si="92"/>
        <v>0</v>
      </c>
      <c r="AC163" s="420"/>
      <c r="AD163" s="11">
        <f t="shared" si="115"/>
        <v>20498</v>
      </c>
      <c r="AE163" s="43">
        <f t="shared" si="93"/>
        <v>0</v>
      </c>
      <c r="AF163" s="310"/>
      <c r="AG163" s="474">
        <v>14101.34</v>
      </c>
      <c r="AH163" s="208">
        <f t="shared" si="94"/>
        <v>0.68793735974241388</v>
      </c>
      <c r="AI163" s="285"/>
    </row>
    <row r="164" spans="2:35" ht="17.45" customHeight="1" x14ac:dyDescent="0.25">
      <c r="B164" s="60" t="s">
        <v>214</v>
      </c>
      <c r="C164" s="107" t="s">
        <v>537</v>
      </c>
      <c r="D164" s="309" t="s">
        <v>491</v>
      </c>
      <c r="E164" s="350">
        <v>9000</v>
      </c>
      <c r="F164" s="346">
        <f t="shared" si="117"/>
        <v>9000</v>
      </c>
      <c r="G164" s="43">
        <f t="shared" si="118"/>
        <v>0</v>
      </c>
      <c r="H164" s="420"/>
      <c r="I164" s="11">
        <f t="shared" si="119"/>
        <v>9000</v>
      </c>
      <c r="J164" s="43">
        <f t="shared" si="120"/>
        <v>0</v>
      </c>
      <c r="K164" s="310"/>
      <c r="L164" s="11">
        <f t="shared" si="116"/>
        <v>9000</v>
      </c>
      <c r="M164" s="43">
        <f t="shared" si="121"/>
        <v>0</v>
      </c>
      <c r="N164" s="310"/>
      <c r="O164" s="11">
        <f t="shared" si="123"/>
        <v>9000</v>
      </c>
      <c r="P164" s="43">
        <f t="shared" si="122"/>
        <v>0</v>
      </c>
      <c r="Q164" s="310"/>
      <c r="R164" s="11">
        <f t="shared" ref="R164:R171" si="125">ROUND(O164,0)</f>
        <v>9000</v>
      </c>
      <c r="S164" s="43">
        <f t="shared" si="89"/>
        <v>0</v>
      </c>
      <c r="T164" s="310"/>
      <c r="U164" s="11">
        <f t="shared" si="124"/>
        <v>9000</v>
      </c>
      <c r="V164" s="43">
        <f t="shared" si="90"/>
        <v>0</v>
      </c>
      <c r="W164" s="310"/>
      <c r="X164" s="11">
        <f t="shared" si="113"/>
        <v>9000</v>
      </c>
      <c r="Y164" s="43">
        <f t="shared" si="91"/>
        <v>0</v>
      </c>
      <c r="Z164" s="310"/>
      <c r="AA164" s="11">
        <f t="shared" si="114"/>
        <v>9000</v>
      </c>
      <c r="AB164" s="43">
        <f t="shared" si="92"/>
        <v>0</v>
      </c>
      <c r="AC164" s="420"/>
      <c r="AD164" s="11">
        <f t="shared" si="115"/>
        <v>9000</v>
      </c>
      <c r="AE164" s="43">
        <f t="shared" si="93"/>
        <v>0</v>
      </c>
      <c r="AF164" s="310"/>
      <c r="AG164" s="504"/>
      <c r="AH164" s="208">
        <f t="shared" si="94"/>
        <v>0</v>
      </c>
      <c r="AI164" s="285"/>
    </row>
    <row r="165" spans="2:35" ht="55.9" customHeight="1" x14ac:dyDescent="0.25">
      <c r="B165" s="60" t="s">
        <v>214</v>
      </c>
      <c r="C165" s="107" t="s">
        <v>703</v>
      </c>
      <c r="D165" s="309" t="s">
        <v>686</v>
      </c>
      <c r="E165" s="350">
        <v>12020</v>
      </c>
      <c r="F165" s="346">
        <f t="shared" si="117"/>
        <v>12020</v>
      </c>
      <c r="G165" s="43">
        <f t="shared" si="118"/>
        <v>0</v>
      </c>
      <c r="H165" s="420"/>
      <c r="I165" s="11">
        <f t="shared" si="119"/>
        <v>12020</v>
      </c>
      <c r="J165" s="43">
        <f t="shared" si="120"/>
        <v>0</v>
      </c>
      <c r="K165" s="310"/>
      <c r="L165" s="11">
        <f t="shared" si="116"/>
        <v>12020</v>
      </c>
      <c r="M165" s="43">
        <f t="shared" si="121"/>
        <v>0</v>
      </c>
      <c r="N165" s="310"/>
      <c r="O165" s="11">
        <f t="shared" si="123"/>
        <v>12020</v>
      </c>
      <c r="P165" s="43">
        <f t="shared" si="122"/>
        <v>0</v>
      </c>
      <c r="Q165" s="310"/>
      <c r="R165" s="11">
        <f t="shared" si="125"/>
        <v>12020</v>
      </c>
      <c r="S165" s="43">
        <f t="shared" si="89"/>
        <v>0</v>
      </c>
      <c r="T165" s="310"/>
      <c r="U165" s="11">
        <f t="shared" si="124"/>
        <v>12020</v>
      </c>
      <c r="V165" s="43">
        <f t="shared" si="90"/>
        <v>0</v>
      </c>
      <c r="W165" s="310"/>
      <c r="X165" s="11">
        <f t="shared" si="113"/>
        <v>12020</v>
      </c>
      <c r="Y165" s="43">
        <f t="shared" si="91"/>
        <v>0</v>
      </c>
      <c r="Z165" s="310"/>
      <c r="AA165" s="11">
        <f t="shared" si="114"/>
        <v>12020</v>
      </c>
      <c r="AB165" s="43">
        <f t="shared" si="92"/>
        <v>0</v>
      </c>
      <c r="AC165" s="420"/>
      <c r="AD165" s="11">
        <f t="shared" si="115"/>
        <v>12020</v>
      </c>
      <c r="AE165" s="43">
        <f t="shared" si="93"/>
        <v>0</v>
      </c>
      <c r="AF165" s="310"/>
      <c r="AG165" s="504"/>
      <c r="AH165" s="208">
        <f t="shared" si="94"/>
        <v>0</v>
      </c>
      <c r="AI165" s="285"/>
    </row>
    <row r="166" spans="2:35" ht="40.9" customHeight="1" x14ac:dyDescent="0.25">
      <c r="B166" s="60" t="s">
        <v>214</v>
      </c>
      <c r="C166" s="107" t="s">
        <v>704</v>
      </c>
      <c r="D166" s="309" t="s">
        <v>685</v>
      </c>
      <c r="E166" s="350">
        <v>30655</v>
      </c>
      <c r="F166" s="346">
        <f t="shared" si="117"/>
        <v>30655</v>
      </c>
      <c r="G166" s="43">
        <f t="shared" si="118"/>
        <v>0</v>
      </c>
      <c r="H166" s="420"/>
      <c r="I166" s="11">
        <f t="shared" si="119"/>
        <v>30655</v>
      </c>
      <c r="J166" s="43">
        <f t="shared" si="120"/>
        <v>0</v>
      </c>
      <c r="K166" s="310"/>
      <c r="L166" s="11">
        <f t="shared" si="116"/>
        <v>30655</v>
      </c>
      <c r="M166" s="43">
        <f t="shared" si="121"/>
        <v>0</v>
      </c>
      <c r="N166" s="310"/>
      <c r="O166" s="11">
        <f t="shared" si="123"/>
        <v>30655</v>
      </c>
      <c r="P166" s="43">
        <f t="shared" si="122"/>
        <v>0</v>
      </c>
      <c r="Q166" s="310"/>
      <c r="R166" s="11">
        <f t="shared" si="125"/>
        <v>30655</v>
      </c>
      <c r="S166" s="43">
        <f t="shared" si="89"/>
        <v>0</v>
      </c>
      <c r="T166" s="310"/>
      <c r="U166" s="11">
        <f t="shared" si="124"/>
        <v>30655</v>
      </c>
      <c r="V166" s="43">
        <f t="shared" si="90"/>
        <v>0</v>
      </c>
      <c r="W166" s="310"/>
      <c r="X166" s="11">
        <f t="shared" si="113"/>
        <v>30655</v>
      </c>
      <c r="Y166" s="43">
        <f t="shared" si="91"/>
        <v>0</v>
      </c>
      <c r="Z166" s="310"/>
      <c r="AA166" s="11">
        <f t="shared" si="114"/>
        <v>30655</v>
      </c>
      <c r="AB166" s="43">
        <f t="shared" si="92"/>
        <v>0</v>
      </c>
      <c r="AC166" s="420"/>
      <c r="AD166" s="11">
        <f t="shared" si="115"/>
        <v>30655</v>
      </c>
      <c r="AE166" s="43">
        <f t="shared" si="93"/>
        <v>0</v>
      </c>
      <c r="AF166" s="310"/>
      <c r="AG166" s="594">
        <v>8030</v>
      </c>
      <c r="AH166" s="208">
        <f t="shared" si="94"/>
        <v>0.26194748001957269</v>
      </c>
      <c r="AI166" s="285"/>
    </row>
    <row r="167" spans="2:35" ht="16.899999999999999" customHeight="1" x14ac:dyDescent="0.25">
      <c r="B167" s="60" t="s">
        <v>674</v>
      </c>
      <c r="C167" s="107" t="s">
        <v>705</v>
      </c>
      <c r="D167" s="309" t="s">
        <v>675</v>
      </c>
      <c r="E167" s="350">
        <v>168527</v>
      </c>
      <c r="F167" s="346">
        <f t="shared" si="117"/>
        <v>168527</v>
      </c>
      <c r="G167" s="43">
        <f t="shared" si="118"/>
        <v>0</v>
      </c>
      <c r="H167" s="420"/>
      <c r="I167" s="11">
        <f t="shared" si="119"/>
        <v>168527</v>
      </c>
      <c r="J167" s="43">
        <f t="shared" si="120"/>
        <v>0</v>
      </c>
      <c r="K167" s="310"/>
      <c r="L167" s="11">
        <f t="shared" si="116"/>
        <v>168527</v>
      </c>
      <c r="M167" s="43">
        <f t="shared" si="121"/>
        <v>0</v>
      </c>
      <c r="N167" s="310"/>
      <c r="O167" s="11">
        <f t="shared" si="123"/>
        <v>168527</v>
      </c>
      <c r="P167" s="43">
        <f t="shared" si="122"/>
        <v>0</v>
      </c>
      <c r="Q167" s="310"/>
      <c r="R167" s="11">
        <f t="shared" si="125"/>
        <v>168527</v>
      </c>
      <c r="S167" s="43">
        <f t="shared" si="89"/>
        <v>0</v>
      </c>
      <c r="T167" s="310"/>
      <c r="U167" s="11">
        <f t="shared" si="124"/>
        <v>168527</v>
      </c>
      <c r="V167" s="43">
        <f t="shared" si="90"/>
        <v>0</v>
      </c>
      <c r="W167" s="310"/>
      <c r="X167" s="11">
        <f t="shared" si="113"/>
        <v>168527</v>
      </c>
      <c r="Y167" s="43">
        <f t="shared" si="91"/>
        <v>0</v>
      </c>
      <c r="Z167" s="310"/>
      <c r="AA167" s="11">
        <f t="shared" si="114"/>
        <v>168527</v>
      </c>
      <c r="AB167" s="43">
        <f t="shared" si="92"/>
        <v>0</v>
      </c>
      <c r="AC167" s="420"/>
      <c r="AD167" s="11">
        <f t="shared" si="115"/>
        <v>168527</v>
      </c>
      <c r="AE167" s="43">
        <f t="shared" si="93"/>
        <v>0</v>
      </c>
      <c r="AF167" s="310"/>
      <c r="AG167" s="474">
        <v>17184.25</v>
      </c>
      <c r="AH167" s="200">
        <f t="shared" si="94"/>
        <v>0.10196734054483851</v>
      </c>
      <c r="AI167" s="285"/>
    </row>
    <row r="168" spans="2:35" ht="42.6" customHeight="1" x14ac:dyDescent="0.25">
      <c r="B168" s="60" t="s">
        <v>214</v>
      </c>
      <c r="C168" s="107" t="s">
        <v>706</v>
      </c>
      <c r="D168" s="309" t="s">
        <v>671</v>
      </c>
      <c r="E168" s="350">
        <v>44284</v>
      </c>
      <c r="F168" s="346">
        <f t="shared" si="117"/>
        <v>44284</v>
      </c>
      <c r="G168" s="43">
        <f t="shared" si="118"/>
        <v>0</v>
      </c>
      <c r="H168" s="420"/>
      <c r="I168" s="11">
        <f t="shared" si="119"/>
        <v>44284</v>
      </c>
      <c r="J168" s="43">
        <f t="shared" si="120"/>
        <v>0</v>
      </c>
      <c r="K168" s="310"/>
      <c r="L168" s="11">
        <f t="shared" si="116"/>
        <v>44284</v>
      </c>
      <c r="M168" s="43">
        <f t="shared" si="121"/>
        <v>0</v>
      </c>
      <c r="N168" s="310"/>
      <c r="O168" s="11">
        <f t="shared" si="123"/>
        <v>44284</v>
      </c>
      <c r="P168" s="43">
        <f t="shared" si="122"/>
        <v>0</v>
      </c>
      <c r="Q168" s="310"/>
      <c r="R168" s="11">
        <f>ROUND(O168,0)-44284</f>
        <v>0</v>
      </c>
      <c r="S168" s="43">
        <f t="shared" si="89"/>
        <v>-44284</v>
      </c>
      <c r="T168" s="192" t="s">
        <v>863</v>
      </c>
      <c r="U168" s="11">
        <f t="shared" si="124"/>
        <v>0</v>
      </c>
      <c r="V168" s="43">
        <f t="shared" si="90"/>
        <v>0</v>
      </c>
      <c r="W168" s="192"/>
      <c r="X168" s="11">
        <f t="shared" si="113"/>
        <v>0</v>
      </c>
      <c r="Y168" s="43">
        <f t="shared" si="91"/>
        <v>0</v>
      </c>
      <c r="Z168" s="192"/>
      <c r="AA168" s="11">
        <f t="shared" si="114"/>
        <v>0</v>
      </c>
      <c r="AB168" s="43">
        <f t="shared" si="92"/>
        <v>0</v>
      </c>
      <c r="AC168" s="572"/>
      <c r="AD168" s="11">
        <f t="shared" si="115"/>
        <v>0</v>
      </c>
      <c r="AE168" s="43">
        <f t="shared" si="93"/>
        <v>0</v>
      </c>
      <c r="AF168" s="192"/>
      <c r="AG168" s="504"/>
      <c r="AH168" s="208" t="e">
        <f t="shared" si="94"/>
        <v>#DIV/0!</v>
      </c>
      <c r="AI168" s="285"/>
    </row>
    <row r="169" spans="2:35" ht="27" customHeight="1" x14ac:dyDescent="0.25">
      <c r="B169" s="60" t="s">
        <v>866</v>
      </c>
      <c r="C169" s="107" t="s">
        <v>864</v>
      </c>
      <c r="D169" s="308" t="s">
        <v>676</v>
      </c>
      <c r="E169" s="353">
        <v>0</v>
      </c>
      <c r="F169" s="346">
        <f t="shared" si="117"/>
        <v>0</v>
      </c>
      <c r="G169" s="54">
        <f t="shared" si="85"/>
        <v>0</v>
      </c>
      <c r="H169" s="418"/>
      <c r="I169" s="54"/>
      <c r="J169" s="54">
        <f t="shared" si="86"/>
        <v>0</v>
      </c>
      <c r="K169" s="171"/>
      <c r="L169" s="54"/>
      <c r="M169" s="54">
        <f t="shared" si="87"/>
        <v>0</v>
      </c>
      <c r="N169" s="171"/>
      <c r="O169" s="11">
        <f t="shared" si="123"/>
        <v>0</v>
      </c>
      <c r="P169" s="54">
        <f t="shared" si="88"/>
        <v>0</v>
      </c>
      <c r="Q169" s="171"/>
      <c r="R169" s="11">
        <f>ROUND(O169,0)+85085</f>
        <v>85085</v>
      </c>
      <c r="S169" s="54">
        <f t="shared" si="89"/>
        <v>85085</v>
      </c>
      <c r="T169" s="192" t="s">
        <v>874</v>
      </c>
      <c r="U169" s="11">
        <f t="shared" si="124"/>
        <v>85085</v>
      </c>
      <c r="V169" s="54">
        <f t="shared" si="90"/>
        <v>0</v>
      </c>
      <c r="W169" s="192"/>
      <c r="X169" s="11">
        <f t="shared" si="113"/>
        <v>85085</v>
      </c>
      <c r="Y169" s="54">
        <f t="shared" si="91"/>
        <v>0</v>
      </c>
      <c r="Z169" s="192"/>
      <c r="AA169" s="11">
        <f t="shared" si="114"/>
        <v>85085</v>
      </c>
      <c r="AB169" s="54">
        <f t="shared" si="92"/>
        <v>0</v>
      </c>
      <c r="AC169" s="572"/>
      <c r="AD169" s="11">
        <f t="shared" si="115"/>
        <v>85085</v>
      </c>
      <c r="AE169" s="54">
        <f t="shared" si="93"/>
        <v>0</v>
      </c>
      <c r="AF169" s="192"/>
      <c r="AG169" s="474">
        <v>27906.53</v>
      </c>
      <c r="AH169" s="205">
        <f t="shared" si="94"/>
        <v>0.32798413351354527</v>
      </c>
      <c r="AI169" s="284"/>
    </row>
    <row r="170" spans="2:35" ht="30.6" customHeight="1" x14ac:dyDescent="0.25">
      <c r="B170" s="60" t="s">
        <v>471</v>
      </c>
      <c r="C170" s="107" t="s">
        <v>865</v>
      </c>
      <c r="D170" s="307" t="s">
        <v>312</v>
      </c>
      <c r="E170" s="353">
        <v>0</v>
      </c>
      <c r="F170" s="346">
        <f t="shared" si="117"/>
        <v>0</v>
      </c>
      <c r="G170" s="54">
        <f t="shared" si="85"/>
        <v>0</v>
      </c>
      <c r="H170" s="454"/>
      <c r="I170" s="54"/>
      <c r="J170" s="54">
        <f t="shared" si="86"/>
        <v>0</v>
      </c>
      <c r="K170" s="471"/>
      <c r="L170" s="54"/>
      <c r="M170" s="54">
        <f t="shared" si="87"/>
        <v>0</v>
      </c>
      <c r="N170" s="171"/>
      <c r="O170" s="11">
        <f t="shared" si="123"/>
        <v>0</v>
      </c>
      <c r="P170" s="54">
        <f t="shared" si="88"/>
        <v>0</v>
      </c>
      <c r="Q170" s="171"/>
      <c r="R170" s="11">
        <f t="shared" si="125"/>
        <v>0</v>
      </c>
      <c r="S170" s="54">
        <f t="shared" si="89"/>
        <v>0</v>
      </c>
      <c r="T170" s="171"/>
      <c r="U170" s="11">
        <f t="shared" si="124"/>
        <v>0</v>
      </c>
      <c r="V170" s="54">
        <f t="shared" si="90"/>
        <v>0</v>
      </c>
      <c r="W170" s="171"/>
      <c r="X170" s="11">
        <f t="shared" si="113"/>
        <v>0</v>
      </c>
      <c r="Y170" s="54">
        <f t="shared" si="91"/>
        <v>0</v>
      </c>
      <c r="Z170" s="171"/>
      <c r="AA170" s="11">
        <f t="shared" si="114"/>
        <v>0</v>
      </c>
      <c r="AB170" s="54">
        <f t="shared" si="92"/>
        <v>0</v>
      </c>
      <c r="AC170" s="418"/>
      <c r="AD170" s="11">
        <f t="shared" si="115"/>
        <v>0</v>
      </c>
      <c r="AE170" s="54">
        <f t="shared" si="93"/>
        <v>0</v>
      </c>
      <c r="AF170" s="171"/>
      <c r="AG170" s="504">
        <v>0</v>
      </c>
      <c r="AH170" s="205" t="e">
        <f t="shared" si="94"/>
        <v>#DIV/0!</v>
      </c>
      <c r="AI170" s="12"/>
    </row>
    <row r="171" spans="2:35" ht="32.450000000000003" customHeight="1" x14ac:dyDescent="0.25">
      <c r="B171" s="60" t="s">
        <v>517</v>
      </c>
      <c r="C171" s="107" t="s">
        <v>537</v>
      </c>
      <c r="D171" s="322" t="s">
        <v>518</v>
      </c>
      <c r="E171" s="352">
        <v>0</v>
      </c>
      <c r="F171" s="346">
        <f t="shared" si="117"/>
        <v>0</v>
      </c>
      <c r="G171" s="54">
        <f t="shared" si="85"/>
        <v>0</v>
      </c>
      <c r="H171" s="419"/>
      <c r="I171" s="93"/>
      <c r="J171" s="54">
        <f t="shared" si="86"/>
        <v>0</v>
      </c>
      <c r="K171" s="174"/>
      <c r="L171" s="93"/>
      <c r="M171" s="54">
        <f t="shared" si="87"/>
        <v>0</v>
      </c>
      <c r="N171" s="174"/>
      <c r="O171" s="11">
        <f t="shared" si="123"/>
        <v>0</v>
      </c>
      <c r="P171" s="54">
        <f t="shared" si="88"/>
        <v>0</v>
      </c>
      <c r="Q171" s="174"/>
      <c r="R171" s="11">
        <f t="shared" si="125"/>
        <v>0</v>
      </c>
      <c r="S171" s="54">
        <f t="shared" si="89"/>
        <v>0</v>
      </c>
      <c r="T171" s="174"/>
      <c r="U171" s="11">
        <f t="shared" si="124"/>
        <v>0</v>
      </c>
      <c r="V171" s="54">
        <f t="shared" si="90"/>
        <v>0</v>
      </c>
      <c r="W171" s="174"/>
      <c r="X171" s="11">
        <f t="shared" si="113"/>
        <v>0</v>
      </c>
      <c r="Y171" s="54">
        <f t="shared" si="91"/>
        <v>0</v>
      </c>
      <c r="Z171" s="174"/>
      <c r="AA171" s="11">
        <f t="shared" si="114"/>
        <v>0</v>
      </c>
      <c r="AB171" s="54">
        <f t="shared" si="92"/>
        <v>0</v>
      </c>
      <c r="AC171" s="421"/>
      <c r="AD171" s="11">
        <f t="shared" si="115"/>
        <v>0</v>
      </c>
      <c r="AE171" s="54">
        <f t="shared" si="93"/>
        <v>0</v>
      </c>
      <c r="AF171" s="174"/>
      <c r="AG171" s="504">
        <v>0</v>
      </c>
      <c r="AH171" s="212" t="e">
        <f t="shared" si="94"/>
        <v>#DIV/0!</v>
      </c>
      <c r="AI171" s="12"/>
    </row>
    <row r="172" spans="2:35" ht="29.25" customHeight="1" x14ac:dyDescent="0.25">
      <c r="C172" s="81" t="s">
        <v>171</v>
      </c>
      <c r="D172" s="316" t="s">
        <v>165</v>
      </c>
      <c r="E172" s="361">
        <v>11549801.841957785</v>
      </c>
      <c r="F172" s="361">
        <f t="shared" ref="F172" si="126">SUM(F173:F178,F182:F191)</f>
        <v>11653537</v>
      </c>
      <c r="G172" s="24">
        <f t="shared" si="85"/>
        <v>103735.15804221481</v>
      </c>
      <c r="H172" s="422"/>
      <c r="I172" s="24">
        <f>SUM(I173:I178,I182:I191)</f>
        <v>11956848</v>
      </c>
      <c r="J172" s="24">
        <f t="shared" si="86"/>
        <v>303311</v>
      </c>
      <c r="K172" s="173"/>
      <c r="L172" s="24">
        <f>SUM(L173:L178,L182:L191)</f>
        <v>12038272</v>
      </c>
      <c r="M172" s="24">
        <f t="shared" si="87"/>
        <v>81424</v>
      </c>
      <c r="N172" s="173"/>
      <c r="O172" s="24">
        <f>SUM(O173:O178,O182:O191)</f>
        <v>12725876</v>
      </c>
      <c r="P172" s="24">
        <f t="shared" si="88"/>
        <v>687604</v>
      </c>
      <c r="Q172" s="173"/>
      <c r="R172" s="24">
        <f>SUM(R173:R178,R182:R191)</f>
        <v>12924698</v>
      </c>
      <c r="S172" s="24">
        <f t="shared" si="89"/>
        <v>198822</v>
      </c>
      <c r="T172" s="173"/>
      <c r="U172" s="24">
        <f>SUM(U173:U178,U182:U191)</f>
        <v>12936744</v>
      </c>
      <c r="V172" s="24">
        <f t="shared" si="90"/>
        <v>12046</v>
      </c>
      <c r="W172" s="173"/>
      <c r="X172" s="24">
        <f>SUM(X173:X178,X182:X191)</f>
        <v>12936744</v>
      </c>
      <c r="Y172" s="24">
        <f t="shared" si="91"/>
        <v>0</v>
      </c>
      <c r="Z172" s="173"/>
      <c r="AA172" s="24">
        <f>SUM(AA173:AA178,AA182:AA191)</f>
        <v>12030409</v>
      </c>
      <c r="AB172" s="24">
        <f t="shared" si="92"/>
        <v>-906335</v>
      </c>
      <c r="AC172" s="422"/>
      <c r="AD172" s="24">
        <f>SUM(AD173:AD178,AD182:AD191)</f>
        <v>12030409</v>
      </c>
      <c r="AE172" s="24">
        <f t="shared" si="93"/>
        <v>0</v>
      </c>
      <c r="AF172" s="173"/>
      <c r="AG172" s="592">
        <f>SUM(AG173:AG178,AG182:AG191)</f>
        <v>10789544.35</v>
      </c>
      <c r="AH172" s="222">
        <f t="shared" si="94"/>
        <v>0.89685598802168731</v>
      </c>
      <c r="AI172" s="289"/>
    </row>
    <row r="173" spans="2:35" ht="27.6" customHeight="1" x14ac:dyDescent="0.25">
      <c r="B173" s="60" t="s">
        <v>336</v>
      </c>
      <c r="C173" s="83" t="s">
        <v>557</v>
      </c>
      <c r="D173" s="307" t="s">
        <v>538</v>
      </c>
      <c r="E173" s="353">
        <v>1199200.0293275001</v>
      </c>
      <c r="F173" s="353">
        <f>ROUND(E173,0)</f>
        <v>1199200</v>
      </c>
      <c r="G173" s="112">
        <f t="shared" si="85"/>
        <v>-2.9327500145882368E-2</v>
      </c>
      <c r="H173" s="421"/>
      <c r="I173" s="54">
        <f>ROUND(F173,0)</f>
        <v>1199200</v>
      </c>
      <c r="J173" s="112">
        <f t="shared" si="86"/>
        <v>0</v>
      </c>
      <c r="K173" s="174"/>
      <c r="L173" s="54">
        <f>ROUND(I173,0)</f>
        <v>1199200</v>
      </c>
      <c r="M173" s="112">
        <f t="shared" si="87"/>
        <v>0</v>
      </c>
      <c r="N173" s="174"/>
      <c r="O173" s="54">
        <f>ROUND(L173,0)</f>
        <v>1199200</v>
      </c>
      <c r="P173" s="112">
        <f t="shared" si="88"/>
        <v>0</v>
      </c>
      <c r="Q173" s="174"/>
      <c r="R173" s="54">
        <f>ROUND(O173,0)+2400</f>
        <v>1201600</v>
      </c>
      <c r="S173" s="112">
        <f t="shared" si="89"/>
        <v>2400</v>
      </c>
      <c r="T173" s="174" t="s">
        <v>885</v>
      </c>
      <c r="U173" s="54">
        <f>ROUND(R173,0)</f>
        <v>1201600</v>
      </c>
      <c r="V173" s="112">
        <f t="shared" si="90"/>
        <v>0</v>
      </c>
      <c r="W173" s="174"/>
      <c r="X173" s="54">
        <f>ROUND(U173,0)</f>
        <v>1201600</v>
      </c>
      <c r="Y173" s="112">
        <f t="shared" si="91"/>
        <v>0</v>
      </c>
      <c r="Z173" s="174"/>
      <c r="AA173" s="54">
        <f>ROUND(X173,0)+20500</f>
        <v>1222100</v>
      </c>
      <c r="AB173" s="112">
        <f t="shared" si="92"/>
        <v>20500</v>
      </c>
      <c r="AC173" s="174" t="s">
        <v>963</v>
      </c>
      <c r="AD173" s="54">
        <f>ROUND(AA173,0)</f>
        <v>1222100</v>
      </c>
      <c r="AE173" s="112">
        <f t="shared" si="93"/>
        <v>0</v>
      </c>
      <c r="AF173" s="174"/>
      <c r="AG173" s="474">
        <v>1221317.19</v>
      </c>
      <c r="AH173" s="205">
        <f t="shared" si="94"/>
        <v>0.99935945503641266</v>
      </c>
      <c r="AI173" s="487" t="s">
        <v>805</v>
      </c>
    </row>
    <row r="174" spans="2:35" ht="13.9" customHeight="1" x14ac:dyDescent="0.25">
      <c r="B174" s="60" t="s">
        <v>682</v>
      </c>
      <c r="C174" s="83" t="s">
        <v>558</v>
      </c>
      <c r="D174" s="307" t="s">
        <v>701</v>
      </c>
      <c r="E174" s="353">
        <v>1875164.83</v>
      </c>
      <c r="F174" s="353">
        <f t="shared" ref="F174:F187" si="127">ROUND(E174,0)</f>
        <v>1875165</v>
      </c>
      <c r="G174" s="11">
        <f t="shared" si="85"/>
        <v>0.16999999992549419</v>
      </c>
      <c r="H174" s="417"/>
      <c r="I174" s="54">
        <f>ROUND(F174,0)</f>
        <v>1875165</v>
      </c>
      <c r="J174" s="11">
        <f t="shared" si="86"/>
        <v>0</v>
      </c>
      <c r="K174" s="170"/>
      <c r="L174" s="54">
        <f>ROUND(I174,0)</f>
        <v>1875165</v>
      </c>
      <c r="M174" s="11">
        <f t="shared" si="87"/>
        <v>0</v>
      </c>
      <c r="N174" s="170"/>
      <c r="O174" s="54">
        <f>ROUND(L174,0)</f>
        <v>1875165</v>
      </c>
      <c r="P174" s="11">
        <f t="shared" si="88"/>
        <v>0</v>
      </c>
      <c r="Q174" s="170"/>
      <c r="R174" s="54">
        <f>ROUND(O174,0)</f>
        <v>1875165</v>
      </c>
      <c r="S174" s="11">
        <f t="shared" si="89"/>
        <v>0</v>
      </c>
      <c r="T174" s="170"/>
      <c r="U174" s="54">
        <f>ROUND(R174,0)</f>
        <v>1875165</v>
      </c>
      <c r="V174" s="11">
        <f t="shared" si="90"/>
        <v>0</v>
      </c>
      <c r="W174" s="170"/>
      <c r="X174" s="54">
        <f>ROUND(U174,0)</f>
        <v>1875165</v>
      </c>
      <c r="Y174" s="11">
        <f t="shared" si="91"/>
        <v>0</v>
      </c>
      <c r="Z174" s="170"/>
      <c r="AA174" s="54">
        <f>ROUND(X174,0)</f>
        <v>1875165</v>
      </c>
      <c r="AB174" s="11">
        <f t="shared" si="92"/>
        <v>0</v>
      </c>
      <c r="AC174" s="417"/>
      <c r="AD174" s="54">
        <f>ROUND(AA174,0)</f>
        <v>1875165</v>
      </c>
      <c r="AE174" s="11">
        <f t="shared" si="93"/>
        <v>0</v>
      </c>
      <c r="AF174" s="170"/>
      <c r="AG174" s="474">
        <v>1875165</v>
      </c>
      <c r="AH174" s="205">
        <f t="shared" si="94"/>
        <v>1</v>
      </c>
      <c r="AI174" s="284"/>
    </row>
    <row r="175" spans="2:35" ht="27" customHeight="1" x14ac:dyDescent="0.25">
      <c r="B175" s="60" t="s">
        <v>454</v>
      </c>
      <c r="C175" s="107" t="s">
        <v>559</v>
      </c>
      <c r="D175" s="307" t="s">
        <v>496</v>
      </c>
      <c r="E175" s="353">
        <v>363351</v>
      </c>
      <c r="F175" s="353">
        <f>ROUND(E175,0)-1-3420+92966</f>
        <v>452896</v>
      </c>
      <c r="G175" s="43">
        <f t="shared" si="85"/>
        <v>89545</v>
      </c>
      <c r="H175" s="175" t="s">
        <v>732</v>
      </c>
      <c r="I175" s="54">
        <f>ROUND(F175,0)</f>
        <v>452896</v>
      </c>
      <c r="J175" s="43">
        <f t="shared" si="86"/>
        <v>0</v>
      </c>
      <c r="K175" s="175"/>
      <c r="L175" s="54">
        <f>ROUND(I175,0)</f>
        <v>452896</v>
      </c>
      <c r="M175" s="43">
        <f t="shared" si="87"/>
        <v>0</v>
      </c>
      <c r="N175" s="175"/>
      <c r="O175" s="54">
        <f>ROUND(L175,0)</f>
        <v>452896</v>
      </c>
      <c r="P175" s="43">
        <f t="shared" si="88"/>
        <v>0</v>
      </c>
      <c r="Q175" s="175"/>
      <c r="R175" s="54">
        <f>ROUND(O175,0)</f>
        <v>452896</v>
      </c>
      <c r="S175" s="43">
        <f t="shared" si="89"/>
        <v>0</v>
      </c>
      <c r="T175" s="175"/>
      <c r="U175" s="54">
        <f>ROUND(R175,0)</f>
        <v>452896</v>
      </c>
      <c r="V175" s="43">
        <f t="shared" si="90"/>
        <v>0</v>
      </c>
      <c r="W175" s="175"/>
      <c r="X175" s="54">
        <f>ROUND(U175,0)</f>
        <v>452896</v>
      </c>
      <c r="Y175" s="43">
        <f t="shared" si="91"/>
        <v>0</v>
      </c>
      <c r="Z175" s="175"/>
      <c r="AA175" s="54">
        <f>ROUND(X175,0)</f>
        <v>452896</v>
      </c>
      <c r="AB175" s="43">
        <f t="shared" si="92"/>
        <v>0</v>
      </c>
      <c r="AC175" s="573"/>
      <c r="AD175" s="54">
        <f>ROUND(AA175,0)</f>
        <v>452896</v>
      </c>
      <c r="AE175" s="43">
        <f t="shared" si="93"/>
        <v>0</v>
      </c>
      <c r="AF175" s="175"/>
      <c r="AG175" s="474">
        <v>123932.54</v>
      </c>
      <c r="AH175" s="205">
        <f t="shared" si="94"/>
        <v>0.27364458948632797</v>
      </c>
      <c r="AI175" s="11" t="s">
        <v>571</v>
      </c>
    </row>
    <row r="176" spans="2:35" ht="27" customHeight="1" x14ac:dyDescent="0.25">
      <c r="B176" s="60" t="s">
        <v>871</v>
      </c>
      <c r="C176" s="519" t="s">
        <v>560</v>
      </c>
      <c r="D176" s="472" t="s">
        <v>872</v>
      </c>
      <c r="E176" s="475"/>
      <c r="F176" s="475"/>
      <c r="G176" s="474"/>
      <c r="H176" s="477"/>
      <c r="I176" s="474"/>
      <c r="J176" s="474"/>
      <c r="K176" s="477"/>
      <c r="L176" s="474"/>
      <c r="M176" s="474"/>
      <c r="N176" s="477"/>
      <c r="O176" s="474"/>
      <c r="P176" s="474"/>
      <c r="Q176" s="477"/>
      <c r="R176" s="474">
        <v>120000</v>
      </c>
      <c r="S176" s="43">
        <f t="shared" si="89"/>
        <v>120000</v>
      </c>
      <c r="T176" s="477" t="s">
        <v>873</v>
      </c>
      <c r="U176" s="474">
        <v>120000</v>
      </c>
      <c r="V176" s="43">
        <f t="shared" si="90"/>
        <v>0</v>
      </c>
      <c r="W176" s="477"/>
      <c r="X176" s="474">
        <v>120000</v>
      </c>
      <c r="Y176" s="43">
        <f t="shared" si="91"/>
        <v>0</v>
      </c>
      <c r="Z176" s="477"/>
      <c r="AA176" s="474">
        <v>120000</v>
      </c>
      <c r="AB176" s="43">
        <f t="shared" si="92"/>
        <v>0</v>
      </c>
      <c r="AC176" s="476"/>
      <c r="AD176" s="474">
        <v>120000</v>
      </c>
      <c r="AE176" s="43">
        <f t="shared" si="93"/>
        <v>0</v>
      </c>
      <c r="AF176" s="477"/>
      <c r="AG176" s="474">
        <v>34775.4</v>
      </c>
      <c r="AH176" s="478">
        <f t="shared" si="94"/>
        <v>0.28979500000000002</v>
      </c>
      <c r="AI176" s="474"/>
    </row>
    <row r="177" spans="2:35" ht="48.75" customHeight="1" x14ac:dyDescent="0.25">
      <c r="B177" s="60" t="s">
        <v>530</v>
      </c>
      <c r="C177" s="83" t="s">
        <v>561</v>
      </c>
      <c r="D177" s="307" t="s">
        <v>288</v>
      </c>
      <c r="E177" s="353">
        <v>1574037</v>
      </c>
      <c r="F177" s="353">
        <f>ROUND(E177,0)+168382-168382</f>
        <v>1574037</v>
      </c>
      <c r="G177" s="54">
        <f t="shared" si="85"/>
        <v>0</v>
      </c>
      <c r="H177" s="448" t="s">
        <v>751</v>
      </c>
      <c r="I177" s="54">
        <f>ROUND(F177,0)</f>
        <v>1574037</v>
      </c>
      <c r="J177" s="54">
        <f t="shared" si="86"/>
        <v>0</v>
      </c>
      <c r="K177" s="171"/>
      <c r="L177" s="54">
        <f>ROUND(I177,0)</f>
        <v>1574037</v>
      </c>
      <c r="M177" s="54">
        <f t="shared" si="87"/>
        <v>0</v>
      </c>
      <c r="N177" s="171"/>
      <c r="O177" s="54">
        <f>ROUND(L177,0)+680342</f>
        <v>2254379</v>
      </c>
      <c r="P177" s="54">
        <f t="shared" si="88"/>
        <v>680342</v>
      </c>
      <c r="Q177" s="171" t="s">
        <v>852</v>
      </c>
      <c r="R177" s="54">
        <f>ROUND(O177,0)</f>
        <v>2254379</v>
      </c>
      <c r="S177" s="54">
        <f t="shared" si="89"/>
        <v>0</v>
      </c>
      <c r="T177" s="171"/>
      <c r="U177" s="54">
        <f>ROUND(R177,0)</f>
        <v>2254379</v>
      </c>
      <c r="V177" s="54">
        <f t="shared" si="90"/>
        <v>0</v>
      </c>
      <c r="W177" s="171"/>
      <c r="X177" s="54">
        <f>ROUND(U177,0)</f>
        <v>2254379</v>
      </c>
      <c r="Y177" s="54">
        <f t="shared" si="91"/>
        <v>0</v>
      </c>
      <c r="Z177" s="171"/>
      <c r="AA177" s="54">
        <f>ROUND(X177,0)-573200</f>
        <v>1681179</v>
      </c>
      <c r="AB177" s="54">
        <f t="shared" si="92"/>
        <v>-573200</v>
      </c>
      <c r="AC177" s="171" t="s">
        <v>975</v>
      </c>
      <c r="AD177" s="54">
        <f>ROUND(AA177,0)</f>
        <v>1681179</v>
      </c>
      <c r="AE177" s="54">
        <f t="shared" si="93"/>
        <v>0</v>
      </c>
      <c r="AF177" s="171"/>
      <c r="AG177" s="474">
        <v>1315050</v>
      </c>
      <c r="AH177" s="205">
        <f t="shared" si="94"/>
        <v>0.78221890708841835</v>
      </c>
      <c r="AI177" s="54" t="s">
        <v>625</v>
      </c>
    </row>
    <row r="178" spans="2:35" ht="32.25" customHeight="1" x14ac:dyDescent="0.25">
      <c r="B178" s="60" t="s">
        <v>287</v>
      </c>
      <c r="C178" s="83" t="s">
        <v>562</v>
      </c>
      <c r="D178" s="307" t="s">
        <v>340</v>
      </c>
      <c r="E178" s="362">
        <v>5403977.9826302836</v>
      </c>
      <c r="F178" s="362">
        <f>SUM(F179:F181)</f>
        <v>5418168</v>
      </c>
      <c r="G178" s="54">
        <f t="shared" si="85"/>
        <v>14190.017369716428</v>
      </c>
      <c r="H178" s="417"/>
      <c r="I178" s="97">
        <f>SUM(I179:I181)</f>
        <v>5367776</v>
      </c>
      <c r="J178" s="54">
        <f t="shared" si="86"/>
        <v>-50392</v>
      </c>
      <c r="K178" s="170"/>
      <c r="L178" s="97">
        <f>SUM(L179:L181)</f>
        <v>5373200</v>
      </c>
      <c r="M178" s="54">
        <f t="shared" si="87"/>
        <v>5424</v>
      </c>
      <c r="N178" s="170"/>
      <c r="O178" s="97">
        <f>SUM(O179:O181)</f>
        <v>5380462</v>
      </c>
      <c r="P178" s="54">
        <f t="shared" si="88"/>
        <v>7262</v>
      </c>
      <c r="Q178" s="170"/>
      <c r="R178" s="97">
        <f>SUM(R179:R181)</f>
        <v>5420641</v>
      </c>
      <c r="S178" s="54">
        <f t="shared" si="89"/>
        <v>40179</v>
      </c>
      <c r="T178" s="170"/>
      <c r="U178" s="97">
        <f>SUM(U179:U181)</f>
        <v>5452687</v>
      </c>
      <c r="V178" s="54">
        <f t="shared" si="90"/>
        <v>32046</v>
      </c>
      <c r="W178" s="170"/>
      <c r="X178" s="97">
        <f>SUM(X179:X181)</f>
        <v>5446879</v>
      </c>
      <c r="Y178" s="54">
        <f t="shared" si="91"/>
        <v>-5808</v>
      </c>
      <c r="Z178" s="170"/>
      <c r="AA178" s="97">
        <f>SUM(AA179:AA181)</f>
        <v>5401813</v>
      </c>
      <c r="AB178" s="54">
        <f t="shared" si="92"/>
        <v>-45066</v>
      </c>
      <c r="AC178" s="417"/>
      <c r="AD178" s="97">
        <f>SUM(AD179:AD181)</f>
        <v>5401813</v>
      </c>
      <c r="AE178" s="54">
        <f t="shared" si="93"/>
        <v>0</v>
      </c>
      <c r="AF178" s="170"/>
      <c r="AG178" s="591">
        <f>SUM(AG179:AG181)</f>
        <v>5017603.22</v>
      </c>
      <c r="AH178" s="223">
        <f t="shared" si="94"/>
        <v>0.92887392066330321</v>
      </c>
      <c r="AI178" s="423"/>
    </row>
    <row r="179" spans="2:35" s="332" customFormat="1" ht="19.5" customHeight="1" x14ac:dyDescent="0.25">
      <c r="B179" s="363"/>
      <c r="C179" s="120" t="s">
        <v>867</v>
      </c>
      <c r="D179" s="331" t="s">
        <v>547</v>
      </c>
      <c r="E179" s="364">
        <v>4799085.2470302833</v>
      </c>
      <c r="F179" s="364">
        <f>ROUND(E179,0)+13000-645+1835</f>
        <v>4813275</v>
      </c>
      <c r="G179" s="303">
        <f t="shared" si="85"/>
        <v>14189.752969716676</v>
      </c>
      <c r="H179" s="424" t="s">
        <v>755</v>
      </c>
      <c r="I179" s="366">
        <f>ROUND(F179,0)-10919-6705-19453</f>
        <v>4776198</v>
      </c>
      <c r="J179" s="303">
        <f t="shared" si="86"/>
        <v>-37077</v>
      </c>
      <c r="K179" s="367" t="s">
        <v>791</v>
      </c>
      <c r="L179" s="366">
        <f>ROUND(I179,0)-9076+3500+11000</f>
        <v>4781622</v>
      </c>
      <c r="M179" s="303">
        <f t="shared" si="87"/>
        <v>5424</v>
      </c>
      <c r="N179" s="367" t="s">
        <v>830</v>
      </c>
      <c r="O179" s="366">
        <f>ROUND(L179,0)+276+62+102+28+165+6629</f>
        <v>4788884</v>
      </c>
      <c r="P179" s="303">
        <f t="shared" si="88"/>
        <v>7262</v>
      </c>
      <c r="Q179" s="192" t="s">
        <v>853</v>
      </c>
      <c r="R179" s="366">
        <f>ROUND(O179,0)-6508-328-4600+10757-2978+19000-6000+40000</f>
        <v>4838227</v>
      </c>
      <c r="S179" s="303">
        <f t="shared" si="89"/>
        <v>49343</v>
      </c>
      <c r="T179" s="192" t="s">
        <v>910</v>
      </c>
      <c r="U179" s="366">
        <f>ROUND(R179,0)+4000+4000-7614-12386+20000-7954-3872-18064</f>
        <v>4816337</v>
      </c>
      <c r="V179" s="303">
        <f t="shared" si="90"/>
        <v>-21890</v>
      </c>
      <c r="W179" s="192" t="s">
        <v>939</v>
      </c>
      <c r="X179" s="366">
        <f>ROUND(U179,0)-5808</f>
        <v>4810529</v>
      </c>
      <c r="Y179" s="303">
        <f t="shared" si="91"/>
        <v>-5808</v>
      </c>
      <c r="Z179" s="192" t="s">
        <v>955</v>
      </c>
      <c r="AA179" s="366">
        <f>ROUND(X179,0)-450-45066-8900</f>
        <v>4756113</v>
      </c>
      <c r="AB179" s="303">
        <f t="shared" si="92"/>
        <v>-54416</v>
      </c>
      <c r="AC179" s="471" t="s">
        <v>979</v>
      </c>
      <c r="AD179" s="366">
        <f t="shared" ref="AD179:AD191" si="128">ROUND(AA179,0)</f>
        <v>4756113</v>
      </c>
      <c r="AE179" s="303">
        <f t="shared" si="93"/>
        <v>0</v>
      </c>
      <c r="AF179" s="471"/>
      <c r="AG179" s="584">
        <f>4006937.76+1398+4840+14835+13492+5805+23347+2845+5699+3193+3921+86600+87830+106371+47801+11150+5000+35000</f>
        <v>4466064.76</v>
      </c>
      <c r="AH179" s="368">
        <f t="shared" si="94"/>
        <v>0.93901569622084247</v>
      </c>
      <c r="AI179" s="369"/>
    </row>
    <row r="180" spans="2:35" s="332" customFormat="1" ht="30.75" customHeight="1" x14ac:dyDescent="0.25">
      <c r="B180" s="363"/>
      <c r="C180" s="120" t="s">
        <v>868</v>
      </c>
      <c r="D180" s="331" t="s">
        <v>548</v>
      </c>
      <c r="E180" s="364">
        <v>350000</v>
      </c>
      <c r="F180" s="364">
        <f t="shared" si="127"/>
        <v>350000</v>
      </c>
      <c r="G180" s="303">
        <f t="shared" si="85"/>
        <v>0</v>
      </c>
      <c r="H180" s="424"/>
      <c r="I180" s="366">
        <f>ROUND(F180,0)-13315</f>
        <v>336685</v>
      </c>
      <c r="J180" s="303">
        <f t="shared" si="86"/>
        <v>-13315</v>
      </c>
      <c r="K180" s="365" t="s">
        <v>781</v>
      </c>
      <c r="L180" s="366">
        <f>ROUND(I180,0)</f>
        <v>336685</v>
      </c>
      <c r="M180" s="303">
        <f t="shared" si="87"/>
        <v>0</v>
      </c>
      <c r="N180" s="365"/>
      <c r="O180" s="366">
        <f t="shared" ref="O180:O191" si="129">ROUND(L180,0)</f>
        <v>336685</v>
      </c>
      <c r="P180" s="303">
        <f t="shared" si="88"/>
        <v>0</v>
      </c>
      <c r="Q180" s="365"/>
      <c r="R180" s="366">
        <f>ROUND(O180,0)-7000-3130-18034</f>
        <v>308521</v>
      </c>
      <c r="S180" s="303">
        <f t="shared" si="89"/>
        <v>-28164</v>
      </c>
      <c r="T180" s="365" t="s">
        <v>909</v>
      </c>
      <c r="U180" s="366">
        <f>ROUND(R180,0)+20000+7614+12386</f>
        <v>348521</v>
      </c>
      <c r="V180" s="303">
        <f t="shared" si="90"/>
        <v>40000</v>
      </c>
      <c r="W180" s="365" t="s">
        <v>928</v>
      </c>
      <c r="X180" s="366">
        <f>ROUND(U180,0)</f>
        <v>348521</v>
      </c>
      <c r="Y180" s="303">
        <f t="shared" si="91"/>
        <v>0</v>
      </c>
      <c r="Z180" s="365"/>
      <c r="AA180" s="366">
        <f>ROUND(X180,0)+450</f>
        <v>348971</v>
      </c>
      <c r="AB180" s="303">
        <f t="shared" si="92"/>
        <v>450</v>
      </c>
      <c r="AC180" s="174" t="s">
        <v>964</v>
      </c>
      <c r="AD180" s="366">
        <f t="shared" si="128"/>
        <v>348971</v>
      </c>
      <c r="AE180" s="303">
        <f t="shared" si="93"/>
        <v>0</v>
      </c>
      <c r="AF180" s="174"/>
      <c r="AG180" s="584">
        <f>347534.34</f>
        <v>347534.34</v>
      </c>
      <c r="AH180" s="368">
        <f t="shared" si="94"/>
        <v>0.99588315361448376</v>
      </c>
      <c r="AI180" s="369"/>
    </row>
    <row r="181" spans="2:35" s="332" customFormat="1" ht="19.5" customHeight="1" x14ac:dyDescent="0.25">
      <c r="B181" s="363"/>
      <c r="C181" s="120" t="s">
        <v>869</v>
      </c>
      <c r="D181" s="331" t="s">
        <v>549</v>
      </c>
      <c r="E181" s="364">
        <v>254892.73560000001</v>
      </c>
      <c r="F181" s="364">
        <f t="shared" si="127"/>
        <v>254893</v>
      </c>
      <c r="G181" s="303">
        <f t="shared" si="85"/>
        <v>0.26439999998547137</v>
      </c>
      <c r="H181" s="424"/>
      <c r="I181" s="366">
        <f>ROUND(F181,0)</f>
        <v>254893</v>
      </c>
      <c r="J181" s="303">
        <f t="shared" si="86"/>
        <v>0</v>
      </c>
      <c r="K181" s="365"/>
      <c r="L181" s="366">
        <f>ROUND(I181,0)</f>
        <v>254893</v>
      </c>
      <c r="M181" s="303">
        <f t="shared" si="87"/>
        <v>0</v>
      </c>
      <c r="N181" s="367"/>
      <c r="O181" s="366">
        <f t="shared" si="129"/>
        <v>254893</v>
      </c>
      <c r="P181" s="303">
        <f t="shared" si="88"/>
        <v>0</v>
      </c>
      <c r="Q181" s="367"/>
      <c r="R181" s="366">
        <f>ROUND(O181,0)+13000+6000</f>
        <v>273893</v>
      </c>
      <c r="S181" s="303">
        <f t="shared" si="89"/>
        <v>19000</v>
      </c>
      <c r="T181" s="367" t="s">
        <v>898</v>
      </c>
      <c r="U181" s="366">
        <f>ROUND(R181,0)-4000-4000+3872+18064</f>
        <v>287829</v>
      </c>
      <c r="V181" s="303">
        <f t="shared" si="90"/>
        <v>13936</v>
      </c>
      <c r="W181" s="192" t="s">
        <v>938</v>
      </c>
      <c r="X181" s="366">
        <f>ROUND(U181,0)</f>
        <v>287829</v>
      </c>
      <c r="Y181" s="303">
        <f t="shared" si="91"/>
        <v>0</v>
      </c>
      <c r="Z181" s="192"/>
      <c r="AA181" s="366">
        <f>ROUND(X181,0)+8900</f>
        <v>296729</v>
      </c>
      <c r="AB181" s="303">
        <f t="shared" si="92"/>
        <v>8900</v>
      </c>
      <c r="AC181" s="192" t="s">
        <v>978</v>
      </c>
      <c r="AD181" s="366">
        <f t="shared" si="128"/>
        <v>296729</v>
      </c>
      <c r="AE181" s="303">
        <f t="shared" si="93"/>
        <v>0</v>
      </c>
      <c r="AF181" s="192"/>
      <c r="AG181" s="584">
        <f>13810.54+13810.54+2051548.04-AG174</f>
        <v>204004.12000000011</v>
      </c>
      <c r="AH181" s="368">
        <f t="shared" si="94"/>
        <v>0.68750988275497205</v>
      </c>
      <c r="AI181" s="369"/>
    </row>
    <row r="182" spans="2:35" ht="26.45" customHeight="1" x14ac:dyDescent="0.25">
      <c r="B182" s="60" t="s">
        <v>287</v>
      </c>
      <c r="C182" s="107" t="s">
        <v>563</v>
      </c>
      <c r="D182" s="307" t="s">
        <v>677</v>
      </c>
      <c r="E182" s="353">
        <v>35000</v>
      </c>
      <c r="F182" s="353">
        <f t="shared" si="127"/>
        <v>35000</v>
      </c>
      <c r="G182" s="54">
        <f t="shared" ref="G182:G243" si="130">F182-E182</f>
        <v>0</v>
      </c>
      <c r="H182" s="418"/>
      <c r="I182" s="54">
        <f t="shared" ref="I182:I191" si="131">ROUND(F182,0)</f>
        <v>35000</v>
      </c>
      <c r="J182" s="54">
        <f t="shared" si="86"/>
        <v>0</v>
      </c>
      <c r="K182" s="171"/>
      <c r="L182" s="54">
        <f t="shared" ref="L182:L189" si="132">ROUND(I182,0)</f>
        <v>35000</v>
      </c>
      <c r="M182" s="54">
        <f t="shared" si="87"/>
        <v>0</v>
      </c>
      <c r="N182" s="171"/>
      <c r="O182" s="54">
        <f t="shared" si="129"/>
        <v>35000</v>
      </c>
      <c r="P182" s="54">
        <f t="shared" si="88"/>
        <v>0</v>
      </c>
      <c r="Q182" s="171"/>
      <c r="R182" s="54">
        <f>ROUND(O182,0)</f>
        <v>35000</v>
      </c>
      <c r="S182" s="54">
        <f t="shared" si="89"/>
        <v>0</v>
      </c>
      <c r="T182" s="171"/>
      <c r="U182" s="54">
        <f t="shared" ref="U182:U191" si="133">ROUND(R182,0)</f>
        <v>35000</v>
      </c>
      <c r="V182" s="54">
        <f t="shared" si="90"/>
        <v>0</v>
      </c>
      <c r="W182" s="171"/>
      <c r="X182" s="54">
        <f t="shared" ref="X182:X187" si="134">ROUND(U182,0)</f>
        <v>35000</v>
      </c>
      <c r="Y182" s="54">
        <f t="shared" si="91"/>
        <v>0</v>
      </c>
      <c r="Z182" s="171"/>
      <c r="AA182" s="54">
        <f t="shared" ref="AA182:AA188" si="135">ROUND(X182,0)</f>
        <v>35000</v>
      </c>
      <c r="AB182" s="54">
        <f t="shared" si="92"/>
        <v>0</v>
      </c>
      <c r="AC182" s="418"/>
      <c r="AD182" s="54">
        <f t="shared" si="128"/>
        <v>35000</v>
      </c>
      <c r="AE182" s="54">
        <f t="shared" si="93"/>
        <v>0</v>
      </c>
      <c r="AF182" s="171"/>
      <c r="AG182" s="504"/>
      <c r="AH182" s="205">
        <f t="shared" si="94"/>
        <v>0</v>
      </c>
      <c r="AI182" s="93" t="s">
        <v>572</v>
      </c>
    </row>
    <row r="183" spans="2:35" ht="41.45" customHeight="1" x14ac:dyDescent="0.25">
      <c r="B183" s="60" t="s">
        <v>287</v>
      </c>
      <c r="C183" s="108" t="s">
        <v>564</v>
      </c>
      <c r="D183" s="322" t="s">
        <v>700</v>
      </c>
      <c r="E183" s="352">
        <v>210000</v>
      </c>
      <c r="F183" s="353">
        <f t="shared" si="127"/>
        <v>210000</v>
      </c>
      <c r="G183" s="54">
        <f t="shared" si="130"/>
        <v>0</v>
      </c>
      <c r="H183" s="419"/>
      <c r="I183" s="54">
        <f>ROUND(F183,0)+90000</f>
        <v>300000</v>
      </c>
      <c r="J183" s="54">
        <f t="shared" si="86"/>
        <v>90000</v>
      </c>
      <c r="K183" s="172" t="s">
        <v>783</v>
      </c>
      <c r="L183" s="54">
        <f t="shared" si="132"/>
        <v>300000</v>
      </c>
      <c r="M183" s="54">
        <f t="shared" si="87"/>
        <v>0</v>
      </c>
      <c r="N183" s="172"/>
      <c r="O183" s="54">
        <f t="shared" si="129"/>
        <v>300000</v>
      </c>
      <c r="P183" s="54">
        <f t="shared" si="88"/>
        <v>0</v>
      </c>
      <c r="Q183" s="172"/>
      <c r="R183" s="54">
        <f t="shared" ref="R183:R189" si="136">ROUND(O183,0)</f>
        <v>300000</v>
      </c>
      <c r="S183" s="54">
        <f t="shared" si="89"/>
        <v>0</v>
      </c>
      <c r="T183" s="172"/>
      <c r="U183" s="54">
        <f t="shared" si="133"/>
        <v>300000</v>
      </c>
      <c r="V183" s="54">
        <f t="shared" si="90"/>
        <v>0</v>
      </c>
      <c r="W183" s="172"/>
      <c r="X183" s="54">
        <f t="shared" si="134"/>
        <v>300000</v>
      </c>
      <c r="Y183" s="54">
        <f t="shared" si="91"/>
        <v>0</v>
      </c>
      <c r="Z183" s="172"/>
      <c r="AA183" s="54">
        <f t="shared" si="135"/>
        <v>300000</v>
      </c>
      <c r="AB183" s="54">
        <f t="shared" si="92"/>
        <v>0</v>
      </c>
      <c r="AC183" s="419"/>
      <c r="AD183" s="54">
        <f t="shared" si="128"/>
        <v>300000</v>
      </c>
      <c r="AE183" s="54">
        <f t="shared" si="93"/>
        <v>0</v>
      </c>
      <c r="AF183" s="172"/>
      <c r="AG183" s="585">
        <v>298370</v>
      </c>
      <c r="AH183" s="212">
        <f t="shared" si="94"/>
        <v>0.99456666666666671</v>
      </c>
      <c r="AI183" s="93" t="s">
        <v>572</v>
      </c>
    </row>
    <row r="184" spans="2:35" ht="18" customHeight="1" x14ac:dyDescent="0.25">
      <c r="B184" s="60" t="s">
        <v>287</v>
      </c>
      <c r="C184" s="107" t="s">
        <v>565</v>
      </c>
      <c r="D184" s="472" t="s">
        <v>782</v>
      </c>
      <c r="E184" s="475"/>
      <c r="F184" s="475"/>
      <c r="G184" s="474"/>
      <c r="H184" s="476"/>
      <c r="I184" s="474">
        <v>263703</v>
      </c>
      <c r="J184" s="54">
        <f t="shared" si="86"/>
        <v>263703</v>
      </c>
      <c r="K184" s="477"/>
      <c r="L184" s="54">
        <f>ROUND(I184,0)</f>
        <v>263703</v>
      </c>
      <c r="M184" s="54">
        <f>L184-I184</f>
        <v>0</v>
      </c>
      <c r="N184" s="477"/>
      <c r="O184" s="54">
        <f t="shared" si="129"/>
        <v>263703</v>
      </c>
      <c r="P184" s="54">
        <f>O184-L184</f>
        <v>0</v>
      </c>
      <c r="Q184" s="477"/>
      <c r="R184" s="54">
        <f t="shared" si="136"/>
        <v>263703</v>
      </c>
      <c r="S184" s="54">
        <f t="shared" si="89"/>
        <v>0</v>
      </c>
      <c r="T184" s="477"/>
      <c r="U184" s="54">
        <f t="shared" si="133"/>
        <v>263703</v>
      </c>
      <c r="V184" s="54">
        <f t="shared" si="90"/>
        <v>0</v>
      </c>
      <c r="W184" s="477"/>
      <c r="X184" s="54">
        <f t="shared" si="134"/>
        <v>263703</v>
      </c>
      <c r="Y184" s="54">
        <f t="shared" si="91"/>
        <v>0</v>
      </c>
      <c r="Z184" s="477"/>
      <c r="AA184" s="54">
        <f t="shared" si="135"/>
        <v>263703</v>
      </c>
      <c r="AB184" s="54">
        <f t="shared" si="92"/>
        <v>0</v>
      </c>
      <c r="AC184" s="476"/>
      <c r="AD184" s="54">
        <f t="shared" si="128"/>
        <v>263703</v>
      </c>
      <c r="AE184" s="54">
        <f t="shared" si="93"/>
        <v>0</v>
      </c>
      <c r="AF184" s="477"/>
      <c r="AG184" s="585">
        <v>263703</v>
      </c>
      <c r="AH184" s="478">
        <f t="shared" si="94"/>
        <v>1</v>
      </c>
      <c r="AI184" s="93" t="s">
        <v>572</v>
      </c>
    </row>
    <row r="185" spans="2:35" ht="30.75" customHeight="1" x14ac:dyDescent="0.25">
      <c r="B185" s="60" t="s">
        <v>287</v>
      </c>
      <c r="C185" s="107" t="s">
        <v>566</v>
      </c>
      <c r="D185" s="322" t="s">
        <v>678</v>
      </c>
      <c r="E185" s="352">
        <v>17500</v>
      </c>
      <c r="F185" s="353">
        <f t="shared" si="127"/>
        <v>17500</v>
      </c>
      <c r="G185" s="54">
        <f t="shared" si="130"/>
        <v>0</v>
      </c>
      <c r="H185" s="419"/>
      <c r="I185" s="54">
        <f t="shared" si="131"/>
        <v>17500</v>
      </c>
      <c r="J185" s="54">
        <f t="shared" si="86"/>
        <v>0</v>
      </c>
      <c r="K185" s="172"/>
      <c r="L185" s="54">
        <f>ROUND(I185,0)</f>
        <v>17500</v>
      </c>
      <c r="M185" s="54">
        <f t="shared" si="87"/>
        <v>0</v>
      </c>
      <c r="N185" s="172"/>
      <c r="O185" s="54">
        <f t="shared" si="129"/>
        <v>17500</v>
      </c>
      <c r="P185" s="54">
        <f t="shared" si="88"/>
        <v>0</v>
      </c>
      <c r="Q185" s="172"/>
      <c r="R185" s="54">
        <f t="shared" si="136"/>
        <v>17500</v>
      </c>
      <c r="S185" s="54">
        <f t="shared" si="89"/>
        <v>0</v>
      </c>
      <c r="T185" s="172"/>
      <c r="U185" s="54">
        <f t="shared" si="133"/>
        <v>17500</v>
      </c>
      <c r="V185" s="54">
        <f t="shared" si="90"/>
        <v>0</v>
      </c>
      <c r="W185" s="172"/>
      <c r="X185" s="54">
        <f>ROUND(U185,0)+5808</f>
        <v>23308</v>
      </c>
      <c r="Y185" s="54">
        <f t="shared" si="91"/>
        <v>5808</v>
      </c>
      <c r="Z185" s="192" t="s">
        <v>955</v>
      </c>
      <c r="AA185" s="54">
        <f t="shared" si="135"/>
        <v>23308</v>
      </c>
      <c r="AB185" s="54">
        <f t="shared" si="92"/>
        <v>0</v>
      </c>
      <c r="AC185" s="572"/>
      <c r="AD185" s="54">
        <f t="shared" si="128"/>
        <v>23308</v>
      </c>
      <c r="AE185" s="54">
        <f t="shared" si="93"/>
        <v>0</v>
      </c>
      <c r="AF185" s="192"/>
      <c r="AG185" s="585">
        <v>5808</v>
      </c>
      <c r="AH185" s="212">
        <f t="shared" si="94"/>
        <v>0.24918482924317831</v>
      </c>
      <c r="AI185" s="93" t="s">
        <v>572</v>
      </c>
    </row>
    <row r="186" spans="2:35" ht="43.5" customHeight="1" x14ac:dyDescent="0.25">
      <c r="B186" s="60" t="s">
        <v>287</v>
      </c>
      <c r="C186" s="107" t="s">
        <v>567</v>
      </c>
      <c r="D186" s="322" t="s">
        <v>545</v>
      </c>
      <c r="E186" s="352">
        <v>255000</v>
      </c>
      <c r="F186" s="353">
        <f t="shared" si="127"/>
        <v>255000</v>
      </c>
      <c r="G186" s="54">
        <f t="shared" si="130"/>
        <v>0</v>
      </c>
      <c r="H186" s="419"/>
      <c r="I186" s="54">
        <f t="shared" si="131"/>
        <v>255000</v>
      </c>
      <c r="J186" s="54">
        <f t="shared" si="86"/>
        <v>0</v>
      </c>
      <c r="K186" s="172"/>
      <c r="L186" s="54">
        <f t="shared" si="132"/>
        <v>255000</v>
      </c>
      <c r="M186" s="54">
        <f t="shared" si="87"/>
        <v>0</v>
      </c>
      <c r="N186" s="172"/>
      <c r="O186" s="54">
        <f t="shared" si="129"/>
        <v>255000</v>
      </c>
      <c r="P186" s="54">
        <f t="shared" si="88"/>
        <v>0</v>
      </c>
      <c r="Q186" s="172"/>
      <c r="R186" s="54">
        <f>ROUND(O186,0)-15000</f>
        <v>240000</v>
      </c>
      <c r="S186" s="54">
        <f t="shared" si="89"/>
        <v>-15000</v>
      </c>
      <c r="T186" s="172" t="s">
        <v>892</v>
      </c>
      <c r="U186" s="54">
        <f t="shared" si="133"/>
        <v>240000</v>
      </c>
      <c r="V186" s="54">
        <f t="shared" si="90"/>
        <v>0</v>
      </c>
      <c r="W186" s="172"/>
      <c r="X186" s="54">
        <f t="shared" si="134"/>
        <v>240000</v>
      </c>
      <c r="Y186" s="54">
        <f t="shared" si="91"/>
        <v>0</v>
      </c>
      <c r="Z186" s="172"/>
      <c r="AA186" s="54">
        <f t="shared" si="135"/>
        <v>240000</v>
      </c>
      <c r="AB186" s="54">
        <f t="shared" si="92"/>
        <v>0</v>
      </c>
      <c r="AC186" s="419"/>
      <c r="AD186" s="54">
        <f t="shared" si="128"/>
        <v>240000</v>
      </c>
      <c r="AE186" s="54">
        <f t="shared" si="93"/>
        <v>0</v>
      </c>
      <c r="AF186" s="172"/>
      <c r="AG186" s="585">
        <v>236185</v>
      </c>
      <c r="AH186" s="212">
        <f t="shared" si="94"/>
        <v>0.98410416666666667</v>
      </c>
      <c r="AI186" s="93" t="s">
        <v>572</v>
      </c>
    </row>
    <row r="187" spans="2:35" ht="25.9" customHeight="1" x14ac:dyDescent="0.25">
      <c r="B187" s="60" t="s">
        <v>287</v>
      </c>
      <c r="C187" s="107" t="s">
        <v>568</v>
      </c>
      <c r="D187" s="322" t="s">
        <v>683</v>
      </c>
      <c r="E187" s="352">
        <v>39800</v>
      </c>
      <c r="F187" s="353">
        <f t="shared" si="127"/>
        <v>39800</v>
      </c>
      <c r="G187" s="54">
        <f t="shared" si="130"/>
        <v>0</v>
      </c>
      <c r="H187" s="419"/>
      <c r="I187" s="54">
        <f t="shared" si="131"/>
        <v>39800</v>
      </c>
      <c r="J187" s="54">
        <f t="shared" si="86"/>
        <v>0</v>
      </c>
      <c r="K187" s="172"/>
      <c r="L187" s="54">
        <f t="shared" si="132"/>
        <v>39800</v>
      </c>
      <c r="M187" s="54">
        <f t="shared" si="87"/>
        <v>0</v>
      </c>
      <c r="N187" s="172"/>
      <c r="O187" s="54">
        <f t="shared" si="129"/>
        <v>39800</v>
      </c>
      <c r="P187" s="54">
        <f t="shared" si="88"/>
        <v>0</v>
      </c>
      <c r="Q187" s="172"/>
      <c r="R187" s="54">
        <f>ROUND(O187,0)-10022-10757-19000</f>
        <v>21</v>
      </c>
      <c r="S187" s="54">
        <f t="shared" si="89"/>
        <v>-39779</v>
      </c>
      <c r="T187" s="172" t="s">
        <v>897</v>
      </c>
      <c r="U187" s="54">
        <f t="shared" si="133"/>
        <v>21</v>
      </c>
      <c r="V187" s="54">
        <f t="shared" si="90"/>
        <v>0</v>
      </c>
      <c r="W187" s="172"/>
      <c r="X187" s="54">
        <f t="shared" si="134"/>
        <v>21</v>
      </c>
      <c r="Y187" s="54">
        <f t="shared" si="91"/>
        <v>0</v>
      </c>
      <c r="Z187" s="172"/>
      <c r="AA187" s="54">
        <f t="shared" si="135"/>
        <v>21</v>
      </c>
      <c r="AB187" s="54">
        <f t="shared" si="92"/>
        <v>0</v>
      </c>
      <c r="AC187" s="419"/>
      <c r="AD187" s="54">
        <f t="shared" si="128"/>
        <v>21</v>
      </c>
      <c r="AE187" s="54">
        <f t="shared" si="93"/>
        <v>0</v>
      </c>
      <c r="AF187" s="172"/>
      <c r="AG187" s="486"/>
      <c r="AH187" s="212">
        <f t="shared" si="94"/>
        <v>0</v>
      </c>
      <c r="AI187" s="93" t="s">
        <v>572</v>
      </c>
    </row>
    <row r="188" spans="2:35" ht="45.6" customHeight="1" thickBot="1" x14ac:dyDescent="0.3">
      <c r="B188" s="60" t="s">
        <v>287</v>
      </c>
      <c r="C188" s="107" t="s">
        <v>568</v>
      </c>
      <c r="D188" s="322" t="s">
        <v>702</v>
      </c>
      <c r="E188" s="352">
        <v>30000</v>
      </c>
      <c r="F188" s="353">
        <f>ROUND(E188,0)</f>
        <v>30000</v>
      </c>
      <c r="G188" s="54">
        <f>F188-E188</f>
        <v>0</v>
      </c>
      <c r="H188" s="419"/>
      <c r="I188" s="54">
        <f>ROUND(F188,0)</f>
        <v>30000</v>
      </c>
      <c r="J188" s="54">
        <f>I188-F188</f>
        <v>0</v>
      </c>
      <c r="K188" s="172"/>
      <c r="L188" s="54">
        <f>ROUND(I188,0)</f>
        <v>30000</v>
      </c>
      <c r="M188" s="54">
        <f>L188-I188</f>
        <v>0</v>
      </c>
      <c r="N188" s="172"/>
      <c r="O188" s="54">
        <f t="shared" si="129"/>
        <v>30000</v>
      </c>
      <c r="P188" s="54">
        <f>O188-L188</f>
        <v>0</v>
      </c>
      <c r="Q188" s="172"/>
      <c r="R188" s="54">
        <f t="shared" si="136"/>
        <v>30000</v>
      </c>
      <c r="S188" s="54">
        <f>R188-O188</f>
        <v>0</v>
      </c>
      <c r="T188" s="172"/>
      <c r="U188" s="54">
        <f>ROUND(R188,0)-20000</f>
        <v>10000</v>
      </c>
      <c r="V188" s="54">
        <f>U188-R188</f>
        <v>-20000</v>
      </c>
      <c r="W188" s="172" t="s">
        <v>931</v>
      </c>
      <c r="X188" s="54">
        <f>ROUND(U188,0)</f>
        <v>10000</v>
      </c>
      <c r="Y188" s="54">
        <f>X188-U188</f>
        <v>0</v>
      </c>
      <c r="Z188" s="172"/>
      <c r="AA188" s="54">
        <f t="shared" si="135"/>
        <v>10000</v>
      </c>
      <c r="AB188" s="54">
        <f>AA188-X188</f>
        <v>0</v>
      </c>
      <c r="AC188" s="419"/>
      <c r="AD188" s="54">
        <f t="shared" si="128"/>
        <v>10000</v>
      </c>
      <c r="AE188" s="54">
        <f>AD188-AA188</f>
        <v>0</v>
      </c>
      <c r="AF188" s="172"/>
      <c r="AG188" s="486"/>
      <c r="AH188" s="212">
        <f t="shared" si="94"/>
        <v>0</v>
      </c>
      <c r="AI188" s="93" t="s">
        <v>572</v>
      </c>
    </row>
    <row r="189" spans="2:35" ht="30" customHeight="1" x14ac:dyDescent="0.25">
      <c r="B189" s="60" t="s">
        <v>669</v>
      </c>
      <c r="C189" s="107" t="s">
        <v>569</v>
      </c>
      <c r="D189" s="322" t="s">
        <v>543</v>
      </c>
      <c r="E189" s="352">
        <v>546771</v>
      </c>
      <c r="F189" s="353">
        <f>ROUND(E189,0)</f>
        <v>546771</v>
      </c>
      <c r="G189" s="54">
        <f>F189-E189</f>
        <v>0</v>
      </c>
      <c r="H189" s="419"/>
      <c r="I189" s="54">
        <f t="shared" si="131"/>
        <v>546771</v>
      </c>
      <c r="J189" s="54">
        <f t="shared" si="86"/>
        <v>0</v>
      </c>
      <c r="K189" s="172"/>
      <c r="L189" s="54">
        <f t="shared" si="132"/>
        <v>546771</v>
      </c>
      <c r="M189" s="54">
        <f t="shared" si="87"/>
        <v>0</v>
      </c>
      <c r="N189" s="172"/>
      <c r="O189" s="54">
        <f t="shared" si="129"/>
        <v>546771</v>
      </c>
      <c r="P189" s="54">
        <f t="shared" si="88"/>
        <v>0</v>
      </c>
      <c r="Q189" s="172"/>
      <c r="R189" s="54">
        <f t="shared" si="136"/>
        <v>546771</v>
      </c>
      <c r="S189" s="54">
        <f t="shared" ref="S189:S259" si="137">R189-O189</f>
        <v>0</v>
      </c>
      <c r="T189" s="172"/>
      <c r="U189" s="54">
        <f t="shared" si="133"/>
        <v>546771</v>
      </c>
      <c r="V189" s="54">
        <f t="shared" ref="V189:V259" si="138">U189-R189</f>
        <v>0</v>
      </c>
      <c r="W189" s="172" t="s">
        <v>932</v>
      </c>
      <c r="X189" s="54">
        <f>ROUND(U189,0)</f>
        <v>546771</v>
      </c>
      <c r="Y189" s="54">
        <f t="shared" ref="Y189:Y259" si="139">X189-U189</f>
        <v>0</v>
      </c>
      <c r="Z189" s="172"/>
      <c r="AA189" s="54">
        <f>ROUND(X189,0)-308569</f>
        <v>238202</v>
      </c>
      <c r="AB189" s="54">
        <f t="shared" ref="AB189:AB259" si="140">AA189-X189</f>
        <v>-308569</v>
      </c>
      <c r="AC189" s="580" t="s">
        <v>976</v>
      </c>
      <c r="AD189" s="54">
        <f t="shared" si="128"/>
        <v>238202</v>
      </c>
      <c r="AE189" s="54">
        <f t="shared" ref="AE189:AE259" si="141">AD189-AA189</f>
        <v>0</v>
      </c>
      <c r="AF189" s="580"/>
      <c r="AG189" s="545">
        <v>231806</v>
      </c>
      <c r="AH189" s="212">
        <f t="shared" si="94"/>
        <v>0.97314884006011704</v>
      </c>
      <c r="AI189" s="93" t="s">
        <v>572</v>
      </c>
    </row>
    <row r="190" spans="2:35" ht="31.9" customHeight="1" x14ac:dyDescent="0.25">
      <c r="B190" s="60"/>
      <c r="C190" s="107" t="s">
        <v>570</v>
      </c>
      <c r="D190" s="322" t="s">
        <v>825</v>
      </c>
      <c r="E190" s="352">
        <v>0</v>
      </c>
      <c r="F190" s="353">
        <f>ROUND(E190,0)</f>
        <v>0</v>
      </c>
      <c r="G190" s="54">
        <f>F190-E190</f>
        <v>0</v>
      </c>
      <c r="H190" s="172"/>
      <c r="I190" s="54">
        <f t="shared" si="131"/>
        <v>0</v>
      </c>
      <c r="J190" s="54">
        <f t="shared" si="86"/>
        <v>0</v>
      </c>
      <c r="K190" s="172"/>
      <c r="L190" s="54">
        <f>ROUND(I190,0)+55000</f>
        <v>55000</v>
      </c>
      <c r="M190" s="54">
        <f t="shared" si="87"/>
        <v>55000</v>
      </c>
      <c r="N190" s="172" t="s">
        <v>826</v>
      </c>
      <c r="O190" s="54">
        <f t="shared" si="129"/>
        <v>55000</v>
      </c>
      <c r="P190" s="54">
        <f t="shared" si="88"/>
        <v>0</v>
      </c>
      <c r="Q190" s="172"/>
      <c r="R190" s="54">
        <f>ROUND(O190,0)+6508+15000+328+7000+3130+18034</f>
        <v>105000</v>
      </c>
      <c r="S190" s="54">
        <f t="shared" si="137"/>
        <v>50000</v>
      </c>
      <c r="T190" s="172" t="s">
        <v>893</v>
      </c>
      <c r="U190" s="54">
        <f t="shared" si="133"/>
        <v>105000</v>
      </c>
      <c r="V190" s="54">
        <f t="shared" si="138"/>
        <v>0</v>
      </c>
      <c r="W190" s="172"/>
      <c r="X190" s="54">
        <f>ROUND(U190,0)</f>
        <v>105000</v>
      </c>
      <c r="Y190" s="54">
        <f t="shared" si="139"/>
        <v>0</v>
      </c>
      <c r="Z190" s="172"/>
      <c r="AA190" s="54">
        <f>ROUND(X190,0)</f>
        <v>105000</v>
      </c>
      <c r="AB190" s="54">
        <f t="shared" si="140"/>
        <v>0</v>
      </c>
      <c r="AC190" s="419"/>
      <c r="AD190" s="54">
        <f t="shared" si="128"/>
        <v>105000</v>
      </c>
      <c r="AE190" s="54">
        <f t="shared" si="141"/>
        <v>0</v>
      </c>
      <c r="AF190" s="172"/>
      <c r="AG190" s="585">
        <v>103807</v>
      </c>
      <c r="AH190" s="212">
        <f t="shared" si="94"/>
        <v>0.9886380952380952</v>
      </c>
      <c r="AI190" s="93" t="s">
        <v>571</v>
      </c>
    </row>
    <row r="191" spans="2:35" ht="29.45" customHeight="1" x14ac:dyDescent="0.25">
      <c r="B191" s="60" t="s">
        <v>453</v>
      </c>
      <c r="C191" s="107" t="s">
        <v>870</v>
      </c>
      <c r="D191" s="322" t="s">
        <v>828</v>
      </c>
      <c r="E191" s="353">
        <v>0</v>
      </c>
      <c r="F191" s="353">
        <f>ROUND(E191,0)</f>
        <v>0</v>
      </c>
      <c r="G191" s="54">
        <f>F191-E191</f>
        <v>0</v>
      </c>
      <c r="H191" s="398"/>
      <c r="I191" s="54">
        <f t="shared" si="131"/>
        <v>0</v>
      </c>
      <c r="J191" s="54">
        <f t="shared" si="86"/>
        <v>0</v>
      </c>
      <c r="K191" s="144"/>
      <c r="L191" s="54">
        <f>ROUND(I191,0)+21000</f>
        <v>21000</v>
      </c>
      <c r="M191" s="54">
        <f t="shared" si="87"/>
        <v>21000</v>
      </c>
      <c r="N191" s="172" t="s">
        <v>826</v>
      </c>
      <c r="O191" s="54">
        <f t="shared" si="129"/>
        <v>21000</v>
      </c>
      <c r="P191" s="54">
        <f t="shared" si="88"/>
        <v>0</v>
      </c>
      <c r="Q191" s="144"/>
      <c r="R191" s="54">
        <f>ROUND(O191,0)+31000+10022</f>
        <v>62022</v>
      </c>
      <c r="S191" s="54">
        <f t="shared" si="137"/>
        <v>41022</v>
      </c>
      <c r="T191" s="144" t="s">
        <v>894</v>
      </c>
      <c r="U191" s="54">
        <f t="shared" si="133"/>
        <v>62022</v>
      </c>
      <c r="V191" s="54">
        <f t="shared" si="138"/>
        <v>0</v>
      </c>
      <c r="W191" s="144"/>
      <c r="X191" s="54">
        <f>ROUND(U191,0)</f>
        <v>62022</v>
      </c>
      <c r="Y191" s="54">
        <f t="shared" si="139"/>
        <v>0</v>
      </c>
      <c r="Z191" s="144"/>
      <c r="AA191" s="54">
        <f>ROUND(X191,0)</f>
        <v>62022</v>
      </c>
      <c r="AB191" s="54">
        <f t="shared" si="140"/>
        <v>0</v>
      </c>
      <c r="AC191" s="398"/>
      <c r="AD191" s="54">
        <f t="shared" si="128"/>
        <v>62022</v>
      </c>
      <c r="AE191" s="54">
        <f t="shared" si="141"/>
        <v>0</v>
      </c>
      <c r="AF191" s="144"/>
      <c r="AG191" s="585">
        <v>62022</v>
      </c>
      <c r="AH191" s="205">
        <f t="shared" si="94"/>
        <v>1</v>
      </c>
      <c r="AI191" s="586" t="s">
        <v>572</v>
      </c>
    </row>
    <row r="192" spans="2:35" x14ac:dyDescent="0.25">
      <c r="C192" s="82" t="s">
        <v>67</v>
      </c>
      <c r="D192" s="306" t="s">
        <v>166</v>
      </c>
      <c r="E192" s="13">
        <v>2519181.6714729005</v>
      </c>
      <c r="F192" s="345">
        <f t="shared" ref="F192" si="142">SUM(F193,F198:F202)+F205+F206</f>
        <v>2529195</v>
      </c>
      <c r="G192" s="13">
        <f>SUM(G193,G198:G206)</f>
        <v>10013.342056599839</v>
      </c>
      <c r="H192" s="279"/>
      <c r="I192" s="13">
        <f>SUM(I193,I198:I202)+I205+I206</f>
        <v>2529195</v>
      </c>
      <c r="J192" s="13">
        <f t="shared" si="86"/>
        <v>0</v>
      </c>
      <c r="K192" s="13"/>
      <c r="L192" s="13">
        <f>SUM(L193,L198:L202)+L205+L206</f>
        <v>2527695</v>
      </c>
      <c r="M192" s="13">
        <f t="shared" si="87"/>
        <v>-1500</v>
      </c>
      <c r="N192" s="13"/>
      <c r="O192" s="13">
        <f>SUM(O193,O198:O202)+O205+O206</f>
        <v>2554562</v>
      </c>
      <c r="P192" s="13">
        <f t="shared" si="88"/>
        <v>26867</v>
      </c>
      <c r="Q192" s="13"/>
      <c r="R192" s="13">
        <f>SUM(R193,R198:R202)+R205+R206</f>
        <v>2551562</v>
      </c>
      <c r="S192" s="13">
        <f t="shared" si="137"/>
        <v>-3000</v>
      </c>
      <c r="T192" s="13"/>
      <c r="U192" s="13">
        <f>SUM(U193,U198:U202)+U205+U206</f>
        <v>2566319</v>
      </c>
      <c r="V192" s="13">
        <f t="shared" si="138"/>
        <v>14757</v>
      </c>
      <c r="W192" s="13"/>
      <c r="X192" s="13">
        <f>SUM(X193,X198:X202)+X205+X206</f>
        <v>2566319</v>
      </c>
      <c r="Y192" s="13">
        <f t="shared" si="139"/>
        <v>0</v>
      </c>
      <c r="Z192" s="13"/>
      <c r="AA192" s="13">
        <f>SUM(AA193,AA198:AA202)+AA205+AA206</f>
        <v>2566319</v>
      </c>
      <c r="AB192" s="13">
        <f t="shared" si="140"/>
        <v>0</v>
      </c>
      <c r="AC192" s="279"/>
      <c r="AD192" s="13">
        <f>SUM(AD193,AD198:AD202)+AD205+AD206</f>
        <v>2566319</v>
      </c>
      <c r="AE192" s="13">
        <f t="shared" si="141"/>
        <v>0</v>
      </c>
      <c r="AF192" s="13"/>
      <c r="AG192" s="517">
        <f>SUM(AG193,AG198:AG202)+AG205+AG206</f>
        <v>2363088.37</v>
      </c>
      <c r="AH192" s="199">
        <f t="shared" si="94"/>
        <v>0.92080850821741178</v>
      </c>
      <c r="AI192" s="526"/>
    </row>
    <row r="193" spans="2:35" ht="23.25" customHeight="1" x14ac:dyDescent="0.25">
      <c r="C193" s="81" t="s">
        <v>70</v>
      </c>
      <c r="D193" s="296" t="s">
        <v>293</v>
      </c>
      <c r="E193" s="37">
        <v>1326357.7900424001</v>
      </c>
      <c r="F193" s="37">
        <f>SUM(F194:F197)</f>
        <v>1326358</v>
      </c>
      <c r="G193" s="37">
        <f>SUM(G194:G197)</f>
        <v>0.20995759987272322</v>
      </c>
      <c r="H193" s="37">
        <f>SUM(H194:H197)</f>
        <v>0</v>
      </c>
      <c r="I193" s="37">
        <f>SUM(I194:I197)</f>
        <v>1326358</v>
      </c>
      <c r="J193" s="18">
        <f t="shared" si="86"/>
        <v>0</v>
      </c>
      <c r="K193" s="18"/>
      <c r="L193" s="37">
        <f>SUM(L194:L197)</f>
        <v>1334858</v>
      </c>
      <c r="M193" s="18">
        <f t="shared" si="87"/>
        <v>8500</v>
      </c>
      <c r="N193" s="18"/>
      <c r="O193" s="18">
        <f>SUM(O194:O197)</f>
        <v>1355693</v>
      </c>
      <c r="P193" s="18">
        <f t="shared" si="88"/>
        <v>20835</v>
      </c>
      <c r="Q193" s="18"/>
      <c r="R193" s="18">
        <f>SUM(R194:R197)</f>
        <v>1352693</v>
      </c>
      <c r="S193" s="18">
        <f t="shared" si="137"/>
        <v>-3000</v>
      </c>
      <c r="T193" s="18"/>
      <c r="U193" s="18">
        <f>SUM(U194:U197)</f>
        <v>1367450</v>
      </c>
      <c r="V193" s="18">
        <f t="shared" si="138"/>
        <v>14757</v>
      </c>
      <c r="W193" s="18"/>
      <c r="X193" s="18">
        <f>SUM(X194:X197)</f>
        <v>1367450</v>
      </c>
      <c r="Y193" s="18">
        <f t="shared" si="139"/>
        <v>0</v>
      </c>
      <c r="Z193" s="18"/>
      <c r="AA193" s="18">
        <f>SUM(AA194:AA197)</f>
        <v>1367450</v>
      </c>
      <c r="AB193" s="18">
        <f t="shared" si="140"/>
        <v>0</v>
      </c>
      <c r="AC193" s="280"/>
      <c r="AD193" s="18">
        <f>SUM(AD194:AD197)</f>
        <v>1367450</v>
      </c>
      <c r="AE193" s="18">
        <f t="shared" si="141"/>
        <v>0</v>
      </c>
      <c r="AF193" s="18"/>
      <c r="AG193" s="510">
        <f>SUM(AG194:AG197)</f>
        <v>1312308.45</v>
      </c>
      <c r="AH193" s="211">
        <f t="shared" si="94"/>
        <v>0.95967563713481296</v>
      </c>
      <c r="AI193" s="531"/>
    </row>
    <row r="194" spans="2:35" ht="17.25" customHeight="1" x14ac:dyDescent="0.25">
      <c r="B194" s="60" t="s">
        <v>418</v>
      </c>
      <c r="C194" s="83" t="s">
        <v>226</v>
      </c>
      <c r="D194" s="294" t="s">
        <v>341</v>
      </c>
      <c r="E194" s="353">
        <v>638049.85509206681</v>
      </c>
      <c r="F194" s="353">
        <f>ROUND(E194,0)</f>
        <v>638050</v>
      </c>
      <c r="G194" s="54">
        <f t="shared" si="130"/>
        <v>0.14490793319419026</v>
      </c>
      <c r="H194" s="418"/>
      <c r="I194" s="54">
        <f t="shared" ref="I194:I201" si="143">ROUND(F194,0)</f>
        <v>638050</v>
      </c>
      <c r="J194" s="54">
        <f t="shared" si="86"/>
        <v>0</v>
      </c>
      <c r="K194" s="194"/>
      <c r="L194" s="54">
        <f>ROUND(I194,0)</f>
        <v>638050</v>
      </c>
      <c r="M194" s="54">
        <f t="shared" si="87"/>
        <v>0</v>
      </c>
      <c r="N194" s="194"/>
      <c r="O194" s="54">
        <f>ROUND(L194,0)+21000</f>
        <v>659050</v>
      </c>
      <c r="P194" s="54">
        <f t="shared" si="88"/>
        <v>21000</v>
      </c>
      <c r="Q194" s="194" t="s">
        <v>850</v>
      </c>
      <c r="R194" s="54">
        <f t="shared" ref="R194:R201" si="144">ROUND(O194,0)</f>
        <v>659050</v>
      </c>
      <c r="S194" s="54">
        <f t="shared" si="137"/>
        <v>0</v>
      </c>
      <c r="T194" s="194"/>
      <c r="U194" s="54">
        <f>ROUND(R194,0)+7079</f>
        <v>666129</v>
      </c>
      <c r="V194" s="54">
        <f t="shared" si="138"/>
        <v>7079</v>
      </c>
      <c r="W194" s="171" t="s">
        <v>943</v>
      </c>
      <c r="X194" s="54">
        <f>ROUND(U194,0)</f>
        <v>666129</v>
      </c>
      <c r="Y194" s="54">
        <f t="shared" si="139"/>
        <v>0</v>
      </c>
      <c r="Z194" s="171"/>
      <c r="AA194" s="54">
        <f>ROUND(X194,0)</f>
        <v>666129</v>
      </c>
      <c r="AB194" s="54">
        <f t="shared" si="140"/>
        <v>0</v>
      </c>
      <c r="AC194" s="418"/>
      <c r="AD194" s="54">
        <f>ROUND(AA194,0)</f>
        <v>666129</v>
      </c>
      <c r="AE194" s="54">
        <f t="shared" si="141"/>
        <v>0</v>
      </c>
      <c r="AF194" s="171"/>
      <c r="AG194" s="474">
        <v>633417.77</v>
      </c>
      <c r="AH194" s="205">
        <f t="shared" ref="AH194:AH257" si="145">AG194/AD194</f>
        <v>0.95089355064859815</v>
      </c>
      <c r="AI194" s="474" t="s">
        <v>573</v>
      </c>
    </row>
    <row r="195" spans="2:35" ht="18" customHeight="1" x14ac:dyDescent="0.25">
      <c r="B195" s="60" t="s">
        <v>412</v>
      </c>
      <c r="C195" s="83" t="s">
        <v>228</v>
      </c>
      <c r="D195" s="294" t="s">
        <v>313</v>
      </c>
      <c r="E195" s="353">
        <v>485179.86028633331</v>
      </c>
      <c r="F195" s="353">
        <f>ROUND(E195,0)</f>
        <v>485180</v>
      </c>
      <c r="G195" s="54">
        <f t="shared" si="130"/>
        <v>0.1397136666928418</v>
      </c>
      <c r="H195" s="418"/>
      <c r="I195" s="54">
        <f t="shared" si="143"/>
        <v>485180</v>
      </c>
      <c r="J195" s="54">
        <f t="shared" si="86"/>
        <v>0</v>
      </c>
      <c r="K195" s="171"/>
      <c r="L195" s="54">
        <f>ROUND(I195,0)+8500</f>
        <v>493680</v>
      </c>
      <c r="M195" s="54">
        <f t="shared" si="87"/>
        <v>8500</v>
      </c>
      <c r="N195" s="194" t="s">
        <v>827</v>
      </c>
      <c r="O195" s="54">
        <f>ROUND(L195,0)-165</f>
        <v>493515</v>
      </c>
      <c r="P195" s="54">
        <f t="shared" si="88"/>
        <v>-165</v>
      </c>
      <c r="Q195" s="171" t="s">
        <v>846</v>
      </c>
      <c r="R195" s="54">
        <f t="shared" si="144"/>
        <v>493515</v>
      </c>
      <c r="S195" s="54">
        <f t="shared" si="137"/>
        <v>0</v>
      </c>
      <c r="T195" s="171"/>
      <c r="U195" s="11">
        <f>ROUND(R195,0)+7678</f>
        <v>501193</v>
      </c>
      <c r="V195" s="11">
        <f t="shared" si="138"/>
        <v>7678</v>
      </c>
      <c r="W195" s="547"/>
      <c r="X195" s="11">
        <f>ROUND(U195,0)</f>
        <v>501193</v>
      </c>
      <c r="Y195" s="11">
        <f t="shared" si="139"/>
        <v>0</v>
      </c>
      <c r="Z195" s="547"/>
      <c r="AA195" s="11">
        <f>ROUND(X195,0)</f>
        <v>501193</v>
      </c>
      <c r="AB195" s="11">
        <f t="shared" si="140"/>
        <v>0</v>
      </c>
      <c r="AC195" s="451"/>
      <c r="AD195" s="11">
        <f>ROUND(AA195,0)</f>
        <v>501193</v>
      </c>
      <c r="AE195" s="11">
        <f t="shared" si="141"/>
        <v>0</v>
      </c>
      <c r="AF195" s="547"/>
      <c r="AG195" s="474">
        <v>491837.47</v>
      </c>
      <c r="AH195" s="205">
        <f t="shared" si="145"/>
        <v>0.9813334783207267</v>
      </c>
      <c r="AI195" s="474" t="s">
        <v>574</v>
      </c>
    </row>
    <row r="196" spans="2:35" ht="16.5" customHeight="1" x14ac:dyDescent="0.25">
      <c r="B196" s="60" t="s">
        <v>411</v>
      </c>
      <c r="C196" s="83" t="s">
        <v>295</v>
      </c>
      <c r="D196" s="294" t="s">
        <v>531</v>
      </c>
      <c r="E196" s="353">
        <v>172588.07466400001</v>
      </c>
      <c r="F196" s="353">
        <f>ROUND(E196,0)</f>
        <v>172588</v>
      </c>
      <c r="G196" s="54">
        <f t="shared" si="130"/>
        <v>-7.466400001430884E-2</v>
      </c>
      <c r="H196" s="398"/>
      <c r="I196" s="54">
        <f t="shared" si="143"/>
        <v>172588</v>
      </c>
      <c r="J196" s="54">
        <f t="shared" si="86"/>
        <v>0</v>
      </c>
      <c r="K196" s="144"/>
      <c r="L196" s="54">
        <f t="shared" ref="L196:L206" si="146">ROUND(I196,0)</f>
        <v>172588</v>
      </c>
      <c r="M196" s="54">
        <f t="shared" si="87"/>
        <v>0</v>
      </c>
      <c r="N196" s="144"/>
      <c r="O196" s="54">
        <f t="shared" ref="O196:O206" si="147">ROUND(L196,0)</f>
        <v>172588</v>
      </c>
      <c r="P196" s="54">
        <f t="shared" si="88"/>
        <v>0</v>
      </c>
      <c r="Q196" s="144"/>
      <c r="R196" s="54">
        <f>ROUND(O196,0)-1500</f>
        <v>171088</v>
      </c>
      <c r="S196" s="543">
        <f t="shared" si="137"/>
        <v>-1500</v>
      </c>
      <c r="T196" s="624" t="s">
        <v>907</v>
      </c>
      <c r="U196" s="54">
        <f t="shared" ref="U196:U201" si="148">ROUND(R196,0)</f>
        <v>171088</v>
      </c>
      <c r="V196" s="54">
        <f t="shared" si="138"/>
        <v>0</v>
      </c>
      <c r="W196" s="171"/>
      <c r="X196" s="54">
        <f t="shared" ref="X196:X201" si="149">ROUND(U196,0)</f>
        <v>171088</v>
      </c>
      <c r="Y196" s="54">
        <f t="shared" si="139"/>
        <v>0</v>
      </c>
      <c r="Z196" s="171"/>
      <c r="AA196" s="54">
        <f t="shared" ref="AA196:AA201" si="150">ROUND(X196,0)</f>
        <v>171088</v>
      </c>
      <c r="AB196" s="54">
        <f t="shared" si="140"/>
        <v>0</v>
      </c>
      <c r="AC196" s="418"/>
      <c r="AD196" s="54">
        <f t="shared" ref="AD196:AD201" si="151">ROUND(AA196,0)</f>
        <v>171088</v>
      </c>
      <c r="AE196" s="54">
        <f t="shared" si="141"/>
        <v>0</v>
      </c>
      <c r="AF196" s="171"/>
      <c r="AG196" s="474">
        <v>164453.45000000001</v>
      </c>
      <c r="AH196" s="205">
        <f t="shared" si="145"/>
        <v>0.9612214182175256</v>
      </c>
      <c r="AI196" s="504"/>
    </row>
    <row r="197" spans="2:35" ht="18.75" customHeight="1" x14ac:dyDescent="0.25">
      <c r="B197" s="60" t="s">
        <v>577</v>
      </c>
      <c r="C197" s="83" t="s">
        <v>690</v>
      </c>
      <c r="D197" s="294" t="s">
        <v>670</v>
      </c>
      <c r="E197" s="370">
        <v>30540</v>
      </c>
      <c r="F197" s="370">
        <f>ROUND(E197,0)</f>
        <v>30540</v>
      </c>
      <c r="G197" s="11">
        <f>F197-E197</f>
        <v>0</v>
      </c>
      <c r="H197" s="455"/>
      <c r="I197" s="54">
        <f t="shared" si="143"/>
        <v>30540</v>
      </c>
      <c r="J197" s="54">
        <f t="shared" si="86"/>
        <v>0</v>
      </c>
      <c r="K197" s="144"/>
      <c r="L197" s="11">
        <f t="shared" si="146"/>
        <v>30540</v>
      </c>
      <c r="M197" s="11">
        <f t="shared" si="87"/>
        <v>0</v>
      </c>
      <c r="N197" s="497"/>
      <c r="O197" s="11">
        <f t="shared" si="147"/>
        <v>30540</v>
      </c>
      <c r="P197" s="11">
        <f t="shared" si="88"/>
        <v>0</v>
      </c>
      <c r="Q197" s="497"/>
      <c r="R197" s="11">
        <f>ROUND(O197,0)-1500</f>
        <v>29040</v>
      </c>
      <c r="S197" s="538">
        <f t="shared" si="137"/>
        <v>-1500</v>
      </c>
      <c r="T197" s="625"/>
      <c r="U197" s="11">
        <f t="shared" si="148"/>
        <v>29040</v>
      </c>
      <c r="V197" s="11">
        <f t="shared" si="138"/>
        <v>0</v>
      </c>
      <c r="W197" s="547"/>
      <c r="X197" s="11">
        <f t="shared" si="149"/>
        <v>29040</v>
      </c>
      <c r="Y197" s="11">
        <f t="shared" si="139"/>
        <v>0</v>
      </c>
      <c r="Z197" s="547"/>
      <c r="AA197" s="11">
        <f t="shared" si="150"/>
        <v>29040</v>
      </c>
      <c r="AB197" s="11">
        <f t="shared" si="140"/>
        <v>0</v>
      </c>
      <c r="AC197" s="451"/>
      <c r="AD197" s="11">
        <f t="shared" si="151"/>
        <v>29040</v>
      </c>
      <c r="AE197" s="11">
        <f t="shared" si="141"/>
        <v>0</v>
      </c>
      <c r="AF197" s="547"/>
      <c r="AG197" s="474">
        <v>22599.759999999998</v>
      </c>
      <c r="AH197" s="605">
        <f t="shared" si="145"/>
        <v>0.77822865013774101</v>
      </c>
      <c r="AI197" s="474"/>
    </row>
    <row r="198" spans="2:35" ht="29.45" customHeight="1" x14ac:dyDescent="0.25">
      <c r="B198" s="60" t="s">
        <v>455</v>
      </c>
      <c r="C198" s="109" t="s">
        <v>175</v>
      </c>
      <c r="D198" s="296" t="s">
        <v>314</v>
      </c>
      <c r="E198" s="37">
        <v>185742</v>
      </c>
      <c r="F198" s="37">
        <f>ROUND(E198,0)+10013</f>
        <v>195755</v>
      </c>
      <c r="G198" s="18">
        <f t="shared" si="130"/>
        <v>10013</v>
      </c>
      <c r="H198" s="456" t="s">
        <v>743</v>
      </c>
      <c r="I198" s="18">
        <f t="shared" si="143"/>
        <v>195755</v>
      </c>
      <c r="J198" s="18">
        <f t="shared" si="86"/>
        <v>0</v>
      </c>
      <c r="K198" s="176"/>
      <c r="L198" s="18">
        <f t="shared" si="146"/>
        <v>195755</v>
      </c>
      <c r="M198" s="18">
        <f t="shared" si="87"/>
        <v>0</v>
      </c>
      <c r="N198" s="176"/>
      <c r="O198" s="18">
        <f t="shared" si="147"/>
        <v>195755</v>
      </c>
      <c r="P198" s="18">
        <f t="shared" si="88"/>
        <v>0</v>
      </c>
      <c r="Q198" s="176"/>
      <c r="R198" s="18">
        <f t="shared" si="144"/>
        <v>195755</v>
      </c>
      <c r="S198" s="18">
        <f t="shared" si="137"/>
        <v>0</v>
      </c>
      <c r="T198" s="176"/>
      <c r="U198" s="18">
        <f t="shared" si="148"/>
        <v>195755</v>
      </c>
      <c r="V198" s="18">
        <f t="shared" si="138"/>
        <v>0</v>
      </c>
      <c r="W198" s="176"/>
      <c r="X198" s="18">
        <f t="shared" si="149"/>
        <v>195755</v>
      </c>
      <c r="Y198" s="18">
        <f t="shared" si="139"/>
        <v>0</v>
      </c>
      <c r="Z198" s="176"/>
      <c r="AA198" s="18">
        <f t="shared" si="150"/>
        <v>195755</v>
      </c>
      <c r="AB198" s="18">
        <f t="shared" si="140"/>
        <v>0</v>
      </c>
      <c r="AC198" s="425"/>
      <c r="AD198" s="18">
        <f t="shared" si="151"/>
        <v>195755</v>
      </c>
      <c r="AE198" s="18">
        <f t="shared" si="141"/>
        <v>0</v>
      </c>
      <c r="AF198" s="176"/>
      <c r="AG198" s="510">
        <v>195754.44</v>
      </c>
      <c r="AH198" s="211">
        <f t="shared" si="145"/>
        <v>0.99999713928124445</v>
      </c>
      <c r="AI198" s="510" t="s">
        <v>571</v>
      </c>
    </row>
    <row r="199" spans="2:35" ht="27" customHeight="1" x14ac:dyDescent="0.25">
      <c r="B199" s="60" t="s">
        <v>456</v>
      </c>
      <c r="C199" s="109" t="s">
        <v>249</v>
      </c>
      <c r="D199" s="296" t="s">
        <v>315</v>
      </c>
      <c r="E199" s="37">
        <v>0</v>
      </c>
      <c r="F199" s="37">
        <f t="shared" ref="F199:F206" si="152">ROUND(E199,0)</f>
        <v>0</v>
      </c>
      <c r="G199" s="18">
        <f t="shared" si="130"/>
        <v>0</v>
      </c>
      <c r="H199" s="399"/>
      <c r="I199" s="18">
        <f t="shared" si="143"/>
        <v>0</v>
      </c>
      <c r="J199" s="18">
        <f t="shared" si="86"/>
        <v>0</v>
      </c>
      <c r="K199" s="145"/>
      <c r="L199" s="18">
        <f t="shared" si="146"/>
        <v>0</v>
      </c>
      <c r="M199" s="18">
        <f t="shared" si="87"/>
        <v>0</v>
      </c>
      <c r="N199" s="145"/>
      <c r="O199" s="18">
        <f t="shared" si="147"/>
        <v>0</v>
      </c>
      <c r="P199" s="18">
        <f t="shared" si="88"/>
        <v>0</v>
      </c>
      <c r="Q199" s="145"/>
      <c r="R199" s="18">
        <f t="shared" si="144"/>
        <v>0</v>
      </c>
      <c r="S199" s="18">
        <f t="shared" si="137"/>
        <v>0</v>
      </c>
      <c r="T199" s="145"/>
      <c r="U199" s="18">
        <f t="shared" si="148"/>
        <v>0</v>
      </c>
      <c r="V199" s="18">
        <f t="shared" si="138"/>
        <v>0</v>
      </c>
      <c r="W199" s="145"/>
      <c r="X199" s="18">
        <f t="shared" si="149"/>
        <v>0</v>
      </c>
      <c r="Y199" s="18">
        <f t="shared" si="139"/>
        <v>0</v>
      </c>
      <c r="Z199" s="145"/>
      <c r="AA199" s="18">
        <f t="shared" si="150"/>
        <v>0</v>
      </c>
      <c r="AB199" s="18">
        <f t="shared" si="140"/>
        <v>0</v>
      </c>
      <c r="AC199" s="399"/>
      <c r="AD199" s="18">
        <f t="shared" si="151"/>
        <v>0</v>
      </c>
      <c r="AE199" s="18">
        <f t="shared" si="141"/>
        <v>0</v>
      </c>
      <c r="AF199" s="145"/>
      <c r="AG199" s="510">
        <v>0</v>
      </c>
      <c r="AH199" s="211" t="e">
        <f t="shared" si="145"/>
        <v>#DIV/0!</v>
      </c>
      <c r="AI199" s="515"/>
    </row>
    <row r="200" spans="2:35" ht="15" customHeight="1" x14ac:dyDescent="0.25">
      <c r="B200" s="60" t="s">
        <v>216</v>
      </c>
      <c r="C200" s="81" t="s">
        <v>333</v>
      </c>
      <c r="D200" s="296" t="s">
        <v>342</v>
      </c>
      <c r="E200" s="37">
        <v>153395.37309000001</v>
      </c>
      <c r="F200" s="37">
        <f t="shared" si="152"/>
        <v>153395</v>
      </c>
      <c r="G200" s="18">
        <f t="shared" si="130"/>
        <v>-0.37309000000823289</v>
      </c>
      <c r="H200" s="425"/>
      <c r="I200" s="18">
        <f t="shared" si="143"/>
        <v>153395</v>
      </c>
      <c r="J200" s="18">
        <f t="shared" si="86"/>
        <v>0</v>
      </c>
      <c r="K200" s="176"/>
      <c r="L200" s="18">
        <f t="shared" si="146"/>
        <v>153395</v>
      </c>
      <c r="M200" s="18">
        <f t="shared" si="87"/>
        <v>0</v>
      </c>
      <c r="N200" s="176"/>
      <c r="O200" s="18">
        <f>ROUND(L200,0)-276</f>
        <v>153119</v>
      </c>
      <c r="P200" s="18">
        <f t="shared" si="88"/>
        <v>-276</v>
      </c>
      <c r="Q200" s="176" t="s">
        <v>842</v>
      </c>
      <c r="R200" s="18">
        <f t="shared" si="144"/>
        <v>153119</v>
      </c>
      <c r="S200" s="18">
        <f t="shared" si="137"/>
        <v>0</v>
      </c>
      <c r="T200" s="176"/>
      <c r="U200" s="18">
        <f t="shared" si="148"/>
        <v>153119</v>
      </c>
      <c r="V200" s="18">
        <f t="shared" si="138"/>
        <v>0</v>
      </c>
      <c r="W200" s="176"/>
      <c r="X200" s="18">
        <f t="shared" si="149"/>
        <v>153119</v>
      </c>
      <c r="Y200" s="18">
        <f t="shared" si="139"/>
        <v>0</v>
      </c>
      <c r="Z200" s="176"/>
      <c r="AA200" s="18">
        <f t="shared" si="150"/>
        <v>153119</v>
      </c>
      <c r="AB200" s="18">
        <f t="shared" si="140"/>
        <v>0</v>
      </c>
      <c r="AC200" s="425"/>
      <c r="AD200" s="18">
        <f t="shared" si="151"/>
        <v>153119</v>
      </c>
      <c r="AE200" s="18">
        <f t="shared" si="141"/>
        <v>0</v>
      </c>
      <c r="AF200" s="176"/>
      <c r="AG200" s="510">
        <v>139645.12</v>
      </c>
      <c r="AH200" s="211">
        <f t="shared" si="145"/>
        <v>0.91200386627394381</v>
      </c>
      <c r="AI200" s="515"/>
    </row>
    <row r="201" spans="2:35" ht="15.6" customHeight="1" x14ac:dyDescent="0.25">
      <c r="B201" s="60" t="s">
        <v>334</v>
      </c>
      <c r="C201" s="81" t="s">
        <v>358</v>
      </c>
      <c r="D201" s="296" t="s">
        <v>343</v>
      </c>
      <c r="E201" s="371">
        <v>64813.521870000011</v>
      </c>
      <c r="F201" s="371">
        <f t="shared" si="152"/>
        <v>64814</v>
      </c>
      <c r="G201" s="63">
        <f t="shared" si="130"/>
        <v>0.47812999998859596</v>
      </c>
      <c r="H201" s="426"/>
      <c r="I201" s="63">
        <f t="shared" si="143"/>
        <v>64814</v>
      </c>
      <c r="J201" s="63">
        <f t="shared" si="86"/>
        <v>0</v>
      </c>
      <c r="K201" s="177"/>
      <c r="L201" s="63">
        <f t="shared" si="146"/>
        <v>64814</v>
      </c>
      <c r="M201" s="63">
        <f t="shared" si="87"/>
        <v>0</v>
      </c>
      <c r="N201" s="177"/>
      <c r="O201" s="63">
        <f>ROUND(L201,0)-62</f>
        <v>64752</v>
      </c>
      <c r="P201" s="63">
        <f t="shared" si="88"/>
        <v>-62</v>
      </c>
      <c r="Q201" s="177" t="s">
        <v>843</v>
      </c>
      <c r="R201" s="63">
        <f t="shared" si="144"/>
        <v>64752</v>
      </c>
      <c r="S201" s="63">
        <f t="shared" si="137"/>
        <v>0</v>
      </c>
      <c r="T201" s="177"/>
      <c r="U201" s="63">
        <f t="shared" si="148"/>
        <v>64752</v>
      </c>
      <c r="V201" s="63">
        <f t="shared" si="138"/>
        <v>0</v>
      </c>
      <c r="W201" s="177"/>
      <c r="X201" s="63">
        <f t="shared" si="149"/>
        <v>64752</v>
      </c>
      <c r="Y201" s="63">
        <f t="shared" si="139"/>
        <v>0</v>
      </c>
      <c r="Z201" s="177"/>
      <c r="AA201" s="63">
        <f t="shared" si="150"/>
        <v>64752</v>
      </c>
      <c r="AB201" s="63">
        <f t="shared" si="140"/>
        <v>0</v>
      </c>
      <c r="AC201" s="426"/>
      <c r="AD201" s="63">
        <f t="shared" si="151"/>
        <v>64752</v>
      </c>
      <c r="AE201" s="63">
        <f t="shared" si="141"/>
        <v>0</v>
      </c>
      <c r="AF201" s="177"/>
      <c r="AG201" s="510">
        <v>63256.800000000003</v>
      </c>
      <c r="AH201" s="224">
        <f t="shared" si="145"/>
        <v>0.97690882134914758</v>
      </c>
      <c r="AI201" s="515"/>
    </row>
    <row r="202" spans="2:35" ht="15" customHeight="1" x14ac:dyDescent="0.25">
      <c r="B202" s="60" t="s">
        <v>215</v>
      </c>
      <c r="C202" s="81" t="s">
        <v>359</v>
      </c>
      <c r="D202" s="296" t="s">
        <v>168</v>
      </c>
      <c r="E202" s="37">
        <v>765644.98647050001</v>
      </c>
      <c r="F202" s="37">
        <f t="shared" ref="F202" si="153">F203+F204</f>
        <v>765645</v>
      </c>
      <c r="G202" s="18">
        <f t="shared" si="130"/>
        <v>1.3529499992728233E-2</v>
      </c>
      <c r="H202" s="399"/>
      <c r="I202" s="18">
        <f>I203+I204</f>
        <v>765645</v>
      </c>
      <c r="J202" s="18">
        <f t="shared" ref="J202:J282" si="154">I202-F202</f>
        <v>0</v>
      </c>
      <c r="K202" s="145"/>
      <c r="L202" s="18">
        <f>L203+L204</f>
        <v>755645</v>
      </c>
      <c r="M202" s="18">
        <f t="shared" ref="M202:M282" si="155">L202-I202</f>
        <v>-10000</v>
      </c>
      <c r="N202" s="145"/>
      <c r="O202" s="18">
        <f>O203+O204</f>
        <v>762015</v>
      </c>
      <c r="P202" s="18">
        <f t="shared" ref="P202:P282" si="156">O202-L202</f>
        <v>6370</v>
      </c>
      <c r="Q202" s="145"/>
      <c r="R202" s="18">
        <f>R203+R204</f>
        <v>762015</v>
      </c>
      <c r="S202" s="18">
        <f t="shared" si="137"/>
        <v>0</v>
      </c>
      <c r="T202" s="145"/>
      <c r="U202" s="18">
        <f>U203+U204</f>
        <v>762015</v>
      </c>
      <c r="V202" s="18">
        <f t="shared" si="138"/>
        <v>0</v>
      </c>
      <c r="W202" s="145"/>
      <c r="X202" s="18">
        <f>X203+X204</f>
        <v>762015</v>
      </c>
      <c r="Y202" s="18">
        <f t="shared" si="139"/>
        <v>0</v>
      </c>
      <c r="Z202" s="145"/>
      <c r="AA202" s="18">
        <f>AA203+AA204</f>
        <v>762015</v>
      </c>
      <c r="AB202" s="18">
        <f t="shared" si="140"/>
        <v>0</v>
      </c>
      <c r="AC202" s="399"/>
      <c r="AD202" s="18">
        <f>AD203+AD204</f>
        <v>762015</v>
      </c>
      <c r="AE202" s="18">
        <f t="shared" si="141"/>
        <v>0</v>
      </c>
      <c r="AF202" s="145"/>
      <c r="AG202" s="587">
        <f>AG203+AG204</f>
        <v>648123.56000000006</v>
      </c>
      <c r="AH202" s="211">
        <f t="shared" si="145"/>
        <v>0.85053911012250427</v>
      </c>
      <c r="AI202" s="515"/>
    </row>
    <row r="203" spans="2:35" ht="15" customHeight="1" x14ac:dyDescent="0.25">
      <c r="B203" s="60"/>
      <c r="C203" s="330" t="s">
        <v>723</v>
      </c>
      <c r="D203" s="440" t="s">
        <v>725</v>
      </c>
      <c r="E203" s="441">
        <v>765644.98647050001</v>
      </c>
      <c r="F203" s="441">
        <f>ROUND(E203,0)-126968</f>
        <v>638677</v>
      </c>
      <c r="G203" s="36">
        <f t="shared" si="130"/>
        <v>-126967.98647050001</v>
      </c>
      <c r="H203" s="310" t="s">
        <v>714</v>
      </c>
      <c r="I203" s="122">
        <f>ROUND(F203,0)-43878</f>
        <v>594799</v>
      </c>
      <c r="J203" s="122">
        <f t="shared" si="154"/>
        <v>-43878</v>
      </c>
      <c r="K203" s="310" t="s">
        <v>794</v>
      </c>
      <c r="L203" s="122">
        <f>ROUND(I203,0)-10000</f>
        <v>584799</v>
      </c>
      <c r="M203" s="122">
        <f t="shared" si="155"/>
        <v>-10000</v>
      </c>
      <c r="N203" s="310" t="s">
        <v>819</v>
      </c>
      <c r="O203" s="122">
        <f>ROUND(L203,0)+6370-926</f>
        <v>590243</v>
      </c>
      <c r="P203" s="122">
        <f t="shared" si="156"/>
        <v>5444</v>
      </c>
      <c r="Q203" s="310" t="s">
        <v>835</v>
      </c>
      <c r="R203" s="122">
        <f>ROUND(O203,0)</f>
        <v>590243</v>
      </c>
      <c r="S203" s="122">
        <f t="shared" si="137"/>
        <v>0</v>
      </c>
      <c r="T203" s="310"/>
      <c r="U203" s="122">
        <f>ROUND(R203,0)</f>
        <v>590243</v>
      </c>
      <c r="V203" s="122">
        <f t="shared" si="138"/>
        <v>0</v>
      </c>
      <c r="W203" s="310"/>
      <c r="X203" s="122">
        <f>ROUND(U203,0)</f>
        <v>590243</v>
      </c>
      <c r="Y203" s="122">
        <f t="shared" si="139"/>
        <v>0</v>
      </c>
      <c r="Z203" s="310"/>
      <c r="AA203" s="122">
        <f>ROUND(X203,0)-6827</f>
        <v>583416</v>
      </c>
      <c r="AB203" s="122">
        <f t="shared" si="140"/>
        <v>-6827</v>
      </c>
      <c r="AC203" s="606" t="s">
        <v>967</v>
      </c>
      <c r="AD203" s="122">
        <f>ROUND(AA203,0)</f>
        <v>583416</v>
      </c>
      <c r="AE203" s="122">
        <f t="shared" si="141"/>
        <v>0</v>
      </c>
      <c r="AF203" s="606"/>
      <c r="AG203" s="474">
        <f>648123.56-AG204</f>
        <v>480188.31000000006</v>
      </c>
      <c r="AH203" s="208">
        <f t="shared" si="145"/>
        <v>0.82306332016948469</v>
      </c>
      <c r="AI203" s="474" t="s">
        <v>809</v>
      </c>
    </row>
    <row r="204" spans="2:35" ht="15" customHeight="1" x14ac:dyDescent="0.25">
      <c r="B204" s="60"/>
      <c r="C204" s="84" t="s">
        <v>724</v>
      </c>
      <c r="D204" s="440" t="s">
        <v>713</v>
      </c>
      <c r="E204" s="441">
        <v>0</v>
      </c>
      <c r="F204" s="441">
        <v>126968</v>
      </c>
      <c r="G204" s="53">
        <f t="shared" si="130"/>
        <v>126968</v>
      </c>
      <c r="H204" s="420"/>
      <c r="I204" s="122">
        <f>ROUND(F204,0)+43878</f>
        <v>170846</v>
      </c>
      <c r="J204" s="122">
        <f t="shared" si="154"/>
        <v>43878</v>
      </c>
      <c r="K204" s="310" t="s">
        <v>794</v>
      </c>
      <c r="L204" s="122">
        <f t="shared" si="146"/>
        <v>170846</v>
      </c>
      <c r="M204" s="122">
        <f t="shared" si="155"/>
        <v>0</v>
      </c>
      <c r="N204" s="310"/>
      <c r="O204" s="122">
        <f>ROUND(L204,0)+926</f>
        <v>171772</v>
      </c>
      <c r="P204" s="122">
        <f t="shared" si="156"/>
        <v>926</v>
      </c>
      <c r="Q204" s="310" t="s">
        <v>834</v>
      </c>
      <c r="R204" s="122">
        <f>ROUND(O204,0)</f>
        <v>171772</v>
      </c>
      <c r="S204" s="122">
        <f t="shared" si="137"/>
        <v>0</v>
      </c>
      <c r="T204" s="310"/>
      <c r="U204" s="122">
        <f>ROUND(R204,0)</f>
        <v>171772</v>
      </c>
      <c r="V204" s="122">
        <f t="shared" si="138"/>
        <v>0</v>
      </c>
      <c r="W204" s="310"/>
      <c r="X204" s="122">
        <f>ROUND(U204,0)</f>
        <v>171772</v>
      </c>
      <c r="Y204" s="122">
        <f t="shared" si="139"/>
        <v>0</v>
      </c>
      <c r="Z204" s="310"/>
      <c r="AA204" s="122">
        <f>ROUND(X204,0)+6827</f>
        <v>178599</v>
      </c>
      <c r="AB204" s="122">
        <f t="shared" si="140"/>
        <v>6827</v>
      </c>
      <c r="AC204" s="607"/>
      <c r="AD204" s="122">
        <f>ROUND(AA204,0)</f>
        <v>178599</v>
      </c>
      <c r="AE204" s="122">
        <f t="shared" si="141"/>
        <v>0</v>
      </c>
      <c r="AF204" s="607"/>
      <c r="AG204" s="585">
        <v>167935.25</v>
      </c>
      <c r="AH204" s="208">
        <f t="shared" si="145"/>
        <v>0.94029221888140468</v>
      </c>
      <c r="AI204" s="504"/>
    </row>
    <row r="205" spans="2:35" ht="15.6" customHeight="1" x14ac:dyDescent="0.25">
      <c r="B205" s="60" t="s">
        <v>217</v>
      </c>
      <c r="C205" s="81" t="s">
        <v>360</v>
      </c>
      <c r="D205" s="296" t="s">
        <v>170</v>
      </c>
      <c r="E205" s="37">
        <v>4000</v>
      </c>
      <c r="F205" s="37">
        <f t="shared" si="152"/>
        <v>4000</v>
      </c>
      <c r="G205" s="18">
        <f t="shared" si="130"/>
        <v>0</v>
      </c>
      <c r="H205" s="277"/>
      <c r="I205" s="18">
        <f>ROUND(F205,0)</f>
        <v>4000</v>
      </c>
      <c r="J205" s="18">
        <f t="shared" si="154"/>
        <v>0</v>
      </c>
      <c r="K205" s="165"/>
      <c r="L205" s="18">
        <f t="shared" si="146"/>
        <v>4000</v>
      </c>
      <c r="M205" s="18">
        <f t="shared" si="155"/>
        <v>0</v>
      </c>
      <c r="N205" s="165"/>
      <c r="O205" s="18">
        <f t="shared" si="147"/>
        <v>4000</v>
      </c>
      <c r="P205" s="18">
        <f t="shared" si="156"/>
        <v>0</v>
      </c>
      <c r="Q205" s="165"/>
      <c r="R205" s="18">
        <f>ROUND(O205,0)</f>
        <v>4000</v>
      </c>
      <c r="S205" s="18">
        <f t="shared" si="137"/>
        <v>0</v>
      </c>
      <c r="T205" s="165"/>
      <c r="U205" s="18">
        <f>ROUND(R205,0)</f>
        <v>4000</v>
      </c>
      <c r="V205" s="18">
        <f t="shared" si="138"/>
        <v>0</v>
      </c>
      <c r="W205" s="165"/>
      <c r="X205" s="18">
        <f>ROUND(U205,0)</f>
        <v>4000</v>
      </c>
      <c r="Y205" s="18">
        <f t="shared" si="139"/>
        <v>0</v>
      </c>
      <c r="Z205" s="165"/>
      <c r="AA205" s="18">
        <f>ROUND(X205,0)</f>
        <v>4000</v>
      </c>
      <c r="AB205" s="18">
        <f t="shared" si="140"/>
        <v>0</v>
      </c>
      <c r="AC205" s="277"/>
      <c r="AD205" s="18">
        <f>ROUND(AA205,0)</f>
        <v>4000</v>
      </c>
      <c r="AE205" s="18">
        <f t="shared" si="141"/>
        <v>0</v>
      </c>
      <c r="AF205" s="165"/>
      <c r="AG205" s="510">
        <v>4000</v>
      </c>
      <c r="AH205" s="211">
        <f t="shared" si="145"/>
        <v>1</v>
      </c>
      <c r="AI205" s="515"/>
    </row>
    <row r="206" spans="2:35" ht="15.6" customHeight="1" x14ac:dyDescent="0.25">
      <c r="B206" s="60" t="s">
        <v>532</v>
      </c>
      <c r="C206" s="81" t="s">
        <v>484</v>
      </c>
      <c r="D206" s="296" t="s">
        <v>238</v>
      </c>
      <c r="E206" s="37">
        <v>19228</v>
      </c>
      <c r="F206" s="37">
        <f t="shared" si="152"/>
        <v>19228</v>
      </c>
      <c r="G206" s="18">
        <f t="shared" si="130"/>
        <v>0</v>
      </c>
      <c r="H206" s="277"/>
      <c r="I206" s="18">
        <f>ROUND(F206,0)</f>
        <v>19228</v>
      </c>
      <c r="J206" s="18">
        <f t="shared" si="154"/>
        <v>0</v>
      </c>
      <c r="K206" s="165"/>
      <c r="L206" s="18">
        <f t="shared" si="146"/>
        <v>19228</v>
      </c>
      <c r="M206" s="18">
        <f t="shared" si="155"/>
        <v>0</v>
      </c>
      <c r="N206" s="165"/>
      <c r="O206" s="18">
        <f t="shared" si="147"/>
        <v>19228</v>
      </c>
      <c r="P206" s="18">
        <f t="shared" si="156"/>
        <v>0</v>
      </c>
      <c r="Q206" s="165"/>
      <c r="R206" s="18">
        <f>ROUND(O206,0)</f>
        <v>19228</v>
      </c>
      <c r="S206" s="18">
        <f t="shared" si="137"/>
        <v>0</v>
      </c>
      <c r="T206" s="165"/>
      <c r="U206" s="18">
        <f>ROUND(R206,0)</f>
        <v>19228</v>
      </c>
      <c r="V206" s="18">
        <f t="shared" si="138"/>
        <v>0</v>
      </c>
      <c r="W206" s="165"/>
      <c r="X206" s="18">
        <f>ROUND(U206,0)</f>
        <v>19228</v>
      </c>
      <c r="Y206" s="18">
        <f t="shared" si="139"/>
        <v>0</v>
      </c>
      <c r="Z206" s="165"/>
      <c r="AA206" s="18">
        <f>ROUND(X206,0)</f>
        <v>19228</v>
      </c>
      <c r="AB206" s="18">
        <f t="shared" si="140"/>
        <v>0</v>
      </c>
      <c r="AC206" s="277"/>
      <c r="AD206" s="18">
        <f>ROUND(AA206,0)</f>
        <v>19228</v>
      </c>
      <c r="AE206" s="18">
        <f t="shared" si="141"/>
        <v>0</v>
      </c>
      <c r="AF206" s="165"/>
      <c r="AG206" s="510">
        <v>0</v>
      </c>
      <c r="AH206" s="211">
        <f t="shared" si="145"/>
        <v>0</v>
      </c>
      <c r="AI206" s="515"/>
    </row>
    <row r="207" spans="2:35" s="4" customFormat="1" ht="15.6" customHeight="1" x14ac:dyDescent="0.2">
      <c r="C207" s="82" t="s">
        <v>75</v>
      </c>
      <c r="D207" s="306" t="s">
        <v>172</v>
      </c>
      <c r="E207" s="13">
        <v>3797025.7610668591</v>
      </c>
      <c r="F207" s="13">
        <f t="shared" ref="F207:L207" si="157">F208+F215+F218+F223+F224+F225+F226+F227+F228</f>
        <v>3834372</v>
      </c>
      <c r="G207" s="13">
        <f t="shared" si="157"/>
        <v>37346.238933140878</v>
      </c>
      <c r="H207" s="13">
        <f t="shared" si="157"/>
        <v>0</v>
      </c>
      <c r="I207" s="13">
        <f t="shared" si="157"/>
        <v>3834372</v>
      </c>
      <c r="J207" s="13">
        <f t="shared" si="157"/>
        <v>0</v>
      </c>
      <c r="K207" s="13">
        <f t="shared" si="157"/>
        <v>0</v>
      </c>
      <c r="L207" s="13">
        <f t="shared" si="157"/>
        <v>3806675</v>
      </c>
      <c r="M207" s="13">
        <f t="shared" si="155"/>
        <v>-27697</v>
      </c>
      <c r="N207" s="13"/>
      <c r="O207" s="13">
        <f>O208+O215+O218+O223+O224+O225+O226+O227+O228</f>
        <v>3850931</v>
      </c>
      <c r="P207" s="13">
        <f t="shared" si="156"/>
        <v>44256</v>
      </c>
      <c r="Q207" s="13"/>
      <c r="R207" s="13">
        <f>R208+R215+R218+R223+R224+R225+R226+R227+R228</f>
        <v>3850931</v>
      </c>
      <c r="S207" s="13">
        <f t="shared" si="137"/>
        <v>0</v>
      </c>
      <c r="T207" s="13"/>
      <c r="U207" s="13">
        <f>U208+U215+U218+U223+U224+U225+U226+U227+U228</f>
        <v>3870931</v>
      </c>
      <c r="V207" s="13">
        <f t="shared" si="138"/>
        <v>20000</v>
      </c>
      <c r="W207" s="13"/>
      <c r="X207" s="13">
        <f>X208+X215+X218+X223+X224+X225+X226+X227+X228</f>
        <v>3832063</v>
      </c>
      <c r="Y207" s="13">
        <f t="shared" si="139"/>
        <v>-38868</v>
      </c>
      <c r="Z207" s="13"/>
      <c r="AA207" s="13">
        <f>AA208+AA215+AA218+AA223+AA224+AA225+AA226+AA227+AA228</f>
        <v>3832063</v>
      </c>
      <c r="AB207" s="13">
        <f t="shared" si="140"/>
        <v>0</v>
      </c>
      <c r="AC207" s="279"/>
      <c r="AD207" s="13">
        <f>AD208+AD215+AD218+AD223+AD224+AD225+AD226+AD227+AD228</f>
        <v>3912563</v>
      </c>
      <c r="AE207" s="13">
        <f t="shared" si="141"/>
        <v>80500</v>
      </c>
      <c r="AF207" s="13"/>
      <c r="AG207" s="593">
        <f>AG208+AG215+AG218+AG223+AG224+AG225+AG227+AG228+AG226</f>
        <v>2891184.52</v>
      </c>
      <c r="AH207" s="199">
        <f t="shared" si="145"/>
        <v>0.73894900094899429</v>
      </c>
      <c r="AI207" s="526"/>
    </row>
    <row r="208" spans="2:35" s="4" customFormat="1" ht="15" customHeight="1" x14ac:dyDescent="0.25">
      <c r="C208" s="81" t="s">
        <v>77</v>
      </c>
      <c r="D208" s="296" t="s">
        <v>173</v>
      </c>
      <c r="E208" s="37">
        <v>2756987.0633929078</v>
      </c>
      <c r="F208" s="37">
        <f t="shared" ref="F208:G208" si="158">F209+F210+F211+F212+F214</f>
        <v>2756987</v>
      </c>
      <c r="G208" s="18">
        <f t="shared" si="158"/>
        <v>-6.3392907846719027E-2</v>
      </c>
      <c r="H208" s="280"/>
      <c r="I208" s="18">
        <f>SUM(I209:I214)</f>
        <v>2756987</v>
      </c>
      <c r="J208" s="18">
        <f>SUM(J209:J214)</f>
        <v>0</v>
      </c>
      <c r="K208" s="18">
        <f>SUM(K209:K214)</f>
        <v>0</v>
      </c>
      <c r="L208" s="18">
        <f>SUM(L209:L214)</f>
        <v>2756987</v>
      </c>
      <c r="M208" s="18">
        <f t="shared" si="155"/>
        <v>0</v>
      </c>
      <c r="N208" s="18"/>
      <c r="O208" s="18">
        <f>SUM(O209:O214)</f>
        <v>2756959</v>
      </c>
      <c r="P208" s="18">
        <f t="shared" si="156"/>
        <v>-28</v>
      </c>
      <c r="Q208" s="18"/>
      <c r="R208" s="18">
        <f>SUM(R209:R214)</f>
        <v>2756959</v>
      </c>
      <c r="S208" s="18">
        <f t="shared" si="137"/>
        <v>0</v>
      </c>
      <c r="T208" s="18"/>
      <c r="U208" s="18">
        <f>SUM(U209:U214)</f>
        <v>2756959</v>
      </c>
      <c r="V208" s="18">
        <f t="shared" si="138"/>
        <v>0</v>
      </c>
      <c r="W208" s="18"/>
      <c r="X208" s="18">
        <f>SUM(X209:X214)</f>
        <v>2718091</v>
      </c>
      <c r="Y208" s="18">
        <f t="shared" si="139"/>
        <v>-38868</v>
      </c>
      <c r="Z208" s="18"/>
      <c r="AA208" s="18">
        <f>SUM(AA209:AA214)</f>
        <v>2718091</v>
      </c>
      <c r="AB208" s="18">
        <f t="shared" si="140"/>
        <v>0</v>
      </c>
      <c r="AC208" s="280"/>
      <c r="AD208" s="18">
        <f>SUM(AD209:AD214)</f>
        <v>2795091</v>
      </c>
      <c r="AE208" s="18">
        <f t="shared" si="141"/>
        <v>77000</v>
      </c>
      <c r="AF208" s="18"/>
      <c r="AG208" s="587">
        <f>AG209+AG210+AG211+AG212+AG214</f>
        <v>2406045.44</v>
      </c>
      <c r="AH208" s="211">
        <f t="shared" si="145"/>
        <v>0.86081112922620406</v>
      </c>
      <c r="AI208" s="515"/>
    </row>
    <row r="209" spans="2:35" s="35" customFormat="1" ht="18.600000000000001" customHeight="1" outlineLevel="1" x14ac:dyDescent="0.25">
      <c r="B209" s="35">
        <v>1010</v>
      </c>
      <c r="C209" s="330" t="s">
        <v>361</v>
      </c>
      <c r="D209" s="295" t="s">
        <v>344</v>
      </c>
      <c r="E209" s="38">
        <v>650934.06339290785</v>
      </c>
      <c r="F209" s="38">
        <f>ROUND(E209,0)</f>
        <v>650934</v>
      </c>
      <c r="G209" s="36">
        <f t="shared" si="130"/>
        <v>-6.3392907846719027E-2</v>
      </c>
      <c r="H209" s="428"/>
      <c r="I209" s="36">
        <f>ROUND(F209,0)</f>
        <v>650934</v>
      </c>
      <c r="J209" s="36">
        <f t="shared" si="154"/>
        <v>0</v>
      </c>
      <c r="K209" s="170"/>
      <c r="L209" s="36">
        <f>ROUND(I209,0)</f>
        <v>650934</v>
      </c>
      <c r="M209" s="36">
        <f t="shared" si="155"/>
        <v>0</v>
      </c>
      <c r="N209" s="170"/>
      <c r="O209" s="36">
        <f>ROUND(L209,0)-1186</f>
        <v>649748</v>
      </c>
      <c r="P209" s="36">
        <f t="shared" si="156"/>
        <v>-1186</v>
      </c>
      <c r="Q209" s="310" t="s">
        <v>841</v>
      </c>
      <c r="R209" s="36">
        <f>ROUND(O209,0)</f>
        <v>649748</v>
      </c>
      <c r="S209" s="36">
        <f t="shared" si="137"/>
        <v>0</v>
      </c>
      <c r="T209" s="310"/>
      <c r="U209" s="36">
        <f>ROUND(R209,0)</f>
        <v>649748</v>
      </c>
      <c r="V209" s="36">
        <f t="shared" si="138"/>
        <v>0</v>
      </c>
      <c r="W209" s="310"/>
      <c r="X209" s="36">
        <f>ROUND(U209,0)</f>
        <v>649748</v>
      </c>
      <c r="Y209" s="36">
        <f t="shared" si="139"/>
        <v>0</v>
      </c>
      <c r="Z209" s="310"/>
      <c r="AA209" s="36">
        <f>ROUND(X209,0)</f>
        <v>649748</v>
      </c>
      <c r="AB209" s="36">
        <f t="shared" si="140"/>
        <v>0</v>
      </c>
      <c r="AC209" s="420"/>
      <c r="AD209" s="36">
        <f>ROUND(AA209,0)</f>
        <v>649748</v>
      </c>
      <c r="AE209" s="36">
        <f t="shared" si="141"/>
        <v>0</v>
      </c>
      <c r="AF209" s="310"/>
      <c r="AG209" s="473">
        <f>1833288.34-AG210-AG213</f>
        <v>632845.28</v>
      </c>
      <c r="AH209" s="225">
        <f t="shared" si="145"/>
        <v>0.9739857298521889</v>
      </c>
      <c r="AI209" s="508"/>
    </row>
    <row r="210" spans="2:35" s="35" customFormat="1" ht="20.25" customHeight="1" outlineLevel="1" x14ac:dyDescent="0.25">
      <c r="B210" s="35">
        <v>1010</v>
      </c>
      <c r="C210" s="84" t="s">
        <v>362</v>
      </c>
      <c r="D210" s="295" t="s">
        <v>225</v>
      </c>
      <c r="E210" s="38">
        <v>1598833</v>
      </c>
      <c r="F210" s="38">
        <f>ROUND(E210,0)</f>
        <v>1598833</v>
      </c>
      <c r="G210" s="53">
        <f t="shared" si="130"/>
        <v>0</v>
      </c>
      <c r="H210" s="392"/>
      <c r="I210" s="36">
        <f>ROUND(F210,0)</f>
        <v>1598833</v>
      </c>
      <c r="J210" s="53">
        <f t="shared" si="154"/>
        <v>0</v>
      </c>
      <c r="K210" s="179"/>
      <c r="L210" s="36">
        <f>ROUND(I210,0)</f>
        <v>1598833</v>
      </c>
      <c r="M210" s="53">
        <f t="shared" si="155"/>
        <v>0</v>
      </c>
      <c r="N210" s="179"/>
      <c r="O210" s="36">
        <f>ROUND(L210,0)</f>
        <v>1598833</v>
      </c>
      <c r="P210" s="53">
        <f t="shared" si="156"/>
        <v>0</v>
      </c>
      <c r="Q210" s="179"/>
      <c r="R210" s="36">
        <f>ROUND(O210,0)</f>
        <v>1598833</v>
      </c>
      <c r="S210" s="53">
        <f t="shared" si="137"/>
        <v>0</v>
      </c>
      <c r="T210" s="179"/>
      <c r="U210" s="36">
        <f>ROUND(R210,0)</f>
        <v>1598833</v>
      </c>
      <c r="V210" s="53">
        <f t="shared" si="138"/>
        <v>0</v>
      </c>
      <c r="W210" s="179" t="s">
        <v>919</v>
      </c>
      <c r="X210" s="36">
        <f>ROUND(U210,0)-35046-3822</f>
        <v>1559965</v>
      </c>
      <c r="Y210" s="53">
        <f t="shared" si="139"/>
        <v>-38868</v>
      </c>
      <c r="Z210" s="179" t="s">
        <v>953</v>
      </c>
      <c r="AA210" s="36">
        <f>ROUND(X210,0)</f>
        <v>1559965</v>
      </c>
      <c r="AB210" s="53">
        <f t="shared" si="140"/>
        <v>0</v>
      </c>
      <c r="AC210" s="427"/>
      <c r="AD210" s="36">
        <f>ROUND(AA210,0)</f>
        <v>1559965</v>
      </c>
      <c r="AE210" s="53">
        <f t="shared" si="141"/>
        <v>0</v>
      </c>
      <c r="AF210" s="179"/>
      <c r="AG210" s="590">
        <v>1199569</v>
      </c>
      <c r="AH210" s="225">
        <f t="shared" si="145"/>
        <v>0.76897173975057131</v>
      </c>
      <c r="AI210" s="590" t="s">
        <v>862</v>
      </c>
    </row>
    <row r="211" spans="2:35" s="35" customFormat="1" ht="17.45" customHeight="1" outlineLevel="1" x14ac:dyDescent="0.25">
      <c r="B211" s="35">
        <v>1010</v>
      </c>
      <c r="C211" s="84" t="s">
        <v>363</v>
      </c>
      <c r="D211" s="304" t="s">
        <v>223</v>
      </c>
      <c r="E211" s="38">
        <v>0</v>
      </c>
      <c r="F211" s="38">
        <f>ROUND(E211,0)</f>
        <v>0</v>
      </c>
      <c r="G211" s="92">
        <f t="shared" si="130"/>
        <v>0</v>
      </c>
      <c r="H211" s="427"/>
      <c r="I211" s="36">
        <f>ROUND(F211,0)</f>
        <v>0</v>
      </c>
      <c r="J211" s="92">
        <f t="shared" si="154"/>
        <v>0</v>
      </c>
      <c r="K211" s="179"/>
      <c r="L211" s="36">
        <f>ROUND(I211,0)</f>
        <v>0</v>
      </c>
      <c r="M211" s="92">
        <f t="shared" si="155"/>
        <v>0</v>
      </c>
      <c r="N211" s="179"/>
      <c r="O211" s="36">
        <f>ROUND(L211,0)</f>
        <v>0</v>
      </c>
      <c r="P211" s="92">
        <f t="shared" si="156"/>
        <v>0</v>
      </c>
      <c r="Q211" s="179"/>
      <c r="R211" s="36">
        <f>ROUND(O211,0)</f>
        <v>0</v>
      </c>
      <c r="S211" s="92">
        <f t="shared" si="137"/>
        <v>0</v>
      </c>
      <c r="T211" s="179"/>
      <c r="U211" s="36">
        <f>ROUND(R211,0)</f>
        <v>0</v>
      </c>
      <c r="V211" s="92">
        <f t="shared" si="138"/>
        <v>0</v>
      </c>
      <c r="W211" s="179"/>
      <c r="X211" s="36">
        <f>ROUND(U211,0)</f>
        <v>0</v>
      </c>
      <c r="Y211" s="92">
        <f t="shared" si="139"/>
        <v>0</v>
      </c>
      <c r="Z211" s="179"/>
      <c r="AA211" s="36">
        <f>ROUND(X211,0)</f>
        <v>0</v>
      </c>
      <c r="AB211" s="92">
        <f t="shared" si="140"/>
        <v>0</v>
      </c>
      <c r="AC211" s="427"/>
      <c r="AD211" s="36">
        <f>ROUND(AA211,0)</f>
        <v>0</v>
      </c>
      <c r="AE211" s="92">
        <f t="shared" si="141"/>
        <v>0</v>
      </c>
      <c r="AF211" s="179"/>
      <c r="AG211" s="504">
        <v>0</v>
      </c>
      <c r="AH211" s="225" t="e">
        <f t="shared" si="145"/>
        <v>#DIV/0!</v>
      </c>
      <c r="AI211" s="508"/>
    </row>
    <row r="212" spans="2:35" s="35" customFormat="1" outlineLevel="1" x14ac:dyDescent="0.25">
      <c r="B212" s="35">
        <v>1012</v>
      </c>
      <c r="C212" s="84" t="s">
        <v>364</v>
      </c>
      <c r="D212" s="295" t="s">
        <v>227</v>
      </c>
      <c r="E212" s="38">
        <v>501000</v>
      </c>
      <c r="F212" s="38">
        <f>ROUND(E212,0)</f>
        <v>501000</v>
      </c>
      <c r="G212" s="36">
        <f t="shared" si="130"/>
        <v>0</v>
      </c>
      <c r="H212" s="428"/>
      <c r="I212" s="36">
        <f>ROUND(F212,0)</f>
        <v>501000</v>
      </c>
      <c r="J212" s="36">
        <f t="shared" si="154"/>
        <v>0</v>
      </c>
      <c r="K212" s="178"/>
      <c r="L212" s="36">
        <f>ROUND(I212,0)</f>
        <v>501000</v>
      </c>
      <c r="M212" s="36">
        <f t="shared" si="155"/>
        <v>0</v>
      </c>
      <c r="N212" s="178"/>
      <c r="O212" s="36">
        <f>ROUND(L212,0)</f>
        <v>501000</v>
      </c>
      <c r="P212" s="36">
        <f t="shared" si="156"/>
        <v>0</v>
      </c>
      <c r="Q212" s="178"/>
      <c r="R212" s="36">
        <f>ROUND(O212,0)</f>
        <v>501000</v>
      </c>
      <c r="S212" s="36">
        <f t="shared" si="137"/>
        <v>0</v>
      </c>
      <c r="T212" s="178"/>
      <c r="U212" s="36">
        <f>ROUND(R212,0)</f>
        <v>501000</v>
      </c>
      <c r="V212" s="36">
        <f t="shared" si="138"/>
        <v>0</v>
      </c>
      <c r="W212" s="178"/>
      <c r="X212" s="36">
        <f>ROUND(U212,0)</f>
        <v>501000</v>
      </c>
      <c r="Y212" s="36">
        <f t="shared" si="139"/>
        <v>0</v>
      </c>
      <c r="Z212" s="178"/>
      <c r="AA212" s="36">
        <f>ROUND(X212,0)</f>
        <v>501000</v>
      </c>
      <c r="AB212" s="36">
        <f t="shared" si="140"/>
        <v>0</v>
      </c>
      <c r="AC212" s="428"/>
      <c r="AD212" s="36">
        <f>ROUND(AA212,0)+77000</f>
        <v>578000</v>
      </c>
      <c r="AE212" s="36">
        <f t="shared" si="141"/>
        <v>77000</v>
      </c>
      <c r="AF212" s="135" t="s">
        <v>985</v>
      </c>
      <c r="AG212" s="473">
        <v>570345.30000000005</v>
      </c>
      <c r="AH212" s="225">
        <f t="shared" si="145"/>
        <v>0.98675657439446374</v>
      </c>
      <c r="AI212" s="508"/>
    </row>
    <row r="213" spans="2:35" s="35" customFormat="1" outlineLevel="1" x14ac:dyDescent="0.25">
      <c r="C213" s="84" t="s">
        <v>365</v>
      </c>
      <c r="D213" s="505" t="s">
        <v>840</v>
      </c>
      <c r="E213" s="506"/>
      <c r="F213" s="506"/>
      <c r="G213" s="473"/>
      <c r="H213" s="507"/>
      <c r="I213" s="473"/>
      <c r="J213" s="473"/>
      <c r="K213" s="509"/>
      <c r="L213" s="473"/>
      <c r="M213" s="473"/>
      <c r="N213" s="509"/>
      <c r="O213" s="473">
        <f>1186</f>
        <v>1186</v>
      </c>
      <c r="P213" s="36">
        <f t="shared" si="156"/>
        <v>1186</v>
      </c>
      <c r="Q213" s="310" t="s">
        <v>841</v>
      </c>
      <c r="R213" s="473">
        <f>1186</f>
        <v>1186</v>
      </c>
      <c r="S213" s="36">
        <f t="shared" si="137"/>
        <v>0</v>
      </c>
      <c r="T213" s="310"/>
      <c r="U213" s="473">
        <f>1186</f>
        <v>1186</v>
      </c>
      <c r="V213" s="36">
        <f t="shared" si="138"/>
        <v>0</v>
      </c>
      <c r="W213" s="310"/>
      <c r="X213" s="473">
        <f>1186</f>
        <v>1186</v>
      </c>
      <c r="Y213" s="36">
        <f t="shared" si="139"/>
        <v>0</v>
      </c>
      <c r="Z213" s="310"/>
      <c r="AA213" s="473">
        <f>1186</f>
        <v>1186</v>
      </c>
      <c r="AB213" s="36">
        <f t="shared" si="140"/>
        <v>0</v>
      </c>
      <c r="AC213" s="420"/>
      <c r="AD213" s="473">
        <f>1186</f>
        <v>1186</v>
      </c>
      <c r="AE213" s="36">
        <f t="shared" si="141"/>
        <v>0</v>
      </c>
      <c r="AF213" s="310"/>
      <c r="AG213" s="585">
        <v>874.06</v>
      </c>
      <c r="AH213" s="225">
        <f t="shared" si="145"/>
        <v>0.73698145025295103</v>
      </c>
      <c r="AI213" s="508"/>
    </row>
    <row r="214" spans="2:35" s="35" customFormat="1" outlineLevel="1" x14ac:dyDescent="0.25">
      <c r="B214" s="35">
        <v>1015</v>
      </c>
      <c r="C214" s="84" t="s">
        <v>839</v>
      </c>
      <c r="D214" s="295" t="s">
        <v>291</v>
      </c>
      <c r="E214" s="372">
        <v>6220</v>
      </c>
      <c r="F214" s="372">
        <f>ROUND(E214,0)</f>
        <v>6220</v>
      </c>
      <c r="G214" s="53">
        <f t="shared" si="130"/>
        <v>0</v>
      </c>
      <c r="H214" s="429"/>
      <c r="I214" s="53">
        <f>ROUND(F214,0)</f>
        <v>6220</v>
      </c>
      <c r="J214" s="53">
        <f t="shared" si="154"/>
        <v>0</v>
      </c>
      <c r="K214" s="180"/>
      <c r="L214" s="53">
        <f>ROUND(I214,0)</f>
        <v>6220</v>
      </c>
      <c r="M214" s="53">
        <f t="shared" si="155"/>
        <v>0</v>
      </c>
      <c r="N214" s="180"/>
      <c r="O214" s="53">
        <f>ROUND(L214,0)-28</f>
        <v>6192</v>
      </c>
      <c r="P214" s="53">
        <f t="shared" si="156"/>
        <v>-28</v>
      </c>
      <c r="Q214" s="180" t="s">
        <v>845</v>
      </c>
      <c r="R214" s="53">
        <f>ROUND(O214,0)</f>
        <v>6192</v>
      </c>
      <c r="S214" s="53">
        <f t="shared" si="137"/>
        <v>0</v>
      </c>
      <c r="T214" s="180"/>
      <c r="U214" s="53">
        <f>ROUND(R214,0)</f>
        <v>6192</v>
      </c>
      <c r="V214" s="53">
        <f t="shared" si="138"/>
        <v>0</v>
      </c>
      <c r="W214" s="180"/>
      <c r="X214" s="53">
        <f>ROUND(U214,0)</f>
        <v>6192</v>
      </c>
      <c r="Y214" s="53">
        <f t="shared" si="139"/>
        <v>0</v>
      </c>
      <c r="Z214" s="180"/>
      <c r="AA214" s="53">
        <f>ROUND(X214,0)</f>
        <v>6192</v>
      </c>
      <c r="AB214" s="53">
        <f t="shared" si="140"/>
        <v>0</v>
      </c>
      <c r="AC214" s="429"/>
      <c r="AD214" s="53">
        <f>ROUND(AA214,0)</f>
        <v>6192</v>
      </c>
      <c r="AE214" s="53">
        <f t="shared" si="141"/>
        <v>0</v>
      </c>
      <c r="AF214" s="180"/>
      <c r="AG214" s="473">
        <v>3285.86</v>
      </c>
      <c r="AH214" s="226">
        <f t="shared" si="145"/>
        <v>0.53066214470284245</v>
      </c>
      <c r="AI214" s="508"/>
    </row>
    <row r="215" spans="2:35" s="4" customFormat="1" ht="19.5" customHeight="1" x14ac:dyDescent="0.25">
      <c r="C215" s="81" t="s">
        <v>79</v>
      </c>
      <c r="D215" s="296" t="s">
        <v>174</v>
      </c>
      <c r="E215" s="37">
        <v>14014</v>
      </c>
      <c r="F215" s="37">
        <f>F216+F217</f>
        <v>14244</v>
      </c>
      <c r="G215" s="18">
        <f t="shared" si="130"/>
        <v>230</v>
      </c>
      <c r="H215" s="399"/>
      <c r="I215" s="18">
        <f>I216+I217</f>
        <v>14244</v>
      </c>
      <c r="J215" s="18">
        <f t="shared" si="154"/>
        <v>0</v>
      </c>
      <c r="K215" s="145"/>
      <c r="L215" s="18">
        <f>L216+L217</f>
        <v>14244</v>
      </c>
      <c r="M215" s="18">
        <f t="shared" si="155"/>
        <v>0</v>
      </c>
      <c r="N215" s="145"/>
      <c r="O215" s="18">
        <f>O216+O217</f>
        <v>14244</v>
      </c>
      <c r="P215" s="18">
        <f t="shared" si="156"/>
        <v>0</v>
      </c>
      <c r="Q215" s="145"/>
      <c r="R215" s="18">
        <f>R216+R217</f>
        <v>14244</v>
      </c>
      <c r="S215" s="18">
        <f t="shared" si="137"/>
        <v>0</v>
      </c>
      <c r="T215" s="145"/>
      <c r="U215" s="18">
        <f>U216+U217</f>
        <v>14244</v>
      </c>
      <c r="V215" s="18">
        <f t="shared" si="138"/>
        <v>0</v>
      </c>
      <c r="W215" s="145"/>
      <c r="X215" s="18">
        <f>X216+X217</f>
        <v>14244</v>
      </c>
      <c r="Y215" s="18">
        <f t="shared" si="139"/>
        <v>0</v>
      </c>
      <c r="Z215" s="145"/>
      <c r="AA215" s="18">
        <f>AA216+AA217</f>
        <v>14244</v>
      </c>
      <c r="AB215" s="18">
        <f t="shared" si="140"/>
        <v>0</v>
      </c>
      <c r="AC215" s="399"/>
      <c r="AD215" s="18">
        <f>AD216+AD217</f>
        <v>14244</v>
      </c>
      <c r="AE215" s="18">
        <f t="shared" si="141"/>
        <v>0</v>
      </c>
      <c r="AF215" s="145"/>
      <c r="AG215" s="510">
        <f>AG216+AG217</f>
        <v>390</v>
      </c>
      <c r="AH215" s="211">
        <f t="shared" si="145"/>
        <v>2.737994945240101E-2</v>
      </c>
      <c r="AI215" s="515"/>
    </row>
    <row r="216" spans="2:35" s="35" customFormat="1" outlineLevel="1" x14ac:dyDescent="0.25">
      <c r="B216" s="35">
        <v>1011</v>
      </c>
      <c r="C216" s="84" t="s">
        <v>181</v>
      </c>
      <c r="D216" s="295" t="s">
        <v>229</v>
      </c>
      <c r="E216" s="38">
        <v>1407</v>
      </c>
      <c r="F216" s="38">
        <f>ROUND(E216,0)</f>
        <v>1407</v>
      </c>
      <c r="G216" s="36">
        <f t="shared" si="130"/>
        <v>0</v>
      </c>
      <c r="H216" s="428"/>
      <c r="I216" s="36">
        <f>ROUND(F216,0)</f>
        <v>1407</v>
      </c>
      <c r="J216" s="36">
        <f t="shared" si="154"/>
        <v>0</v>
      </c>
      <c r="K216" s="178"/>
      <c r="L216" s="36">
        <f>ROUND(I216,0)</f>
        <v>1407</v>
      </c>
      <c r="M216" s="36">
        <f t="shared" si="155"/>
        <v>0</v>
      </c>
      <c r="N216" s="178"/>
      <c r="O216" s="36">
        <f>ROUND(L216,0)</f>
        <v>1407</v>
      </c>
      <c r="P216" s="36">
        <f t="shared" si="156"/>
        <v>0</v>
      </c>
      <c r="Q216" s="178"/>
      <c r="R216" s="36">
        <f>ROUND(O216,0)</f>
        <v>1407</v>
      </c>
      <c r="S216" s="36">
        <f t="shared" si="137"/>
        <v>0</v>
      </c>
      <c r="T216" s="178"/>
      <c r="U216" s="36">
        <f>ROUND(R216,0)</f>
        <v>1407</v>
      </c>
      <c r="V216" s="36">
        <f t="shared" si="138"/>
        <v>0</v>
      </c>
      <c r="W216" s="178"/>
      <c r="X216" s="36">
        <f>ROUND(U216,0)</f>
        <v>1407</v>
      </c>
      <c r="Y216" s="36">
        <f t="shared" si="139"/>
        <v>0</v>
      </c>
      <c r="Z216" s="178"/>
      <c r="AA216" s="36">
        <f>ROUND(X216,0)</f>
        <v>1407</v>
      </c>
      <c r="AB216" s="36">
        <f t="shared" si="140"/>
        <v>0</v>
      </c>
      <c r="AC216" s="428"/>
      <c r="AD216" s="36">
        <f>ROUND(AA216,0)</f>
        <v>1407</v>
      </c>
      <c r="AE216" s="36">
        <f t="shared" si="141"/>
        <v>0</v>
      </c>
      <c r="AF216" s="178"/>
      <c r="AG216" s="473">
        <f>390-AG217</f>
        <v>140</v>
      </c>
      <c r="AH216" s="225">
        <f t="shared" si="145"/>
        <v>9.950248756218906E-2</v>
      </c>
      <c r="AI216" s="508"/>
    </row>
    <row r="217" spans="2:35" s="35" customFormat="1" outlineLevel="1" x14ac:dyDescent="0.25">
      <c r="B217" s="35">
        <v>1011</v>
      </c>
      <c r="C217" s="84" t="s">
        <v>183</v>
      </c>
      <c r="D217" s="295" t="s">
        <v>230</v>
      </c>
      <c r="E217" s="38">
        <v>12607</v>
      </c>
      <c r="F217" s="38">
        <f>ROUND(E217,0)+230</f>
        <v>12837</v>
      </c>
      <c r="G217" s="36">
        <f t="shared" si="130"/>
        <v>230</v>
      </c>
      <c r="H217" s="178" t="s">
        <v>526</v>
      </c>
      <c r="I217" s="36">
        <f>ROUND(F217,0)</f>
        <v>12837</v>
      </c>
      <c r="J217" s="36">
        <f t="shared" si="154"/>
        <v>0</v>
      </c>
      <c r="K217" s="178"/>
      <c r="L217" s="36">
        <f>ROUND(I217,0)</f>
        <v>12837</v>
      </c>
      <c r="M217" s="36">
        <f t="shared" si="155"/>
        <v>0</v>
      </c>
      <c r="N217" s="178"/>
      <c r="O217" s="36">
        <f>ROUND(L217,0)</f>
        <v>12837</v>
      </c>
      <c r="P217" s="36">
        <f t="shared" si="156"/>
        <v>0</v>
      </c>
      <c r="Q217" s="178"/>
      <c r="R217" s="36">
        <f>ROUND(O217,0)</f>
        <v>12837</v>
      </c>
      <c r="S217" s="36">
        <f t="shared" si="137"/>
        <v>0</v>
      </c>
      <c r="T217" s="178"/>
      <c r="U217" s="36">
        <f>ROUND(R217,0)</f>
        <v>12837</v>
      </c>
      <c r="V217" s="36">
        <f t="shared" si="138"/>
        <v>0</v>
      </c>
      <c r="W217" s="178"/>
      <c r="X217" s="36">
        <f>ROUND(U217,0)</f>
        <v>12837</v>
      </c>
      <c r="Y217" s="36">
        <f t="shared" si="139"/>
        <v>0</v>
      </c>
      <c r="Z217" s="178"/>
      <c r="AA217" s="36">
        <f>ROUND(X217,0)</f>
        <v>12837</v>
      </c>
      <c r="AB217" s="36">
        <f t="shared" si="140"/>
        <v>0</v>
      </c>
      <c r="AC217" s="428"/>
      <c r="AD217" s="36">
        <f>ROUND(AA217,0)</f>
        <v>12837</v>
      </c>
      <c r="AE217" s="36">
        <f t="shared" si="141"/>
        <v>0</v>
      </c>
      <c r="AF217" s="178"/>
      <c r="AG217" s="473">
        <v>250</v>
      </c>
      <c r="AH217" s="225">
        <f t="shared" si="145"/>
        <v>1.9474955207603024E-2</v>
      </c>
      <c r="AI217" s="508"/>
    </row>
    <row r="218" spans="2:35" s="4" customFormat="1" ht="27" customHeight="1" x14ac:dyDescent="0.25">
      <c r="C218" s="81" t="s">
        <v>80</v>
      </c>
      <c r="D218" s="296" t="s">
        <v>247</v>
      </c>
      <c r="E218" s="354">
        <v>622113.62317695003</v>
      </c>
      <c r="F218" s="354">
        <f t="shared" ref="F218:G218" si="159">SUM(F219:F222)</f>
        <v>659230</v>
      </c>
      <c r="G218" s="51">
        <f t="shared" si="159"/>
        <v>37116.376823049912</v>
      </c>
      <c r="H218" s="277"/>
      <c r="I218" s="51">
        <f>SUM(I219:I222)</f>
        <v>659230</v>
      </c>
      <c r="J218" s="51">
        <f t="shared" si="154"/>
        <v>0</v>
      </c>
      <c r="K218" s="165"/>
      <c r="L218" s="51">
        <f>SUM(L219:L222)</f>
        <v>631533</v>
      </c>
      <c r="M218" s="51">
        <f t="shared" si="155"/>
        <v>-27697</v>
      </c>
      <c r="N218" s="165"/>
      <c r="O218" s="51">
        <f>SUM(O219:O222)</f>
        <v>631533</v>
      </c>
      <c r="P218" s="51">
        <f t="shared" si="156"/>
        <v>0</v>
      </c>
      <c r="Q218" s="165"/>
      <c r="R218" s="51">
        <f>SUM(R219:R222)</f>
        <v>631533</v>
      </c>
      <c r="S218" s="51">
        <f t="shared" si="137"/>
        <v>0</v>
      </c>
      <c r="T218" s="165"/>
      <c r="U218" s="51">
        <f>SUM(U219:U222)</f>
        <v>631533</v>
      </c>
      <c r="V218" s="51">
        <f t="shared" si="138"/>
        <v>0</v>
      </c>
      <c r="W218" s="165"/>
      <c r="X218" s="51">
        <f>SUM(X219:X222)</f>
        <v>631533</v>
      </c>
      <c r="Y218" s="51">
        <f t="shared" si="139"/>
        <v>0</v>
      </c>
      <c r="Z218" s="165"/>
      <c r="AA218" s="51">
        <f>SUM(AA219:AA222)</f>
        <v>631533</v>
      </c>
      <c r="AB218" s="51">
        <f t="shared" si="140"/>
        <v>0</v>
      </c>
      <c r="AC218" s="277"/>
      <c r="AD218" s="51">
        <f>SUM(AD219:AD222)</f>
        <v>631533</v>
      </c>
      <c r="AE218" s="51">
        <f t="shared" si="141"/>
        <v>0</v>
      </c>
      <c r="AF218" s="165"/>
      <c r="AG218" s="546">
        <f>SUM(AG219:AG222)</f>
        <v>281012.73</v>
      </c>
      <c r="AH218" s="227">
        <f t="shared" si="145"/>
        <v>0.44496919400886409</v>
      </c>
      <c r="AI218" s="530"/>
    </row>
    <row r="219" spans="2:35" s="4" customFormat="1" ht="15" customHeight="1" x14ac:dyDescent="0.25">
      <c r="B219" s="2" t="s">
        <v>533</v>
      </c>
      <c r="C219" s="85" t="s">
        <v>186</v>
      </c>
      <c r="D219" s="305" t="s">
        <v>513</v>
      </c>
      <c r="E219" s="351">
        <v>402246.62317695009</v>
      </c>
      <c r="F219" s="351">
        <f>ROUND(E219,0)</f>
        <v>402247</v>
      </c>
      <c r="G219" s="43">
        <f t="shared" si="130"/>
        <v>0.37682304991176352</v>
      </c>
      <c r="H219" s="385"/>
      <c r="I219" s="43">
        <f>ROUND(F219,0)</f>
        <v>402247</v>
      </c>
      <c r="J219" s="43">
        <f t="shared" si="154"/>
        <v>0</v>
      </c>
      <c r="K219" s="170"/>
      <c r="L219" s="43">
        <f>ROUND(I219,0)-27697</f>
        <v>374550</v>
      </c>
      <c r="M219" s="43">
        <f t="shared" si="155"/>
        <v>-27697</v>
      </c>
      <c r="N219" s="170" t="s">
        <v>815</v>
      </c>
      <c r="O219" s="43">
        <f>ROUND(L219,0)-3745</f>
        <v>370805</v>
      </c>
      <c r="P219" s="43">
        <f t="shared" si="156"/>
        <v>-3745</v>
      </c>
      <c r="Q219" s="310" t="s">
        <v>838</v>
      </c>
      <c r="R219" s="43">
        <f>ROUND(O219,0)</f>
        <v>370805</v>
      </c>
      <c r="S219" s="43">
        <f t="shared" si="137"/>
        <v>0</v>
      </c>
      <c r="T219" s="310"/>
      <c r="U219" s="43">
        <f>ROUND(R219,0)</f>
        <v>370805</v>
      </c>
      <c r="V219" s="43">
        <f t="shared" si="138"/>
        <v>0</v>
      </c>
      <c r="W219" s="310"/>
      <c r="X219" s="43">
        <f>ROUND(U219,0)</f>
        <v>370805</v>
      </c>
      <c r="Y219" s="43">
        <f t="shared" si="139"/>
        <v>0</v>
      </c>
      <c r="Z219" s="310"/>
      <c r="AA219" s="43">
        <f>ROUND(X219,0)</f>
        <v>370805</v>
      </c>
      <c r="AB219" s="43">
        <f t="shared" si="140"/>
        <v>0</v>
      </c>
      <c r="AC219" s="420"/>
      <c r="AD219" s="43">
        <f>ROUND(AA219,0)</f>
        <v>370805</v>
      </c>
      <c r="AE219" s="43">
        <f t="shared" si="141"/>
        <v>0</v>
      </c>
      <c r="AF219" s="310"/>
      <c r="AG219" s="474">
        <f>281012.73-AG220-AG221</f>
        <v>273446.06</v>
      </c>
      <c r="AH219" s="209">
        <f t="shared" si="145"/>
        <v>0.73743897736006792</v>
      </c>
      <c r="AI219" s="504"/>
    </row>
    <row r="220" spans="2:35" s="4" customFormat="1" ht="15" customHeight="1" x14ac:dyDescent="0.25">
      <c r="B220" s="2" t="s">
        <v>533</v>
      </c>
      <c r="C220" s="85" t="s">
        <v>187</v>
      </c>
      <c r="D220" s="305" t="s">
        <v>837</v>
      </c>
      <c r="E220" s="475"/>
      <c r="F220" s="475"/>
      <c r="G220" s="474"/>
      <c r="H220" s="503"/>
      <c r="I220" s="474"/>
      <c r="J220" s="474"/>
      <c r="K220" s="477"/>
      <c r="L220" s="474"/>
      <c r="M220" s="474"/>
      <c r="N220" s="477"/>
      <c r="O220" s="474">
        <f>3745</f>
        <v>3745</v>
      </c>
      <c r="P220" s="43">
        <f t="shared" si="156"/>
        <v>3745</v>
      </c>
      <c r="Q220" s="310" t="s">
        <v>838</v>
      </c>
      <c r="R220" s="474">
        <f>3745</f>
        <v>3745</v>
      </c>
      <c r="S220" s="43">
        <f t="shared" si="137"/>
        <v>0</v>
      </c>
      <c r="T220" s="310"/>
      <c r="U220" s="474">
        <f>3745</f>
        <v>3745</v>
      </c>
      <c r="V220" s="43">
        <f t="shared" si="138"/>
        <v>0</v>
      </c>
      <c r="W220" s="310"/>
      <c r="X220" s="474">
        <f>3745</f>
        <v>3745</v>
      </c>
      <c r="Y220" s="43">
        <f t="shared" si="139"/>
        <v>0</v>
      </c>
      <c r="Z220" s="310"/>
      <c r="AA220" s="474">
        <f>3745</f>
        <v>3745</v>
      </c>
      <c r="AB220" s="43">
        <f t="shared" si="140"/>
        <v>0</v>
      </c>
      <c r="AC220" s="420"/>
      <c r="AD220" s="474">
        <f>3745</f>
        <v>3745</v>
      </c>
      <c r="AE220" s="43">
        <f t="shared" si="141"/>
        <v>0</v>
      </c>
      <c r="AF220" s="310"/>
      <c r="AG220" s="545">
        <v>2102.3200000000002</v>
      </c>
      <c r="AH220" s="478">
        <f t="shared" si="145"/>
        <v>0.56136715620827771</v>
      </c>
      <c r="AI220" s="504"/>
    </row>
    <row r="221" spans="2:35" s="4" customFormat="1" ht="15.75" customHeight="1" x14ac:dyDescent="0.25">
      <c r="B221" s="2" t="s">
        <v>533</v>
      </c>
      <c r="C221" s="110" t="s">
        <v>366</v>
      </c>
      <c r="D221" s="305" t="s">
        <v>516</v>
      </c>
      <c r="E221" s="351">
        <v>10250</v>
      </c>
      <c r="F221" s="351">
        <f>ROUND(E221,0)+38150</f>
        <v>48400</v>
      </c>
      <c r="G221" s="43">
        <f t="shared" si="130"/>
        <v>38150</v>
      </c>
      <c r="H221" s="128" t="s">
        <v>728</v>
      </c>
      <c r="I221" s="43">
        <f t="shared" ref="I221:I228" si="160">ROUND(F221,0)</f>
        <v>48400</v>
      </c>
      <c r="J221" s="43">
        <f t="shared" si="154"/>
        <v>0</v>
      </c>
      <c r="K221" s="128"/>
      <c r="L221" s="43">
        <f t="shared" ref="L221:L228" si="161">ROUND(I221,0)</f>
        <v>48400</v>
      </c>
      <c r="M221" s="43">
        <f t="shared" si="155"/>
        <v>0</v>
      </c>
      <c r="N221" s="128"/>
      <c r="O221" s="43">
        <f t="shared" ref="O221:O228" si="162">ROUND(L221,0)</f>
        <v>48400</v>
      </c>
      <c r="P221" s="43">
        <f t="shared" si="156"/>
        <v>0</v>
      </c>
      <c r="Q221" s="128"/>
      <c r="R221" s="43">
        <f t="shared" ref="R221:R228" si="163">ROUND(O221,0)</f>
        <v>48400</v>
      </c>
      <c r="S221" s="43">
        <f t="shared" si="137"/>
        <v>0</v>
      </c>
      <c r="T221" s="128"/>
      <c r="U221" s="43">
        <f t="shared" ref="U221:U228" si="164">ROUND(R221,0)</f>
        <v>48400</v>
      </c>
      <c r="V221" s="43">
        <f t="shared" si="138"/>
        <v>0</v>
      </c>
      <c r="W221" s="128"/>
      <c r="X221" s="43">
        <f t="shared" ref="X221:X228" si="165">ROUND(U221,0)</f>
        <v>48400</v>
      </c>
      <c r="Y221" s="43">
        <f t="shared" si="139"/>
        <v>0</v>
      </c>
      <c r="Z221" s="128"/>
      <c r="AA221" s="43">
        <f t="shared" ref="AA221:AA228" si="166">ROUND(X221,0)</f>
        <v>48400</v>
      </c>
      <c r="AB221" s="43">
        <f t="shared" si="140"/>
        <v>0</v>
      </c>
      <c r="AC221" s="385"/>
      <c r="AD221" s="43">
        <f t="shared" ref="AD221:AD228" si="167">ROUND(AA221,0)</f>
        <v>48400</v>
      </c>
      <c r="AE221" s="43">
        <f t="shared" si="141"/>
        <v>0</v>
      </c>
      <c r="AF221" s="128"/>
      <c r="AG221" s="583">
        <v>5464.35</v>
      </c>
      <c r="AH221" s="209">
        <f t="shared" si="145"/>
        <v>0.11289979338842976</v>
      </c>
      <c r="AI221" s="474" t="s">
        <v>571</v>
      </c>
    </row>
    <row r="222" spans="2:35" s="4" customFormat="1" ht="15.6" customHeight="1" x14ac:dyDescent="0.25">
      <c r="B222" s="2" t="s">
        <v>413</v>
      </c>
      <c r="C222" s="85" t="s">
        <v>836</v>
      </c>
      <c r="D222" s="305" t="s">
        <v>514</v>
      </c>
      <c r="E222" s="351">
        <v>209617</v>
      </c>
      <c r="F222" s="351">
        <f>ROUND(E222,0)-1034</f>
        <v>208583</v>
      </c>
      <c r="G222" s="43">
        <f t="shared" si="130"/>
        <v>-1034</v>
      </c>
      <c r="H222" s="128" t="s">
        <v>526</v>
      </c>
      <c r="I222" s="43">
        <f t="shared" si="160"/>
        <v>208583</v>
      </c>
      <c r="J222" s="43">
        <f t="shared" si="154"/>
        <v>0</v>
      </c>
      <c r="K222" s="128"/>
      <c r="L222" s="43">
        <f t="shared" si="161"/>
        <v>208583</v>
      </c>
      <c r="M222" s="43">
        <f t="shared" si="155"/>
        <v>0</v>
      </c>
      <c r="N222" s="128"/>
      <c r="O222" s="43">
        <f t="shared" si="162"/>
        <v>208583</v>
      </c>
      <c r="P222" s="43">
        <f t="shared" si="156"/>
        <v>0</v>
      </c>
      <c r="Q222" s="128"/>
      <c r="R222" s="43">
        <f t="shared" si="163"/>
        <v>208583</v>
      </c>
      <c r="S222" s="43">
        <f t="shared" si="137"/>
        <v>0</v>
      </c>
      <c r="T222" s="128"/>
      <c r="U222" s="43">
        <f t="shared" si="164"/>
        <v>208583</v>
      </c>
      <c r="V222" s="43">
        <f t="shared" si="138"/>
        <v>0</v>
      </c>
      <c r="W222" s="128"/>
      <c r="X222" s="43">
        <f t="shared" si="165"/>
        <v>208583</v>
      </c>
      <c r="Y222" s="43">
        <f t="shared" si="139"/>
        <v>0</v>
      </c>
      <c r="Z222" s="128"/>
      <c r="AA222" s="43">
        <f t="shared" si="166"/>
        <v>208583</v>
      </c>
      <c r="AB222" s="43">
        <f t="shared" si="140"/>
        <v>0</v>
      </c>
      <c r="AC222" s="385"/>
      <c r="AD222" s="43">
        <f t="shared" si="167"/>
        <v>208583</v>
      </c>
      <c r="AE222" s="43">
        <f t="shared" si="141"/>
        <v>0</v>
      </c>
      <c r="AF222" s="128"/>
      <c r="AG222" s="474">
        <v>0</v>
      </c>
      <c r="AH222" s="209">
        <f t="shared" si="145"/>
        <v>0</v>
      </c>
      <c r="AI222" s="504"/>
    </row>
    <row r="223" spans="2:35" s="4" customFormat="1" ht="35.25" customHeight="1" x14ac:dyDescent="0.25">
      <c r="C223" s="81" t="s">
        <v>188</v>
      </c>
      <c r="D223" s="296" t="s">
        <v>176</v>
      </c>
      <c r="E223" s="37">
        <v>139599.07449700119</v>
      </c>
      <c r="F223" s="37">
        <f>ROUND(E223,0)</f>
        <v>139599</v>
      </c>
      <c r="G223" s="18">
        <f t="shared" si="130"/>
        <v>-7.4497001187410206E-2</v>
      </c>
      <c r="H223" s="277"/>
      <c r="I223" s="18">
        <f>ROUND(F223,0)</f>
        <v>139599</v>
      </c>
      <c r="J223" s="18">
        <f t="shared" si="154"/>
        <v>0</v>
      </c>
      <c r="K223" s="145"/>
      <c r="L223" s="18">
        <f t="shared" si="161"/>
        <v>139599</v>
      </c>
      <c r="M223" s="18">
        <f t="shared" si="155"/>
        <v>0</v>
      </c>
      <c r="N223" s="145"/>
      <c r="O223" s="18">
        <f t="shared" si="162"/>
        <v>139599</v>
      </c>
      <c r="P223" s="18">
        <f t="shared" si="156"/>
        <v>0</v>
      </c>
      <c r="Q223" s="145"/>
      <c r="R223" s="18">
        <f t="shared" si="163"/>
        <v>139599</v>
      </c>
      <c r="S223" s="18">
        <f t="shared" si="137"/>
        <v>0</v>
      </c>
      <c r="T223" s="145"/>
      <c r="U223" s="18">
        <f t="shared" si="164"/>
        <v>139599</v>
      </c>
      <c r="V223" s="18">
        <f t="shared" si="138"/>
        <v>0</v>
      </c>
      <c r="W223" s="145"/>
      <c r="X223" s="18">
        <f t="shared" si="165"/>
        <v>139599</v>
      </c>
      <c r="Y223" s="18">
        <f t="shared" si="139"/>
        <v>0</v>
      </c>
      <c r="Z223" s="145"/>
      <c r="AA223" s="18">
        <f t="shared" si="166"/>
        <v>139599</v>
      </c>
      <c r="AB223" s="18">
        <f t="shared" si="140"/>
        <v>0</v>
      </c>
      <c r="AC223" s="399"/>
      <c r="AD223" s="18">
        <f>ROUND(AA223,0)+3500</f>
        <v>143099</v>
      </c>
      <c r="AE223" s="18">
        <f t="shared" si="141"/>
        <v>3500</v>
      </c>
      <c r="AF223" s="145" t="s">
        <v>983</v>
      </c>
      <c r="AG223" s="510">
        <v>142990.1</v>
      </c>
      <c r="AH223" s="211">
        <f t="shared" si="145"/>
        <v>0.99923898839265124</v>
      </c>
      <c r="AI223" s="515"/>
    </row>
    <row r="224" spans="2:35" s="4" customFormat="1" ht="18.75" customHeight="1" x14ac:dyDescent="0.25">
      <c r="B224" s="2">
        <v>1016</v>
      </c>
      <c r="C224" s="104" t="s">
        <v>191</v>
      </c>
      <c r="D224" s="301" t="s">
        <v>476</v>
      </c>
      <c r="E224" s="373">
        <v>50000</v>
      </c>
      <c r="F224" s="373">
        <f>ROUND(E224,0)</f>
        <v>50000</v>
      </c>
      <c r="G224" s="95">
        <f t="shared" si="130"/>
        <v>0</v>
      </c>
      <c r="H224" s="430"/>
      <c r="I224" s="95">
        <f>ROUND(F224,0)</f>
        <v>50000</v>
      </c>
      <c r="J224" s="95">
        <f t="shared" si="154"/>
        <v>0</v>
      </c>
      <c r="K224" s="165"/>
      <c r="L224" s="95">
        <f t="shared" si="161"/>
        <v>50000</v>
      </c>
      <c r="M224" s="95">
        <f t="shared" si="155"/>
        <v>0</v>
      </c>
      <c r="N224" s="165"/>
      <c r="O224" s="95">
        <f>ROUND(L224,0)</f>
        <v>50000</v>
      </c>
      <c r="P224" s="95">
        <f t="shared" si="156"/>
        <v>0</v>
      </c>
      <c r="Q224" s="165"/>
      <c r="R224" s="95">
        <f t="shared" si="163"/>
        <v>50000</v>
      </c>
      <c r="S224" s="95">
        <f t="shared" si="137"/>
        <v>0</v>
      </c>
      <c r="T224" s="165"/>
      <c r="U224" s="95">
        <f>ROUND(R224,0)+20000</f>
        <v>70000</v>
      </c>
      <c r="V224" s="95">
        <f t="shared" si="138"/>
        <v>20000</v>
      </c>
      <c r="W224" s="145" t="s">
        <v>930</v>
      </c>
      <c r="X224" s="95">
        <f t="shared" si="165"/>
        <v>70000</v>
      </c>
      <c r="Y224" s="95">
        <f t="shared" si="139"/>
        <v>0</v>
      </c>
      <c r="Z224" s="145"/>
      <c r="AA224" s="95">
        <f t="shared" si="166"/>
        <v>70000</v>
      </c>
      <c r="AB224" s="95">
        <f t="shared" si="140"/>
        <v>0</v>
      </c>
      <c r="AC224" s="399"/>
      <c r="AD224" s="95">
        <f t="shared" si="167"/>
        <v>70000</v>
      </c>
      <c r="AE224" s="95">
        <f t="shared" si="141"/>
        <v>0</v>
      </c>
      <c r="AF224" s="145"/>
      <c r="AG224" s="510">
        <v>56531.839999999997</v>
      </c>
      <c r="AH224" s="228">
        <f t="shared" si="145"/>
        <v>0.80759771428571425</v>
      </c>
      <c r="AI224" s="515"/>
    </row>
    <row r="225" spans="2:35" s="4" customFormat="1" ht="18.75" customHeight="1" x14ac:dyDescent="0.25">
      <c r="B225" s="2">
        <v>1017</v>
      </c>
      <c r="C225" s="81" t="s">
        <v>193</v>
      </c>
      <c r="D225" s="302" t="s">
        <v>492</v>
      </c>
      <c r="E225" s="373">
        <v>200000</v>
      </c>
      <c r="F225" s="373">
        <f>ROUND(E225,0)</f>
        <v>200000</v>
      </c>
      <c r="G225" s="95">
        <f t="shared" si="130"/>
        <v>0</v>
      </c>
      <c r="H225" s="430"/>
      <c r="I225" s="95">
        <f t="shared" si="160"/>
        <v>200000</v>
      </c>
      <c r="J225" s="95">
        <f t="shared" si="154"/>
        <v>0</v>
      </c>
      <c r="K225" s="169"/>
      <c r="L225" s="95">
        <f t="shared" si="161"/>
        <v>200000</v>
      </c>
      <c r="M225" s="95">
        <f t="shared" si="155"/>
        <v>0</v>
      </c>
      <c r="N225" s="169"/>
      <c r="O225" s="95">
        <f t="shared" si="162"/>
        <v>200000</v>
      </c>
      <c r="P225" s="95">
        <f t="shared" si="156"/>
        <v>0</v>
      </c>
      <c r="Q225" s="169"/>
      <c r="R225" s="95">
        <f t="shared" si="163"/>
        <v>200000</v>
      </c>
      <c r="S225" s="95">
        <f t="shared" si="137"/>
        <v>0</v>
      </c>
      <c r="T225" s="169"/>
      <c r="U225" s="95">
        <f t="shared" si="164"/>
        <v>200000</v>
      </c>
      <c r="V225" s="95">
        <f t="shared" si="138"/>
        <v>0</v>
      </c>
      <c r="W225" s="169"/>
      <c r="X225" s="95">
        <f t="shared" si="165"/>
        <v>200000</v>
      </c>
      <c r="Y225" s="95">
        <f t="shared" si="139"/>
        <v>0</v>
      </c>
      <c r="Z225" s="169"/>
      <c r="AA225" s="95">
        <f t="shared" si="166"/>
        <v>200000</v>
      </c>
      <c r="AB225" s="95">
        <f t="shared" si="140"/>
        <v>0</v>
      </c>
      <c r="AC225" s="430"/>
      <c r="AD225" s="95">
        <f t="shared" si="167"/>
        <v>200000</v>
      </c>
      <c r="AE225" s="95">
        <f t="shared" si="141"/>
        <v>0</v>
      </c>
      <c r="AF225" s="169"/>
      <c r="AG225" s="510">
        <v>0</v>
      </c>
      <c r="AH225" s="228">
        <f t="shared" si="145"/>
        <v>0</v>
      </c>
      <c r="AI225" s="515"/>
    </row>
    <row r="226" spans="2:35" s="4" customFormat="1" ht="40.15" customHeight="1" x14ac:dyDescent="0.25">
      <c r="B226" s="2">
        <v>1018</v>
      </c>
      <c r="C226" s="81" t="s">
        <v>194</v>
      </c>
      <c r="D226" s="296" t="s">
        <v>671</v>
      </c>
      <c r="E226" s="511"/>
      <c r="F226" s="511"/>
      <c r="G226" s="510"/>
      <c r="H226" s="512"/>
      <c r="I226" s="510"/>
      <c r="J226" s="510"/>
      <c r="K226" s="513"/>
      <c r="L226" s="510"/>
      <c r="M226" s="510"/>
      <c r="N226" s="513"/>
      <c r="O226" s="510">
        <v>44284</v>
      </c>
      <c r="P226" s="95">
        <f t="shared" si="156"/>
        <v>44284</v>
      </c>
      <c r="Q226" s="516" t="s">
        <v>849</v>
      </c>
      <c r="R226" s="510">
        <f t="shared" si="163"/>
        <v>44284</v>
      </c>
      <c r="S226" s="95">
        <f t="shared" si="137"/>
        <v>0</v>
      </c>
      <c r="T226" s="516"/>
      <c r="U226" s="510">
        <f t="shared" si="164"/>
        <v>44284</v>
      </c>
      <c r="V226" s="95">
        <f t="shared" si="138"/>
        <v>0</v>
      </c>
      <c r="W226" s="516"/>
      <c r="X226" s="510">
        <f t="shared" si="165"/>
        <v>44284</v>
      </c>
      <c r="Y226" s="95">
        <f t="shared" si="139"/>
        <v>0</v>
      </c>
      <c r="Z226" s="516"/>
      <c r="AA226" s="510">
        <f t="shared" si="166"/>
        <v>44284</v>
      </c>
      <c r="AB226" s="95">
        <f t="shared" si="140"/>
        <v>0</v>
      </c>
      <c r="AC226" s="574"/>
      <c r="AD226" s="510">
        <f t="shared" si="167"/>
        <v>44284</v>
      </c>
      <c r="AE226" s="95">
        <f t="shared" si="141"/>
        <v>0</v>
      </c>
      <c r="AF226" s="516"/>
      <c r="AG226" s="510">
        <v>4214.41</v>
      </c>
      <c r="AH226" s="514">
        <f t="shared" si="145"/>
        <v>9.51677806882847E-2</v>
      </c>
      <c r="AI226" s="510" t="s">
        <v>571</v>
      </c>
    </row>
    <row r="227" spans="2:35" ht="40.9" customHeight="1" x14ac:dyDescent="0.25">
      <c r="B227" s="2" t="s">
        <v>419</v>
      </c>
      <c r="C227" s="81" t="s">
        <v>196</v>
      </c>
      <c r="D227" s="302" t="s">
        <v>486</v>
      </c>
      <c r="E227" s="373">
        <v>10226</v>
      </c>
      <c r="F227" s="373">
        <f>ROUND(E227,0)</f>
        <v>10226</v>
      </c>
      <c r="G227" s="95">
        <f>F227-E227</f>
        <v>0</v>
      </c>
      <c r="H227" s="430"/>
      <c r="I227" s="11">
        <f t="shared" si="160"/>
        <v>10226</v>
      </c>
      <c r="J227" s="11">
        <f t="shared" si="154"/>
        <v>0</v>
      </c>
      <c r="K227" s="170"/>
      <c r="L227" s="11">
        <f t="shared" si="161"/>
        <v>10226</v>
      </c>
      <c r="M227" s="11">
        <f t="shared" si="155"/>
        <v>0</v>
      </c>
      <c r="N227" s="170"/>
      <c r="O227" s="11">
        <f t="shared" si="162"/>
        <v>10226</v>
      </c>
      <c r="P227" s="11">
        <f t="shared" si="156"/>
        <v>0</v>
      </c>
      <c r="Q227" s="170"/>
      <c r="R227" s="11">
        <f t="shared" si="163"/>
        <v>10226</v>
      </c>
      <c r="S227" s="11">
        <f t="shared" si="137"/>
        <v>0</v>
      </c>
      <c r="T227" s="170"/>
      <c r="U227" s="11">
        <f t="shared" si="164"/>
        <v>10226</v>
      </c>
      <c r="V227" s="11">
        <f t="shared" si="138"/>
        <v>0</v>
      </c>
      <c r="W227" s="170"/>
      <c r="X227" s="11">
        <f t="shared" si="165"/>
        <v>10226</v>
      </c>
      <c r="Y227" s="11">
        <f t="shared" si="139"/>
        <v>0</v>
      </c>
      <c r="Z227" s="170"/>
      <c r="AA227" s="11">
        <f t="shared" si="166"/>
        <v>10226</v>
      </c>
      <c r="AB227" s="11">
        <f t="shared" si="140"/>
        <v>0</v>
      </c>
      <c r="AC227" s="417"/>
      <c r="AD227" s="11">
        <f t="shared" si="167"/>
        <v>10226</v>
      </c>
      <c r="AE227" s="11">
        <f t="shared" si="141"/>
        <v>0</v>
      </c>
      <c r="AF227" s="170"/>
      <c r="AG227" s="474">
        <v>0</v>
      </c>
      <c r="AH227" s="200">
        <f t="shared" si="145"/>
        <v>0</v>
      </c>
      <c r="AI227" s="521"/>
    </row>
    <row r="228" spans="2:35" ht="44.45" customHeight="1" x14ac:dyDescent="0.25">
      <c r="B228" s="2" t="s">
        <v>487</v>
      </c>
      <c r="C228" s="81" t="s">
        <v>848</v>
      </c>
      <c r="D228" s="302" t="s">
        <v>488</v>
      </c>
      <c r="E228" s="373">
        <v>4086</v>
      </c>
      <c r="F228" s="373">
        <f>ROUND(E228,0)</f>
        <v>4086</v>
      </c>
      <c r="G228" s="95">
        <f>F228-E228</f>
        <v>0</v>
      </c>
      <c r="H228" s="430"/>
      <c r="I228" s="11">
        <f t="shared" si="160"/>
        <v>4086</v>
      </c>
      <c r="J228" s="11">
        <f t="shared" si="154"/>
        <v>0</v>
      </c>
      <c r="K228" s="175"/>
      <c r="L228" s="11">
        <f t="shared" si="161"/>
        <v>4086</v>
      </c>
      <c r="M228" s="11">
        <f t="shared" si="155"/>
        <v>0</v>
      </c>
      <c r="N228" s="175"/>
      <c r="O228" s="11">
        <f t="shared" si="162"/>
        <v>4086</v>
      </c>
      <c r="P228" s="11">
        <f t="shared" si="156"/>
        <v>0</v>
      </c>
      <c r="Q228" s="175"/>
      <c r="R228" s="11">
        <f t="shared" si="163"/>
        <v>4086</v>
      </c>
      <c r="S228" s="11">
        <f t="shared" si="137"/>
        <v>0</v>
      </c>
      <c r="T228" s="175"/>
      <c r="U228" s="11">
        <f t="shared" si="164"/>
        <v>4086</v>
      </c>
      <c r="V228" s="11">
        <f t="shared" si="138"/>
        <v>0</v>
      </c>
      <c r="W228" s="175"/>
      <c r="X228" s="11">
        <f t="shared" si="165"/>
        <v>4086</v>
      </c>
      <c r="Y228" s="11">
        <f t="shared" si="139"/>
        <v>0</v>
      </c>
      <c r="Z228" s="175"/>
      <c r="AA228" s="11">
        <f t="shared" si="166"/>
        <v>4086</v>
      </c>
      <c r="AB228" s="11">
        <f t="shared" si="140"/>
        <v>0</v>
      </c>
      <c r="AC228" s="573"/>
      <c r="AD228" s="11">
        <f t="shared" si="167"/>
        <v>4086</v>
      </c>
      <c r="AE228" s="11">
        <f t="shared" si="141"/>
        <v>0</v>
      </c>
      <c r="AF228" s="175"/>
      <c r="AG228" s="474">
        <v>0</v>
      </c>
      <c r="AH228" s="200">
        <f t="shared" si="145"/>
        <v>0</v>
      </c>
      <c r="AI228" s="521"/>
    </row>
    <row r="229" spans="2:35" x14ac:dyDescent="0.25">
      <c r="C229" s="82" t="s">
        <v>81</v>
      </c>
      <c r="D229" s="306" t="s">
        <v>177</v>
      </c>
      <c r="E229" s="345">
        <v>24609695.260866992</v>
      </c>
      <c r="F229" s="345">
        <f t="shared" ref="F229" si="168">F230+F231+F235+F239+F243+F247+F251+F262+F263+F281+F284+F287+F288+F289+F290+F291+F292+F293</f>
        <v>25093873</v>
      </c>
      <c r="G229" s="13">
        <f>F229-E229</f>
        <v>484177.73913300782</v>
      </c>
      <c r="H229" s="279"/>
      <c r="I229" s="13">
        <f>I230+I231+I235+I239+I243+I247+I251+I262+I263+I281+I284+I287+I288+I289+I290+I291+I292+I293</f>
        <v>25311613</v>
      </c>
      <c r="J229" s="13">
        <f t="shared" si="154"/>
        <v>217740</v>
      </c>
      <c r="K229" s="13"/>
      <c r="L229" s="13">
        <f>L230+L231+L235+L239+L243+L247+L251+L262+L263+L281+L284+L287+L288+L289+L290+L291+L292+L293</f>
        <v>25298401</v>
      </c>
      <c r="M229" s="13">
        <f t="shared" si="155"/>
        <v>-13212</v>
      </c>
      <c r="N229" s="13"/>
      <c r="O229" s="13">
        <f>O230+O231+O235+O239+O243+O247+O251+O262+O263+O281+O284+O287+O288+O289+O290+O291+O292+O293</f>
        <v>25291772</v>
      </c>
      <c r="P229" s="13">
        <f t="shared" si="156"/>
        <v>-6629</v>
      </c>
      <c r="Q229" s="13"/>
      <c r="R229" s="13">
        <f>R230+R231+R235+R239+R243+R247+R251+R262+R263+R281+R284+R287+R288+R289+R290+R291+R292+R293</f>
        <v>25713889</v>
      </c>
      <c r="S229" s="13">
        <f t="shared" si="137"/>
        <v>422117</v>
      </c>
      <c r="T229" s="13"/>
      <c r="U229" s="13">
        <f>U230+U231+U235+U239+U243+U247+U251+U262+U263+U281+U284+U287+U288+U289+U290+U291+U292+U293</f>
        <v>25861417</v>
      </c>
      <c r="V229" s="13">
        <f t="shared" si="138"/>
        <v>147528</v>
      </c>
      <c r="W229" s="13"/>
      <c r="X229" s="13">
        <f>X230+X231+X235+X239+X243+X247+X251+X262+X263+X281+X284+X287+X288+X289+X290+X291+X292+X293</f>
        <v>26012585</v>
      </c>
      <c r="Y229" s="13">
        <f t="shared" si="139"/>
        <v>151168</v>
      </c>
      <c r="Z229" s="13"/>
      <c r="AA229" s="13">
        <f>AA230+AA231+AA235+AA239+AA243+AA247+AA251+AA262+AA263+AA281+AA284+AA287+AA288+AA289+AA290+AA291+AA292+AA293</f>
        <v>26057651</v>
      </c>
      <c r="AB229" s="13">
        <f t="shared" si="140"/>
        <v>45066</v>
      </c>
      <c r="AC229" s="279"/>
      <c r="AD229" s="13">
        <f>AD230+AD231+AD235+AD239+AD243+AD247+AD251+AD262+AD263+AD281+AD284+AD287+AD288+AD289+AD290+AD291+AD292+AD293</f>
        <v>26059152</v>
      </c>
      <c r="AE229" s="13">
        <f t="shared" si="141"/>
        <v>1501</v>
      </c>
      <c r="AF229" s="13"/>
      <c r="AG229" s="517">
        <f>AG230+AG231+AG235+AG239+AG243+AG247+AG251+AG262+AG263+AG281+AG284+AG287+AG288+AG289+AG290+AG291+AG292+AG293</f>
        <v>23473578.370000001</v>
      </c>
      <c r="AH229" s="199">
        <f t="shared" si="145"/>
        <v>0.90078059216969153</v>
      </c>
      <c r="AI229" s="526"/>
    </row>
    <row r="230" spans="2:35" ht="27.6" customHeight="1" x14ac:dyDescent="0.25">
      <c r="B230" s="27" t="s">
        <v>178</v>
      </c>
      <c r="C230" s="81" t="s">
        <v>83</v>
      </c>
      <c r="D230" s="316" t="s">
        <v>179</v>
      </c>
      <c r="E230" s="37">
        <v>750000</v>
      </c>
      <c r="F230" s="37">
        <f>ROUND(E230,0)</f>
        <v>750000</v>
      </c>
      <c r="G230" s="18">
        <f t="shared" si="130"/>
        <v>0</v>
      </c>
      <c r="H230" s="399"/>
      <c r="I230" s="18">
        <f>ROUND(F230,0)</f>
        <v>750000</v>
      </c>
      <c r="J230" s="18">
        <f t="shared" si="154"/>
        <v>0</v>
      </c>
      <c r="K230" s="145"/>
      <c r="L230" s="18">
        <f>ROUND(I230,0)</f>
        <v>750000</v>
      </c>
      <c r="M230" s="18">
        <f t="shared" si="155"/>
        <v>0</v>
      </c>
      <c r="N230" s="145"/>
      <c r="O230" s="18">
        <f>ROUND(L230,0)</f>
        <v>750000</v>
      </c>
      <c r="P230" s="18">
        <f t="shared" si="156"/>
        <v>0</v>
      </c>
      <c r="Q230" s="145"/>
      <c r="R230" s="18">
        <f>ROUND(O230,0)+80000+70000</f>
        <v>900000</v>
      </c>
      <c r="S230" s="18">
        <f t="shared" si="137"/>
        <v>150000</v>
      </c>
      <c r="T230" s="145" t="s">
        <v>884</v>
      </c>
      <c r="U230" s="18">
        <f>ROUND(R230,0)</f>
        <v>900000</v>
      </c>
      <c r="V230" s="18">
        <f t="shared" si="138"/>
        <v>0</v>
      </c>
      <c r="W230" s="145"/>
      <c r="X230" s="18">
        <f>ROUND(U230,0)</f>
        <v>900000</v>
      </c>
      <c r="Y230" s="18">
        <f t="shared" si="139"/>
        <v>0</v>
      </c>
      <c r="Z230" s="145"/>
      <c r="AA230" s="18">
        <f>ROUND(X230,0)</f>
        <v>900000</v>
      </c>
      <c r="AB230" s="18">
        <f t="shared" si="140"/>
        <v>0</v>
      </c>
      <c r="AC230" s="399"/>
      <c r="AD230" s="18">
        <f>ROUND(AA230,0)</f>
        <v>900000</v>
      </c>
      <c r="AE230" s="18">
        <f t="shared" si="141"/>
        <v>0</v>
      </c>
      <c r="AF230" s="145"/>
      <c r="AG230" s="510">
        <v>803750.23</v>
      </c>
      <c r="AH230" s="211">
        <f t="shared" si="145"/>
        <v>0.8930558111111111</v>
      </c>
      <c r="AI230" s="510" t="s">
        <v>912</v>
      </c>
    </row>
    <row r="231" spans="2:35" ht="17.45" customHeight="1" x14ac:dyDescent="0.25">
      <c r="C231" s="81" t="s">
        <v>84</v>
      </c>
      <c r="D231" s="316" t="s">
        <v>180</v>
      </c>
      <c r="E231" s="37">
        <v>2321467.5649073655</v>
      </c>
      <c r="F231" s="37">
        <f t="shared" ref="F231" si="169">SUM(F232:F234)</f>
        <v>2327886</v>
      </c>
      <c r="G231" s="18">
        <f t="shared" si="130"/>
        <v>6418.4350926345214</v>
      </c>
      <c r="H231" s="277"/>
      <c r="I231" s="18">
        <f>SUM(I232:I234)</f>
        <v>2335378</v>
      </c>
      <c r="J231" s="18">
        <f t="shared" si="154"/>
        <v>7492</v>
      </c>
      <c r="K231" s="165"/>
      <c r="L231" s="18">
        <f>SUM(L232:L234)</f>
        <v>2312869</v>
      </c>
      <c r="M231" s="18">
        <f t="shared" si="155"/>
        <v>-22509</v>
      </c>
      <c r="N231" s="165"/>
      <c r="O231" s="18">
        <f>SUM(O232:O234)</f>
        <v>2312869</v>
      </c>
      <c r="P231" s="18">
        <f t="shared" si="156"/>
        <v>0</v>
      </c>
      <c r="Q231" s="165"/>
      <c r="R231" s="18">
        <f>SUM(R232:R234)</f>
        <v>2315847</v>
      </c>
      <c r="S231" s="18">
        <f t="shared" si="137"/>
        <v>2978</v>
      </c>
      <c r="T231" s="165"/>
      <c r="U231" s="18">
        <f>SUM(U232:U234)</f>
        <v>2299371</v>
      </c>
      <c r="V231" s="18">
        <f t="shared" si="138"/>
        <v>-16476</v>
      </c>
      <c r="W231" s="165"/>
      <c r="X231" s="18">
        <f>SUM(X232:X234)</f>
        <v>2299371</v>
      </c>
      <c r="Y231" s="18">
        <f t="shared" si="139"/>
        <v>0</v>
      </c>
      <c r="Z231" s="165"/>
      <c r="AA231" s="18">
        <f>SUM(AA232:AA234)</f>
        <v>2304801</v>
      </c>
      <c r="AB231" s="18">
        <f t="shared" si="140"/>
        <v>5430</v>
      </c>
      <c r="AC231" s="277"/>
      <c r="AD231" s="18">
        <f>SUM(AD232:AD234)</f>
        <v>2304801</v>
      </c>
      <c r="AE231" s="18">
        <f t="shared" si="141"/>
        <v>0</v>
      </c>
      <c r="AF231" s="165"/>
      <c r="AG231" s="587">
        <f>SUM(AG232:AG234)</f>
        <v>2125757.39</v>
      </c>
      <c r="AH231" s="211">
        <f t="shared" si="145"/>
        <v>0.92231710676973855</v>
      </c>
      <c r="AI231" s="515"/>
    </row>
    <row r="232" spans="2:35" ht="31.15" customHeight="1" x14ac:dyDescent="0.25">
      <c r="B232" s="60" t="s">
        <v>263</v>
      </c>
      <c r="C232" s="83" t="s">
        <v>367</v>
      </c>
      <c r="D232" s="292" t="s">
        <v>235</v>
      </c>
      <c r="E232" s="52">
        <v>413462</v>
      </c>
      <c r="F232" s="52">
        <f>ROUND(E232,0)+399+324</f>
        <v>414185</v>
      </c>
      <c r="G232" s="14">
        <f t="shared" si="130"/>
        <v>723</v>
      </c>
      <c r="H232" s="135" t="s">
        <v>711</v>
      </c>
      <c r="I232" s="14">
        <f>ROUND(F232,0)+7380+112</f>
        <v>421677</v>
      </c>
      <c r="J232" s="14">
        <f t="shared" si="154"/>
        <v>7492</v>
      </c>
      <c r="K232" s="135" t="s">
        <v>785</v>
      </c>
      <c r="L232" s="14">
        <f>ROUND(I232,0)</f>
        <v>421677</v>
      </c>
      <c r="M232" s="14">
        <f t="shared" si="155"/>
        <v>0</v>
      </c>
      <c r="N232" s="135"/>
      <c r="O232" s="14">
        <f>ROUND(L232,0)</f>
        <v>421677</v>
      </c>
      <c r="P232" s="14">
        <f t="shared" si="156"/>
        <v>0</v>
      </c>
      <c r="Q232" s="135"/>
      <c r="R232" s="14">
        <f>ROUND(O232,0)</f>
        <v>421677</v>
      </c>
      <c r="S232" s="14">
        <f t="shared" si="137"/>
        <v>0</v>
      </c>
      <c r="T232" s="135"/>
      <c r="U232" s="14">
        <f>ROUND(R232,0)-18775-2065</f>
        <v>400837</v>
      </c>
      <c r="V232" s="14">
        <f t="shared" si="138"/>
        <v>-20840</v>
      </c>
      <c r="W232" s="135" t="s">
        <v>916</v>
      </c>
      <c r="X232" s="14">
        <f>ROUND(U232,0)</f>
        <v>400837</v>
      </c>
      <c r="Y232" s="14">
        <f t="shared" si="139"/>
        <v>0</v>
      </c>
      <c r="Z232" s="135"/>
      <c r="AA232" s="14">
        <f>ROUND(X232,0)</f>
        <v>400837</v>
      </c>
      <c r="AB232" s="14">
        <f t="shared" si="140"/>
        <v>0</v>
      </c>
      <c r="AC232" s="392"/>
      <c r="AD232" s="14">
        <f>ROUND(AA232,0)</f>
        <v>400837</v>
      </c>
      <c r="AE232" s="14">
        <f t="shared" si="141"/>
        <v>0</v>
      </c>
      <c r="AF232" s="135"/>
      <c r="AG232" s="525">
        <v>399951.54</v>
      </c>
      <c r="AH232" s="229">
        <f t="shared" si="145"/>
        <v>0.99779097239027326</v>
      </c>
      <c r="AI232" s="527"/>
    </row>
    <row r="233" spans="2:35" ht="33.75" customHeight="1" x14ac:dyDescent="0.25">
      <c r="B233" s="60" t="s">
        <v>218</v>
      </c>
      <c r="C233" s="83" t="s">
        <v>368</v>
      </c>
      <c r="D233" s="292" t="s">
        <v>184</v>
      </c>
      <c r="E233" s="52">
        <v>1908005.5649073652</v>
      </c>
      <c r="F233" s="52">
        <f>ROUND(E233,0)-160317+5695</f>
        <v>1753384</v>
      </c>
      <c r="G233" s="14">
        <f t="shared" si="130"/>
        <v>-154621.56490736525</v>
      </c>
      <c r="H233" s="135" t="s">
        <v>733</v>
      </c>
      <c r="I233" s="14">
        <f>ROUND(F233,0)-145959</f>
        <v>1607425</v>
      </c>
      <c r="J233" s="14">
        <f t="shared" si="154"/>
        <v>-145959</v>
      </c>
      <c r="K233" s="135" t="s">
        <v>795</v>
      </c>
      <c r="L233" s="14">
        <f>ROUND(I233,0)-22509</f>
        <v>1584916</v>
      </c>
      <c r="M233" s="14">
        <f t="shared" si="155"/>
        <v>-22509</v>
      </c>
      <c r="N233" s="135" t="s">
        <v>815</v>
      </c>
      <c r="O233" s="14">
        <f>ROUND(L233,0)-7811</f>
        <v>1577105</v>
      </c>
      <c r="P233" s="14">
        <f t="shared" si="156"/>
        <v>-7811</v>
      </c>
      <c r="Q233" s="310" t="s">
        <v>854</v>
      </c>
      <c r="R233" s="14">
        <f>ROUND(O233,0)</f>
        <v>1577105</v>
      </c>
      <c r="S233" s="14">
        <f t="shared" si="137"/>
        <v>0</v>
      </c>
      <c r="T233" s="310"/>
      <c r="U233" s="14">
        <f>ROUND(R233,0)+10721-2109</f>
        <v>1585717</v>
      </c>
      <c r="V233" s="14">
        <f t="shared" si="138"/>
        <v>8612</v>
      </c>
      <c r="W233" s="606" t="s">
        <v>933</v>
      </c>
      <c r="X233" s="14">
        <f>ROUND(U233,0)</f>
        <v>1585717</v>
      </c>
      <c r="Y233" s="14">
        <f t="shared" si="139"/>
        <v>0</v>
      </c>
      <c r="Z233" s="567"/>
      <c r="AA233" s="14">
        <f>ROUND(X233,0)-450</f>
        <v>1585267</v>
      </c>
      <c r="AB233" s="14">
        <f t="shared" si="140"/>
        <v>-450</v>
      </c>
      <c r="AC233" s="567" t="s">
        <v>968</v>
      </c>
      <c r="AD233" s="11">
        <f>ROUND(AA233,0)</f>
        <v>1585267</v>
      </c>
      <c r="AE233" s="14">
        <f t="shared" si="141"/>
        <v>0</v>
      </c>
      <c r="AF233" s="567"/>
      <c r="AG233" s="525">
        <f>1725805.85-AG234</f>
        <v>1431143.4200000002</v>
      </c>
      <c r="AH233" s="229">
        <f t="shared" si="145"/>
        <v>0.90277752580480142</v>
      </c>
      <c r="AI233" s="525" t="s">
        <v>575</v>
      </c>
    </row>
    <row r="234" spans="2:35" ht="62.25" customHeight="1" x14ac:dyDescent="0.25">
      <c r="B234" s="60"/>
      <c r="C234" s="83" t="s">
        <v>722</v>
      </c>
      <c r="D234" s="292" t="s">
        <v>528</v>
      </c>
      <c r="E234" s="439"/>
      <c r="F234" s="439">
        <v>160317</v>
      </c>
      <c r="G234" s="14">
        <f t="shared" si="130"/>
        <v>160317</v>
      </c>
      <c r="H234" s="457"/>
      <c r="I234" s="14">
        <f>ROUND(F234,0)+145959</f>
        <v>306276</v>
      </c>
      <c r="J234" s="14">
        <f>I234-F234</f>
        <v>145959</v>
      </c>
      <c r="K234" s="310" t="s">
        <v>795</v>
      </c>
      <c r="L234" s="14">
        <f>ROUND(I234,0)</f>
        <v>306276</v>
      </c>
      <c r="M234" s="14">
        <f t="shared" si="155"/>
        <v>0</v>
      </c>
      <c r="N234" s="310"/>
      <c r="O234" s="14">
        <f>ROUND(L234,0)+7811</f>
        <v>314087</v>
      </c>
      <c r="P234" s="14">
        <f t="shared" si="156"/>
        <v>7811</v>
      </c>
      <c r="Q234" s="310" t="s">
        <v>854</v>
      </c>
      <c r="R234" s="14">
        <f>ROUND(O234,0)+2978</f>
        <v>317065</v>
      </c>
      <c r="S234" s="14">
        <f t="shared" si="137"/>
        <v>2978</v>
      </c>
      <c r="T234" s="310" t="s">
        <v>896</v>
      </c>
      <c r="U234" s="14">
        <f>ROUND(R234,0)-10721+2109+4364</f>
        <v>312817</v>
      </c>
      <c r="V234" s="14">
        <f t="shared" si="138"/>
        <v>-4248</v>
      </c>
      <c r="W234" s="607"/>
      <c r="X234" s="14">
        <f>ROUND(U234,0)</f>
        <v>312817</v>
      </c>
      <c r="Y234" s="14">
        <f t="shared" si="139"/>
        <v>0</v>
      </c>
      <c r="Z234" s="547"/>
      <c r="AA234" s="14">
        <f>ROUND(X234,0)+5430+450</f>
        <v>318697</v>
      </c>
      <c r="AB234" s="14">
        <f t="shared" si="140"/>
        <v>5880</v>
      </c>
      <c r="AC234" s="137" t="s">
        <v>966</v>
      </c>
      <c r="AD234" s="14">
        <f>ROUND(AA234,0)</f>
        <v>318697</v>
      </c>
      <c r="AE234" s="14">
        <f t="shared" si="141"/>
        <v>0</v>
      </c>
      <c r="AF234" s="137"/>
      <c r="AG234" s="585">
        <f>230883.66+10000+27602.59+12000+14176.18</f>
        <v>294662.43</v>
      </c>
      <c r="AH234" s="229">
        <f t="shared" si="145"/>
        <v>0.92458488784017423</v>
      </c>
      <c r="AI234" s="527"/>
    </row>
    <row r="235" spans="2:35" ht="18" customHeight="1" x14ac:dyDescent="0.25">
      <c r="C235" s="81" t="s">
        <v>369</v>
      </c>
      <c r="D235" s="316" t="s">
        <v>185</v>
      </c>
      <c r="E235" s="37">
        <v>1447835.9786112006</v>
      </c>
      <c r="F235" s="37">
        <f t="shared" ref="F235" si="170">F236+F237+F238</f>
        <v>1429177</v>
      </c>
      <c r="G235" s="18">
        <f t="shared" si="130"/>
        <v>-18658.978611200582</v>
      </c>
      <c r="H235" s="277"/>
      <c r="I235" s="18">
        <f>I236+I237+I238</f>
        <v>1432166</v>
      </c>
      <c r="J235" s="18">
        <f t="shared" si="154"/>
        <v>2989</v>
      </c>
      <c r="K235" s="165"/>
      <c r="L235" s="18">
        <f>L236+L237+L238</f>
        <v>1426182</v>
      </c>
      <c r="M235" s="18">
        <f t="shared" si="155"/>
        <v>-5984</v>
      </c>
      <c r="N235" s="165"/>
      <c r="O235" s="18">
        <f>O236+O237+O238</f>
        <v>1426182</v>
      </c>
      <c r="P235" s="18">
        <f t="shared" si="156"/>
        <v>0</v>
      </c>
      <c r="Q235" s="165"/>
      <c r="R235" s="18">
        <f>R236+R237+R238</f>
        <v>1430782</v>
      </c>
      <c r="S235" s="18">
        <f t="shared" si="137"/>
        <v>4600</v>
      </c>
      <c r="T235" s="165"/>
      <c r="U235" s="18">
        <f>U236+U237+U238</f>
        <v>1425343</v>
      </c>
      <c r="V235" s="18">
        <f t="shared" si="138"/>
        <v>-5439</v>
      </c>
      <c r="W235" s="165"/>
      <c r="X235" s="18">
        <f>X236+X237+X238</f>
        <v>1425343</v>
      </c>
      <c r="Y235" s="18">
        <f t="shared" si="139"/>
        <v>0</v>
      </c>
      <c r="Z235" s="165"/>
      <c r="AA235" s="18">
        <f>AA236+AA237+AA238</f>
        <v>1426087</v>
      </c>
      <c r="AB235" s="18">
        <f t="shared" si="140"/>
        <v>744</v>
      </c>
      <c r="AC235" s="277"/>
      <c r="AD235" s="18">
        <f>AD236+AD237+AD238</f>
        <v>1426588</v>
      </c>
      <c r="AE235" s="18">
        <f t="shared" si="141"/>
        <v>501</v>
      </c>
      <c r="AF235" s="165"/>
      <c r="AG235" s="587">
        <f>AG236+AG237+AG238</f>
        <v>1305384.3099999998</v>
      </c>
      <c r="AH235" s="211">
        <f t="shared" si="145"/>
        <v>0.91503945778318607</v>
      </c>
      <c r="AI235" s="515"/>
    </row>
    <row r="236" spans="2:35" ht="27.6" customHeight="1" x14ac:dyDescent="0.25">
      <c r="B236" s="60" t="s">
        <v>264</v>
      </c>
      <c r="C236" s="83" t="s">
        <v>370</v>
      </c>
      <c r="D236" s="292" t="s">
        <v>235</v>
      </c>
      <c r="E236" s="346">
        <v>158733</v>
      </c>
      <c r="F236" s="346">
        <f>ROUND(E236,0)+525</f>
        <v>159258</v>
      </c>
      <c r="G236" s="11">
        <f t="shared" si="130"/>
        <v>525</v>
      </c>
      <c r="H236" s="135" t="s">
        <v>711</v>
      </c>
      <c r="I236" s="11">
        <f>ROUND(F236,0)+2989</f>
        <v>162247</v>
      </c>
      <c r="J236" s="11">
        <f t="shared" si="154"/>
        <v>2989</v>
      </c>
      <c r="K236" s="135" t="s">
        <v>785</v>
      </c>
      <c r="L236" s="11">
        <f>ROUND(I236,0)</f>
        <v>162247</v>
      </c>
      <c r="M236" s="11">
        <f t="shared" si="155"/>
        <v>0</v>
      </c>
      <c r="N236" s="135"/>
      <c r="O236" s="11">
        <f>ROUND(L236,0)</f>
        <v>162247</v>
      </c>
      <c r="P236" s="11">
        <f t="shared" si="156"/>
        <v>0</v>
      </c>
      <c r="Q236" s="135"/>
      <c r="R236" s="11">
        <f>ROUND(O236,0)</f>
        <v>162247</v>
      </c>
      <c r="S236" s="11">
        <f t="shared" si="137"/>
        <v>0</v>
      </c>
      <c r="T236" s="135"/>
      <c r="U236" s="11">
        <f>ROUND(R236,0)-5439</f>
        <v>156808</v>
      </c>
      <c r="V236" s="11">
        <f t="shared" si="138"/>
        <v>-5439</v>
      </c>
      <c r="W236" s="135" t="s">
        <v>916</v>
      </c>
      <c r="X236" s="11">
        <f>ROUND(U236,0)</f>
        <v>156808</v>
      </c>
      <c r="Y236" s="11">
        <f t="shared" si="139"/>
        <v>0</v>
      </c>
      <c r="Z236" s="135"/>
      <c r="AA236" s="11">
        <f>ROUND(X236,0)</f>
        <v>156808</v>
      </c>
      <c r="AB236" s="11">
        <f t="shared" si="140"/>
        <v>0</v>
      </c>
      <c r="AC236" s="392"/>
      <c r="AD236" s="11">
        <f>ROUND(AA236,0)+501</f>
        <v>157309</v>
      </c>
      <c r="AE236" s="11">
        <f t="shared" si="141"/>
        <v>501</v>
      </c>
      <c r="AF236" s="135" t="s">
        <v>984</v>
      </c>
      <c r="AG236" s="474">
        <v>155508.42000000001</v>
      </c>
      <c r="AH236" s="200">
        <f t="shared" si="145"/>
        <v>0.98855386532239109</v>
      </c>
      <c r="AI236" s="504"/>
    </row>
    <row r="237" spans="2:35" ht="30" customHeight="1" x14ac:dyDescent="0.25">
      <c r="B237" s="60" t="s">
        <v>461</v>
      </c>
      <c r="C237" s="83" t="s">
        <v>371</v>
      </c>
      <c r="D237" s="292" t="s">
        <v>184</v>
      </c>
      <c r="E237" s="346">
        <v>1289102.9786112006</v>
      </c>
      <c r="F237" s="346">
        <f>ROUND(E237,0)-119772-19184</f>
        <v>1150147</v>
      </c>
      <c r="G237" s="11">
        <f t="shared" si="130"/>
        <v>-138955.97861120058</v>
      </c>
      <c r="H237" s="135" t="s">
        <v>733</v>
      </c>
      <c r="I237" s="11">
        <f>ROUND(F237,0)-64977</f>
        <v>1085170</v>
      </c>
      <c r="J237" s="11">
        <f t="shared" si="154"/>
        <v>-64977</v>
      </c>
      <c r="K237" s="135" t="s">
        <v>796</v>
      </c>
      <c r="L237" s="11">
        <f>ROUND(I237,0)-3036</f>
        <v>1082134</v>
      </c>
      <c r="M237" s="11">
        <f t="shared" si="155"/>
        <v>-3036</v>
      </c>
      <c r="N237" s="135" t="s">
        <v>815</v>
      </c>
      <c r="O237" s="11">
        <f>ROUND(L237,0)</f>
        <v>1082134</v>
      </c>
      <c r="P237" s="11">
        <f t="shared" si="156"/>
        <v>0</v>
      </c>
      <c r="Q237" s="135"/>
      <c r="R237" s="11">
        <f>ROUND(O237,0)</f>
        <v>1082134</v>
      </c>
      <c r="S237" s="11">
        <f t="shared" si="137"/>
        <v>0</v>
      </c>
      <c r="T237" s="135"/>
      <c r="U237" s="11">
        <f>ROUND(R237,0)-7000</f>
        <v>1075134</v>
      </c>
      <c r="V237" s="11">
        <f t="shared" si="138"/>
        <v>-7000</v>
      </c>
      <c r="W237" s="135" t="s">
        <v>944</v>
      </c>
      <c r="X237" s="11">
        <f>ROUND(U237,0)</f>
        <v>1075134</v>
      </c>
      <c r="Y237" s="11">
        <f t="shared" si="139"/>
        <v>0</v>
      </c>
      <c r="Z237" s="135"/>
      <c r="AA237" s="11">
        <f>ROUND(X237,0)+5310</f>
        <v>1080444</v>
      </c>
      <c r="AB237" s="11">
        <f t="shared" si="140"/>
        <v>5310</v>
      </c>
      <c r="AC237" s="567" t="s">
        <v>971</v>
      </c>
      <c r="AD237" s="11">
        <f>ROUND(AA237,0)</f>
        <v>1080444</v>
      </c>
      <c r="AE237" s="11">
        <f t="shared" si="141"/>
        <v>0</v>
      </c>
      <c r="AF237" s="567"/>
      <c r="AG237" s="474">
        <f>1149875.89-AG238</f>
        <v>977104.32999999984</v>
      </c>
      <c r="AH237" s="200">
        <f t="shared" si="145"/>
        <v>0.90435444132227105</v>
      </c>
      <c r="AI237" s="474" t="s">
        <v>575</v>
      </c>
    </row>
    <row r="238" spans="2:35" ht="60" customHeight="1" x14ac:dyDescent="0.25">
      <c r="B238" s="60"/>
      <c r="C238" s="83" t="s">
        <v>721</v>
      </c>
      <c r="D238" s="292" t="s">
        <v>528</v>
      </c>
      <c r="E238" s="350"/>
      <c r="F238" s="350">
        <v>119772</v>
      </c>
      <c r="G238" s="11">
        <f t="shared" si="130"/>
        <v>119772</v>
      </c>
      <c r="H238" s="420"/>
      <c r="I238" s="11">
        <f>ROUND(F238,0)+64977</f>
        <v>184749</v>
      </c>
      <c r="J238" s="11">
        <f>I238-F238</f>
        <v>64977</v>
      </c>
      <c r="K238" s="135" t="s">
        <v>796</v>
      </c>
      <c r="L238" s="11">
        <f>ROUND(I238,0)-2948</f>
        <v>181801</v>
      </c>
      <c r="M238" s="11">
        <f t="shared" si="155"/>
        <v>-2948</v>
      </c>
      <c r="N238" s="310" t="s">
        <v>815</v>
      </c>
      <c r="O238" s="11">
        <f>ROUND(L238,0)</f>
        <v>181801</v>
      </c>
      <c r="P238" s="11">
        <f>O238-L238</f>
        <v>0</v>
      </c>
      <c r="Q238" s="310"/>
      <c r="R238" s="11">
        <f>ROUND(O238,0)+4600</f>
        <v>186401</v>
      </c>
      <c r="S238" s="11">
        <f t="shared" si="137"/>
        <v>4600</v>
      </c>
      <c r="T238" s="135" t="s">
        <v>895</v>
      </c>
      <c r="U238" s="11">
        <f>ROUND(R238,0)+7000</f>
        <v>193401</v>
      </c>
      <c r="V238" s="11">
        <f t="shared" si="138"/>
        <v>7000</v>
      </c>
      <c r="W238" s="135"/>
      <c r="X238" s="11">
        <f>ROUND(U238,0)</f>
        <v>193401</v>
      </c>
      <c r="Y238" s="11">
        <f t="shared" si="139"/>
        <v>0</v>
      </c>
      <c r="Z238" s="135"/>
      <c r="AA238" s="11">
        <f>ROUND(X238,0)+744-5310</f>
        <v>188835</v>
      </c>
      <c r="AB238" s="11">
        <f t="shared" si="140"/>
        <v>-4566</v>
      </c>
      <c r="AC238" s="137" t="s">
        <v>972</v>
      </c>
      <c r="AD238" s="11">
        <f>ROUND(AA238,0)</f>
        <v>188835</v>
      </c>
      <c r="AE238" s="11">
        <f t="shared" si="141"/>
        <v>0</v>
      </c>
      <c r="AF238" s="137"/>
      <c r="AG238" s="585">
        <v>172771.56</v>
      </c>
      <c r="AH238" s="200">
        <f t="shared" si="145"/>
        <v>0.91493398999126219</v>
      </c>
      <c r="AI238" s="474"/>
    </row>
    <row r="239" spans="2:35" ht="27.6" customHeight="1" x14ac:dyDescent="0.25">
      <c r="C239" s="86" t="s">
        <v>372</v>
      </c>
      <c r="D239" s="316" t="s">
        <v>290</v>
      </c>
      <c r="E239" s="37">
        <v>1594129.4529886562</v>
      </c>
      <c r="F239" s="37">
        <f>F240+F241+F242</f>
        <v>1595142</v>
      </c>
      <c r="G239" s="18">
        <f t="shared" si="130"/>
        <v>1012.5470113437623</v>
      </c>
      <c r="H239" s="277"/>
      <c r="I239" s="18">
        <f>I240+I241+I242</f>
        <v>1599680</v>
      </c>
      <c r="J239" s="18">
        <f t="shared" si="154"/>
        <v>4538</v>
      </c>
      <c r="K239" s="165"/>
      <c r="L239" s="18">
        <f>L240+L241+L242</f>
        <v>1599680</v>
      </c>
      <c r="M239" s="18">
        <f t="shared" si="155"/>
        <v>0</v>
      </c>
      <c r="N239" s="165"/>
      <c r="O239" s="18">
        <f>O240+O241+O242</f>
        <v>1602830</v>
      </c>
      <c r="P239" s="18">
        <f t="shared" si="156"/>
        <v>3150</v>
      </c>
      <c r="Q239" s="165"/>
      <c r="R239" s="18">
        <f>R240+R241+R242</f>
        <v>1614666</v>
      </c>
      <c r="S239" s="18">
        <f t="shared" si="137"/>
        <v>11836</v>
      </c>
      <c r="T239" s="165"/>
      <c r="U239" s="18">
        <f>U240+U241+U242</f>
        <v>1599521</v>
      </c>
      <c r="V239" s="18">
        <f t="shared" si="138"/>
        <v>-15145</v>
      </c>
      <c r="W239" s="165"/>
      <c r="X239" s="18">
        <f>X240+X241+X242</f>
        <v>1599521</v>
      </c>
      <c r="Y239" s="18">
        <f t="shared" si="139"/>
        <v>0</v>
      </c>
      <c r="Z239" s="165"/>
      <c r="AA239" s="18">
        <f>AA240+AA241+AA242</f>
        <v>1599919</v>
      </c>
      <c r="AB239" s="18">
        <f t="shared" si="140"/>
        <v>398</v>
      </c>
      <c r="AC239" s="277"/>
      <c r="AD239" s="18">
        <f>AD240+AD241+AD242</f>
        <v>1599919</v>
      </c>
      <c r="AE239" s="18">
        <f t="shared" si="141"/>
        <v>0</v>
      </c>
      <c r="AF239" s="165"/>
      <c r="AG239" s="587">
        <f>AG240+AG241+AG242</f>
        <v>1538020.51</v>
      </c>
      <c r="AH239" s="211">
        <f t="shared" si="145"/>
        <v>0.96131148514393538</v>
      </c>
      <c r="AI239" s="510"/>
    </row>
    <row r="240" spans="2:35" ht="13.5" customHeight="1" x14ac:dyDescent="0.25">
      <c r="B240" s="2" t="s">
        <v>323</v>
      </c>
      <c r="C240" s="83" t="s">
        <v>373</v>
      </c>
      <c r="D240" s="292" t="s">
        <v>235</v>
      </c>
      <c r="E240" s="346">
        <v>238164</v>
      </c>
      <c r="F240" s="346">
        <f>ROUND(E240,0)+1013</f>
        <v>239177</v>
      </c>
      <c r="G240" s="11">
        <f t="shared" si="130"/>
        <v>1013</v>
      </c>
      <c r="H240" s="135" t="s">
        <v>711</v>
      </c>
      <c r="I240" s="11">
        <f>ROUND(F240,0)+4538</f>
        <v>243715</v>
      </c>
      <c r="J240" s="11">
        <f t="shared" si="154"/>
        <v>4538</v>
      </c>
      <c r="K240" s="127" t="s">
        <v>765</v>
      </c>
      <c r="L240" s="11">
        <f>ROUND(I240,0)</f>
        <v>243715</v>
      </c>
      <c r="M240" s="11">
        <f t="shared" si="155"/>
        <v>0</v>
      </c>
      <c r="N240" s="135"/>
      <c r="O240" s="11">
        <f>ROUND(L240,0)</f>
        <v>243715</v>
      </c>
      <c r="P240" s="11">
        <f t="shared" si="156"/>
        <v>0</v>
      </c>
      <c r="Q240" s="135"/>
      <c r="R240" s="11">
        <f>ROUND(O240,0)</f>
        <v>243715</v>
      </c>
      <c r="S240" s="11">
        <f t="shared" si="137"/>
        <v>0</v>
      </c>
      <c r="T240" s="135"/>
      <c r="U240" s="11">
        <f>ROUND(R240,0)-15145</f>
        <v>228570</v>
      </c>
      <c r="V240" s="11">
        <f t="shared" si="138"/>
        <v>-15145</v>
      </c>
      <c r="W240" s="135" t="s">
        <v>916</v>
      </c>
      <c r="X240" s="11">
        <f>ROUND(U240,0)</f>
        <v>228570</v>
      </c>
      <c r="Y240" s="11">
        <f t="shared" si="139"/>
        <v>0</v>
      </c>
      <c r="Z240" s="135"/>
      <c r="AA240" s="11">
        <f>ROUND(X240,0)</f>
        <v>228570</v>
      </c>
      <c r="AB240" s="11">
        <f t="shared" si="140"/>
        <v>0</v>
      </c>
      <c r="AC240" s="392"/>
      <c r="AD240" s="11">
        <f>ROUND(AA240,0)</f>
        <v>228570</v>
      </c>
      <c r="AE240" s="11">
        <f t="shared" si="141"/>
        <v>0</v>
      </c>
      <c r="AF240" s="135"/>
      <c r="AG240" s="474">
        <v>226225.22</v>
      </c>
      <c r="AH240" s="200">
        <f t="shared" si="145"/>
        <v>0.98974152338452115</v>
      </c>
      <c r="AI240" s="474"/>
    </row>
    <row r="241" spans="2:35" ht="15.6" customHeight="1" x14ac:dyDescent="0.25">
      <c r="B241" s="2" t="s">
        <v>324</v>
      </c>
      <c r="C241" s="83" t="s">
        <v>374</v>
      </c>
      <c r="D241" s="292" t="s">
        <v>184</v>
      </c>
      <c r="E241" s="346">
        <v>1201933.4529886562</v>
      </c>
      <c r="F241" s="346">
        <f>ROUND(E241,0)-10900</f>
        <v>1191033</v>
      </c>
      <c r="G241" s="11">
        <f t="shared" si="130"/>
        <v>-10900.452988656238</v>
      </c>
      <c r="H241" s="622" t="s">
        <v>753</v>
      </c>
      <c r="I241" s="11">
        <f>ROUND(F241,0)</f>
        <v>1191033</v>
      </c>
      <c r="J241" s="11">
        <f t="shared" si="154"/>
        <v>0</v>
      </c>
      <c r="K241" s="135"/>
      <c r="L241" s="11">
        <f>ROUND(I241,0)</f>
        <v>1191033</v>
      </c>
      <c r="M241" s="11">
        <f t="shared" si="155"/>
        <v>0</v>
      </c>
      <c r="N241" s="135"/>
      <c r="O241" s="11">
        <f>ROUND(L241,0)+3150</f>
        <v>1194183</v>
      </c>
      <c r="P241" s="11">
        <f t="shared" si="156"/>
        <v>3150</v>
      </c>
      <c r="Q241" s="135" t="s">
        <v>861</v>
      </c>
      <c r="R241" s="11">
        <f>ROUND(O241,0)+2300+9536</f>
        <v>1206019</v>
      </c>
      <c r="S241" s="12">
        <f t="shared" si="137"/>
        <v>11836</v>
      </c>
      <c r="T241" s="392" t="s">
        <v>887</v>
      </c>
      <c r="U241" s="11">
        <f>ROUND(R241,0)</f>
        <v>1206019</v>
      </c>
      <c r="V241" s="11">
        <f t="shared" si="138"/>
        <v>0</v>
      </c>
      <c r="W241" s="135"/>
      <c r="X241" s="11">
        <f>ROUND(U241,0)</f>
        <v>1206019</v>
      </c>
      <c r="Y241" s="11">
        <f t="shared" si="139"/>
        <v>0</v>
      </c>
      <c r="Z241" s="135"/>
      <c r="AA241" s="11">
        <f>ROUND(X241,0)</f>
        <v>1206019</v>
      </c>
      <c r="AB241" s="11">
        <f t="shared" si="140"/>
        <v>0</v>
      </c>
      <c r="AC241" s="392"/>
      <c r="AD241" s="39">
        <f>ROUND(AA241,0)</f>
        <v>1206019</v>
      </c>
      <c r="AE241" s="11">
        <f t="shared" si="141"/>
        <v>0</v>
      </c>
      <c r="AF241" s="135"/>
      <c r="AG241" s="474">
        <f>1311795.29-AG242</f>
        <v>1155594</v>
      </c>
      <c r="AH241" s="200">
        <f t="shared" si="145"/>
        <v>0.9581888842547257</v>
      </c>
      <c r="AI241" s="474"/>
    </row>
    <row r="242" spans="2:35" ht="32.25" customHeight="1" x14ac:dyDescent="0.25">
      <c r="C242" s="83" t="s">
        <v>527</v>
      </c>
      <c r="D242" s="292" t="s">
        <v>528</v>
      </c>
      <c r="E242" s="352">
        <v>154032</v>
      </c>
      <c r="F242" s="346">
        <f>ROUND(E242,0)+10900</f>
        <v>164932</v>
      </c>
      <c r="G242" s="11">
        <f>F242-E242</f>
        <v>10900</v>
      </c>
      <c r="H242" s="623"/>
      <c r="I242" s="11">
        <f>ROUND(F242,0)</f>
        <v>164932</v>
      </c>
      <c r="J242" s="11">
        <f t="shared" si="154"/>
        <v>0</v>
      </c>
      <c r="K242" s="137"/>
      <c r="L242" s="11">
        <f>ROUND(I242,0)</f>
        <v>164932</v>
      </c>
      <c r="M242" s="11">
        <f t="shared" si="155"/>
        <v>0</v>
      </c>
      <c r="N242" s="137"/>
      <c r="O242" s="11">
        <f>ROUND(L242,0)</f>
        <v>164932</v>
      </c>
      <c r="P242" s="11">
        <f t="shared" si="156"/>
        <v>0</v>
      </c>
      <c r="Q242" s="137"/>
      <c r="R242" s="11">
        <f>ROUND(O242,0)</f>
        <v>164932</v>
      </c>
      <c r="S242" s="11">
        <f t="shared" si="137"/>
        <v>0</v>
      </c>
      <c r="T242" s="137"/>
      <c r="U242" s="11">
        <f>ROUND(R242,0)</f>
        <v>164932</v>
      </c>
      <c r="V242" s="11">
        <f t="shared" si="138"/>
        <v>0</v>
      </c>
      <c r="W242" s="137"/>
      <c r="X242" s="11">
        <f>ROUND(U242,0)</f>
        <v>164932</v>
      </c>
      <c r="Y242" s="11">
        <f t="shared" si="139"/>
        <v>0</v>
      </c>
      <c r="Z242" s="137"/>
      <c r="AA242" s="11">
        <f>ROUND(X242,0)+398</f>
        <v>165330</v>
      </c>
      <c r="AB242" s="11">
        <f t="shared" si="140"/>
        <v>398</v>
      </c>
      <c r="AC242" s="137" t="s">
        <v>965</v>
      </c>
      <c r="AD242" s="11">
        <f>ROUND(AA242,0)</f>
        <v>165330</v>
      </c>
      <c r="AE242" s="11">
        <f t="shared" si="141"/>
        <v>0</v>
      </c>
      <c r="AF242" s="137"/>
      <c r="AG242" s="585">
        <f>145444.97+5778.04+4978.28</f>
        <v>156201.29</v>
      </c>
      <c r="AH242" s="212">
        <f t="shared" si="145"/>
        <v>0.94478491501844797</v>
      </c>
      <c r="AI242" s="504"/>
    </row>
    <row r="243" spans="2:35" x14ac:dyDescent="0.25">
      <c r="B243" s="2" t="s">
        <v>325</v>
      </c>
      <c r="C243" s="86" t="s">
        <v>375</v>
      </c>
      <c r="D243" s="316" t="s">
        <v>294</v>
      </c>
      <c r="E243" s="37">
        <v>1451440.1020564402</v>
      </c>
      <c r="F243" s="37">
        <f t="shared" ref="F243" si="171">SUM(F244:F246)</f>
        <v>1453093</v>
      </c>
      <c r="G243" s="18">
        <f t="shared" si="130"/>
        <v>1652.8979435598012</v>
      </c>
      <c r="H243" s="277"/>
      <c r="I243" s="18">
        <f>SUM(I244:I246)</f>
        <v>1456118</v>
      </c>
      <c r="J243" s="18">
        <f t="shared" si="154"/>
        <v>3025</v>
      </c>
      <c r="K243" s="165"/>
      <c r="L243" s="18">
        <f>SUM(L244:L246)</f>
        <v>1451590</v>
      </c>
      <c r="M243" s="18">
        <f t="shared" si="155"/>
        <v>-4528</v>
      </c>
      <c r="N243" s="165"/>
      <c r="O243" s="18">
        <f>SUM(O244:O246)</f>
        <v>1451590</v>
      </c>
      <c r="P243" s="18">
        <f t="shared" si="156"/>
        <v>0</v>
      </c>
      <c r="Q243" s="165"/>
      <c r="R243" s="18">
        <f>SUM(R244:R246)</f>
        <v>1451590</v>
      </c>
      <c r="S243" s="18">
        <f t="shared" si="137"/>
        <v>0</v>
      </c>
      <c r="T243" s="165"/>
      <c r="U243" s="18">
        <f>SUM(U244:U246)</f>
        <v>1485448</v>
      </c>
      <c r="V243" s="18">
        <f t="shared" si="138"/>
        <v>33858</v>
      </c>
      <c r="W243" s="165"/>
      <c r="X243" s="18">
        <f>SUM(X244:X246)</f>
        <v>1485448</v>
      </c>
      <c r="Y243" s="18">
        <f t="shared" si="139"/>
        <v>0</v>
      </c>
      <c r="Z243" s="165"/>
      <c r="AA243" s="18">
        <f>SUM(AA244:AA246)</f>
        <v>1485846</v>
      </c>
      <c r="AB243" s="18">
        <f t="shared" si="140"/>
        <v>398</v>
      </c>
      <c r="AC243" s="277"/>
      <c r="AD243" s="18">
        <f>SUM(AD244:AD246)</f>
        <v>1485846</v>
      </c>
      <c r="AE243" s="18">
        <f t="shared" si="141"/>
        <v>0</v>
      </c>
      <c r="AF243" s="165"/>
      <c r="AG243" s="587">
        <f>SUM(AG244:AG246)</f>
        <v>1408466.52</v>
      </c>
      <c r="AH243" s="211">
        <f t="shared" si="145"/>
        <v>0.94792227458296485</v>
      </c>
      <c r="AI243" s="515"/>
    </row>
    <row r="244" spans="2:35" s="28" customFormat="1" ht="29.45" customHeight="1" x14ac:dyDescent="0.25">
      <c r="B244" s="64" t="s">
        <v>326</v>
      </c>
      <c r="C244" s="83" t="s">
        <v>376</v>
      </c>
      <c r="D244" s="292" t="s">
        <v>235</v>
      </c>
      <c r="E244" s="346">
        <v>152284</v>
      </c>
      <c r="F244" s="346">
        <f>ROUND(E244,0)+1917-264</f>
        <v>153937</v>
      </c>
      <c r="G244" s="14">
        <f t="shared" ref="G244:G302" si="172">F244-E244</f>
        <v>1653</v>
      </c>
      <c r="H244" s="135" t="s">
        <v>711</v>
      </c>
      <c r="I244" s="11">
        <f>ROUND(F244,0)+3025</f>
        <v>156962</v>
      </c>
      <c r="J244" s="14">
        <f t="shared" si="154"/>
        <v>3025</v>
      </c>
      <c r="K244" s="127" t="s">
        <v>765</v>
      </c>
      <c r="L244" s="11">
        <f>ROUND(I244,0)</f>
        <v>156962</v>
      </c>
      <c r="M244" s="14">
        <f t="shared" si="155"/>
        <v>0</v>
      </c>
      <c r="N244" s="127"/>
      <c r="O244" s="11">
        <f>ROUND(L244,0)</f>
        <v>156962</v>
      </c>
      <c r="P244" s="14">
        <f t="shared" si="156"/>
        <v>0</v>
      </c>
      <c r="Q244" s="127"/>
      <c r="R244" s="11">
        <f>ROUND(O244,0)</f>
        <v>156962</v>
      </c>
      <c r="S244" s="14">
        <f t="shared" si="137"/>
        <v>0</v>
      </c>
      <c r="T244" s="127"/>
      <c r="U244" s="11">
        <f>ROUND(R244,0)+33858</f>
        <v>190820</v>
      </c>
      <c r="V244" s="14">
        <f t="shared" si="138"/>
        <v>33858</v>
      </c>
      <c r="W244" s="127" t="s">
        <v>916</v>
      </c>
      <c r="X244" s="11">
        <f>ROUND(U244,0)</f>
        <v>190820</v>
      </c>
      <c r="Y244" s="14">
        <f t="shared" si="139"/>
        <v>0</v>
      </c>
      <c r="Z244" s="127"/>
      <c r="AA244" s="11">
        <f>ROUND(X244,0)</f>
        <v>190820</v>
      </c>
      <c r="AB244" s="14">
        <f t="shared" si="140"/>
        <v>0</v>
      </c>
      <c r="AC244" s="384"/>
      <c r="AD244" s="11">
        <f>ROUND(AA244,0)</f>
        <v>190820</v>
      </c>
      <c r="AE244" s="14">
        <f t="shared" si="141"/>
        <v>0</v>
      </c>
      <c r="AF244" s="127"/>
      <c r="AG244" s="474">
        <v>190239.97</v>
      </c>
      <c r="AH244" s="200">
        <f t="shared" si="145"/>
        <v>0.99696032910596377</v>
      </c>
      <c r="AI244" s="504"/>
    </row>
    <row r="245" spans="2:35" s="28" customFormat="1" ht="15.6" customHeight="1" x14ac:dyDescent="0.25">
      <c r="C245" s="83" t="s">
        <v>377</v>
      </c>
      <c r="D245" s="292" t="s">
        <v>184</v>
      </c>
      <c r="E245" s="346">
        <v>1154321.1020564402</v>
      </c>
      <c r="F245" s="346">
        <f>ROUND(E245,0)</f>
        <v>1154321</v>
      </c>
      <c r="G245" s="181">
        <f t="shared" si="172"/>
        <v>-0.10205644019879401</v>
      </c>
      <c r="H245" s="392"/>
      <c r="I245" s="11">
        <f>ROUND(F245,0)</f>
        <v>1154321</v>
      </c>
      <c r="J245" s="181">
        <f t="shared" si="154"/>
        <v>0</v>
      </c>
      <c r="K245" s="127"/>
      <c r="L245" s="11">
        <f>ROUND(I245,0)-4528</f>
        <v>1149793</v>
      </c>
      <c r="M245" s="181">
        <f t="shared" si="155"/>
        <v>-4528</v>
      </c>
      <c r="N245" s="127" t="s">
        <v>815</v>
      </c>
      <c r="O245" s="11">
        <f>ROUND(L245,0)</f>
        <v>1149793</v>
      </c>
      <c r="P245" s="181">
        <f t="shared" si="156"/>
        <v>0</v>
      </c>
      <c r="Q245" s="127"/>
      <c r="R245" s="11">
        <f>ROUND(O245,0)</f>
        <v>1149793</v>
      </c>
      <c r="S245" s="181">
        <f t="shared" si="137"/>
        <v>0</v>
      </c>
      <c r="T245" s="127"/>
      <c r="U245" s="11">
        <f>ROUND(R245,0)</f>
        <v>1149793</v>
      </c>
      <c r="V245" s="181">
        <f t="shared" si="138"/>
        <v>0</v>
      </c>
      <c r="W245" s="127"/>
      <c r="X245" s="11">
        <f>ROUND(U245,0)</f>
        <v>1149793</v>
      </c>
      <c r="Y245" s="181">
        <f t="shared" si="139"/>
        <v>0</v>
      </c>
      <c r="Z245" s="127"/>
      <c r="AA245" s="11">
        <f>ROUND(X245,0)</f>
        <v>1149793</v>
      </c>
      <c r="AB245" s="181">
        <f t="shared" si="140"/>
        <v>0</v>
      </c>
      <c r="AC245" s="384"/>
      <c r="AD245" s="11">
        <f>ROUND(AA245,0)</f>
        <v>1149793</v>
      </c>
      <c r="AE245" s="181">
        <f t="shared" si="141"/>
        <v>0</v>
      </c>
      <c r="AF245" s="127"/>
      <c r="AG245" s="474">
        <f>1218226.55-AG246</f>
        <v>1089928.4000000001</v>
      </c>
      <c r="AH245" s="200">
        <f t="shared" si="145"/>
        <v>0.94793445428872858</v>
      </c>
      <c r="AI245" s="474"/>
    </row>
    <row r="246" spans="2:35" s="28" customFormat="1" ht="29.25" customHeight="1" x14ac:dyDescent="0.25">
      <c r="C246" s="83" t="s">
        <v>529</v>
      </c>
      <c r="D246" s="292" t="s">
        <v>528</v>
      </c>
      <c r="E246" s="352">
        <v>144835</v>
      </c>
      <c r="F246" s="346">
        <f>ROUND(E246,0)</f>
        <v>144835</v>
      </c>
      <c r="G246" s="181">
        <f>F246-E246</f>
        <v>0</v>
      </c>
      <c r="H246" s="276"/>
      <c r="I246" s="11">
        <f>ROUND(F246,0)</f>
        <v>144835</v>
      </c>
      <c r="J246" s="181">
        <f t="shared" si="154"/>
        <v>0</v>
      </c>
      <c r="K246" s="137"/>
      <c r="L246" s="11">
        <f>ROUND(I246,0)</f>
        <v>144835</v>
      </c>
      <c r="M246" s="181">
        <f t="shared" si="155"/>
        <v>0</v>
      </c>
      <c r="N246" s="137"/>
      <c r="O246" s="11">
        <f>ROUND(L246,0)</f>
        <v>144835</v>
      </c>
      <c r="P246" s="181">
        <f t="shared" si="156"/>
        <v>0</v>
      </c>
      <c r="Q246" s="137"/>
      <c r="R246" s="11">
        <f>ROUND(O246,0)</f>
        <v>144835</v>
      </c>
      <c r="S246" s="181">
        <f t="shared" si="137"/>
        <v>0</v>
      </c>
      <c r="T246" s="137"/>
      <c r="U246" s="11">
        <f>ROUND(R246,0)</f>
        <v>144835</v>
      </c>
      <c r="V246" s="181">
        <f t="shared" si="138"/>
        <v>0</v>
      </c>
      <c r="W246" s="137"/>
      <c r="X246" s="11">
        <f>ROUND(U246,0)</f>
        <v>144835</v>
      </c>
      <c r="Y246" s="181">
        <f t="shared" si="139"/>
        <v>0</v>
      </c>
      <c r="Z246" s="137"/>
      <c r="AA246" s="11">
        <f>ROUND(X246,0)+398</f>
        <v>145233</v>
      </c>
      <c r="AB246" s="181">
        <f t="shared" si="140"/>
        <v>398</v>
      </c>
      <c r="AC246" s="137" t="s">
        <v>965</v>
      </c>
      <c r="AD246" s="11">
        <f>ROUND(AA246,0)</f>
        <v>145233</v>
      </c>
      <c r="AE246" s="181">
        <f t="shared" si="141"/>
        <v>0</v>
      </c>
      <c r="AF246" s="137"/>
      <c r="AG246" s="585">
        <v>128298.15</v>
      </c>
      <c r="AH246" s="212">
        <f t="shared" si="145"/>
        <v>0.88339530272045608</v>
      </c>
      <c r="AI246" s="504"/>
    </row>
    <row r="247" spans="2:35" x14ac:dyDescent="0.25">
      <c r="C247" s="86" t="s">
        <v>378</v>
      </c>
      <c r="D247" s="316" t="s">
        <v>189</v>
      </c>
      <c r="E247" s="37">
        <v>2861690</v>
      </c>
      <c r="F247" s="37">
        <f>F248+F249+F250</f>
        <v>2818998</v>
      </c>
      <c r="G247" s="18">
        <f t="shared" si="172"/>
        <v>-42692</v>
      </c>
      <c r="H247" s="277"/>
      <c r="I247" s="18">
        <f>I248+I249+I250</f>
        <v>2827823</v>
      </c>
      <c r="J247" s="18">
        <f t="shared" si="154"/>
        <v>8825</v>
      </c>
      <c r="K247" s="165"/>
      <c r="L247" s="18">
        <f>L248+L249+L250</f>
        <v>2827823</v>
      </c>
      <c r="M247" s="18">
        <f t="shared" si="155"/>
        <v>0</v>
      </c>
      <c r="N247" s="165"/>
      <c r="O247" s="18">
        <f>O248+O249+O250</f>
        <v>2827823</v>
      </c>
      <c r="P247" s="18">
        <f t="shared" si="156"/>
        <v>0</v>
      </c>
      <c r="Q247" s="165"/>
      <c r="R247" s="18">
        <f>R248+R249+R250</f>
        <v>3046262</v>
      </c>
      <c r="S247" s="18">
        <f t="shared" si="137"/>
        <v>218439</v>
      </c>
      <c r="T247" s="165" t="s">
        <v>884</v>
      </c>
      <c r="U247" s="18">
        <f>U248+U249+U250</f>
        <v>3076350</v>
      </c>
      <c r="V247" s="18">
        <f t="shared" si="138"/>
        <v>30088</v>
      </c>
      <c r="W247" s="165"/>
      <c r="X247" s="18">
        <f>X248+X249+X250</f>
        <v>3101350</v>
      </c>
      <c r="Y247" s="18">
        <f t="shared" si="139"/>
        <v>25000</v>
      </c>
      <c r="Z247" s="165"/>
      <c r="AA247" s="18">
        <f>AA248+AA249+AA250</f>
        <v>3101350</v>
      </c>
      <c r="AB247" s="18">
        <f t="shared" si="140"/>
        <v>0</v>
      </c>
      <c r="AC247" s="277"/>
      <c r="AD247" s="18">
        <f>AD248+AD249+AD250</f>
        <v>3101350</v>
      </c>
      <c r="AE247" s="18">
        <f t="shared" si="141"/>
        <v>0</v>
      </c>
      <c r="AF247" s="165"/>
      <c r="AG247" s="510">
        <f>AG248+AG249+AG250</f>
        <v>2914833.67</v>
      </c>
      <c r="AH247" s="211">
        <f t="shared" si="145"/>
        <v>0.93985963209570023</v>
      </c>
      <c r="AI247" s="515"/>
    </row>
    <row r="248" spans="2:35" s="28" customFormat="1" ht="47.25" customHeight="1" x14ac:dyDescent="0.25">
      <c r="B248" s="64" t="s">
        <v>221</v>
      </c>
      <c r="C248" s="87" t="s">
        <v>379</v>
      </c>
      <c r="D248" s="336" t="s">
        <v>190</v>
      </c>
      <c r="E248" s="346">
        <v>833320</v>
      </c>
      <c r="F248" s="346">
        <f>ROUND(E248,0)-44403+1711</f>
        <v>790628</v>
      </c>
      <c r="G248" s="14">
        <f t="shared" si="172"/>
        <v>-42692</v>
      </c>
      <c r="H248" s="447" t="s">
        <v>754</v>
      </c>
      <c r="I248" s="11">
        <f>ROUND(F248,0)+8825</f>
        <v>799453</v>
      </c>
      <c r="J248" s="14">
        <f t="shared" si="154"/>
        <v>8825</v>
      </c>
      <c r="K248" s="465" t="s">
        <v>774</v>
      </c>
      <c r="L248" s="11">
        <f>ROUND(I248,0)</f>
        <v>799453</v>
      </c>
      <c r="M248" s="14">
        <f t="shared" si="155"/>
        <v>0</v>
      </c>
      <c r="N248" s="127"/>
      <c r="O248" s="11">
        <f>ROUND(L248,0)</f>
        <v>799453</v>
      </c>
      <c r="P248" s="14">
        <f t="shared" si="156"/>
        <v>0</v>
      </c>
      <c r="Q248" s="127"/>
      <c r="R248" s="11">
        <f>ROUND(O248,0)-179115</f>
        <v>620338</v>
      </c>
      <c r="S248" s="14">
        <f t="shared" si="137"/>
        <v>-179115</v>
      </c>
      <c r="T248" s="127" t="s">
        <v>884</v>
      </c>
      <c r="U248" s="11">
        <f>ROUND(R248,0)+30088</f>
        <v>650426</v>
      </c>
      <c r="V248" s="14">
        <f t="shared" si="138"/>
        <v>30088</v>
      </c>
      <c r="W248" s="127" t="s">
        <v>916</v>
      </c>
      <c r="X248" s="11">
        <f>ROUND(U248,0)+15000+10000</f>
        <v>675426</v>
      </c>
      <c r="Y248" s="14">
        <f t="shared" si="139"/>
        <v>25000</v>
      </c>
      <c r="Z248" s="135" t="s">
        <v>952</v>
      </c>
      <c r="AA248" s="11">
        <f>ROUND(X248,0)</f>
        <v>675426</v>
      </c>
      <c r="AB248" s="14">
        <f t="shared" si="140"/>
        <v>0</v>
      </c>
      <c r="AC248" s="392"/>
      <c r="AD248" s="11">
        <f>ROUND(AA248,0)</f>
        <v>675426</v>
      </c>
      <c r="AE248" s="14">
        <f t="shared" si="141"/>
        <v>0</v>
      </c>
      <c r="AF248" s="135"/>
      <c r="AG248" s="474">
        <v>649309.27</v>
      </c>
      <c r="AH248" s="200">
        <f t="shared" si="145"/>
        <v>0.96133295135218366</v>
      </c>
      <c r="AI248" s="528"/>
    </row>
    <row r="249" spans="2:35" s="28" customFormat="1" ht="16.149999999999999" customHeight="1" x14ac:dyDescent="0.25">
      <c r="B249" s="64" t="s">
        <v>888</v>
      </c>
      <c r="C249" s="87" t="s">
        <v>380</v>
      </c>
      <c r="D249" s="336" t="s">
        <v>679</v>
      </c>
      <c r="E249" s="346">
        <v>1865620</v>
      </c>
      <c r="F249" s="346">
        <f>ROUND(E249,0)</f>
        <v>1865620</v>
      </c>
      <c r="G249" s="14">
        <f t="shared" si="172"/>
        <v>0</v>
      </c>
      <c r="H249" s="431"/>
      <c r="I249" s="11">
        <f>ROUND(F249,0)</f>
        <v>1865620</v>
      </c>
      <c r="J249" s="14">
        <f t="shared" si="154"/>
        <v>0</v>
      </c>
      <c r="K249" s="182"/>
      <c r="L249" s="11">
        <f>ROUND(I249,0)</f>
        <v>1865620</v>
      </c>
      <c r="M249" s="14">
        <f t="shared" si="155"/>
        <v>0</v>
      </c>
      <c r="N249" s="182"/>
      <c r="O249" s="11">
        <f>ROUND(L249,0)</f>
        <v>1865620</v>
      </c>
      <c r="P249" s="14">
        <f t="shared" si="156"/>
        <v>0</v>
      </c>
      <c r="Q249" s="182"/>
      <c r="R249" s="11">
        <f>ROUND(O249,0)+338737</f>
        <v>2204357</v>
      </c>
      <c r="S249" s="14">
        <f t="shared" si="137"/>
        <v>338737</v>
      </c>
      <c r="T249" s="182" t="s">
        <v>884</v>
      </c>
      <c r="U249" s="11">
        <f>ROUND(R249,0)</f>
        <v>2204357</v>
      </c>
      <c r="V249" s="14">
        <f t="shared" si="138"/>
        <v>0</v>
      </c>
      <c r="W249" s="182"/>
      <c r="X249" s="11">
        <f>ROUND(U249,0)</f>
        <v>2204357</v>
      </c>
      <c r="Y249" s="14">
        <f t="shared" si="139"/>
        <v>0</v>
      </c>
      <c r="Z249" s="182"/>
      <c r="AA249" s="11">
        <f>ROUND(X249,0)</f>
        <v>2204357</v>
      </c>
      <c r="AB249" s="14">
        <f t="shared" si="140"/>
        <v>0</v>
      </c>
      <c r="AC249" s="431"/>
      <c r="AD249" s="11">
        <f>ROUND(AA249,0)</f>
        <v>2204357</v>
      </c>
      <c r="AE249" s="14">
        <f t="shared" si="141"/>
        <v>0</v>
      </c>
      <c r="AF249" s="182"/>
      <c r="AG249" s="474">
        <v>2062398.6</v>
      </c>
      <c r="AH249" s="200">
        <f t="shared" si="145"/>
        <v>0.93560099384990725</v>
      </c>
      <c r="AI249" s="528"/>
    </row>
    <row r="250" spans="2:35" ht="14.45" customHeight="1" x14ac:dyDescent="0.25">
      <c r="B250" s="60" t="s">
        <v>889</v>
      </c>
      <c r="C250" s="83" t="s">
        <v>381</v>
      </c>
      <c r="D250" s="292" t="s">
        <v>259</v>
      </c>
      <c r="E250" s="346">
        <v>162750</v>
      </c>
      <c r="F250" s="346">
        <f>ROUND(E250,0)</f>
        <v>162750</v>
      </c>
      <c r="G250" s="14">
        <f t="shared" si="172"/>
        <v>0</v>
      </c>
      <c r="H250" s="384"/>
      <c r="I250" s="11">
        <f>ROUND(F250,0)</f>
        <v>162750</v>
      </c>
      <c r="J250" s="14">
        <f t="shared" si="154"/>
        <v>0</v>
      </c>
      <c r="K250" s="127"/>
      <c r="L250" s="11">
        <f>ROUND(I250,0)</f>
        <v>162750</v>
      </c>
      <c r="M250" s="14">
        <f t="shared" si="155"/>
        <v>0</v>
      </c>
      <c r="N250" s="127"/>
      <c r="O250" s="11">
        <f>ROUND(L250,0)</f>
        <v>162750</v>
      </c>
      <c r="P250" s="14">
        <f t="shared" si="156"/>
        <v>0</v>
      </c>
      <c r="Q250" s="127"/>
      <c r="R250" s="11">
        <f>ROUND(O250,0)+58817</f>
        <v>221567</v>
      </c>
      <c r="S250" s="14">
        <f t="shared" si="137"/>
        <v>58817</v>
      </c>
      <c r="T250" s="127" t="s">
        <v>884</v>
      </c>
      <c r="U250" s="11">
        <f>ROUND(R250,0)</f>
        <v>221567</v>
      </c>
      <c r="V250" s="14">
        <f t="shared" si="138"/>
        <v>0</v>
      </c>
      <c r="W250" s="127"/>
      <c r="X250" s="11">
        <f>ROUND(U250,0)</f>
        <v>221567</v>
      </c>
      <c r="Y250" s="14">
        <f t="shared" si="139"/>
        <v>0</v>
      </c>
      <c r="Z250" s="127"/>
      <c r="AA250" s="11">
        <f>ROUND(X250,0)</f>
        <v>221567</v>
      </c>
      <c r="AB250" s="14">
        <f t="shared" si="140"/>
        <v>0</v>
      </c>
      <c r="AC250" s="384"/>
      <c r="AD250" s="11">
        <f>ROUND(AA250,0)</f>
        <v>221567</v>
      </c>
      <c r="AE250" s="14">
        <f t="shared" si="141"/>
        <v>0</v>
      </c>
      <c r="AF250" s="127"/>
      <c r="AG250" s="474">
        <v>203125.8</v>
      </c>
      <c r="AH250" s="488">
        <f t="shared" si="145"/>
        <v>0.91676919396841583</v>
      </c>
      <c r="AI250" s="528"/>
    </row>
    <row r="251" spans="2:35" s="4" customFormat="1" ht="15.75" customHeight="1" x14ac:dyDescent="0.2">
      <c r="C251" s="86" t="s">
        <v>382</v>
      </c>
      <c r="D251" s="316" t="s">
        <v>901</v>
      </c>
      <c r="E251" s="361">
        <v>2139500.4741500001</v>
      </c>
      <c r="F251" s="361">
        <f>F252+F256+F257+F258+F259+F260+F261</f>
        <v>2133236</v>
      </c>
      <c r="G251" s="24">
        <f t="shared" si="172"/>
        <v>-6264.4741500001401</v>
      </c>
      <c r="H251" s="422"/>
      <c r="I251" s="24">
        <f>I252+I256+I257+I258+I259+I260+I261</f>
        <v>2205896</v>
      </c>
      <c r="J251" s="24">
        <f t="shared" si="154"/>
        <v>72660</v>
      </c>
      <c r="K251" s="173"/>
      <c r="L251" s="24">
        <f>L252+L256+L257+L258+L259+L260+L261</f>
        <v>2200705</v>
      </c>
      <c r="M251" s="24">
        <f t="shared" si="155"/>
        <v>-5191</v>
      </c>
      <c r="N251" s="173"/>
      <c r="O251" s="24">
        <f>O252+O256+O257+O258+O259+O260+O261</f>
        <v>2200705</v>
      </c>
      <c r="P251" s="24">
        <f t="shared" si="156"/>
        <v>0</v>
      </c>
      <c r="Q251" s="173"/>
      <c r="R251" s="24">
        <f>R252+R256+R257+R258+R259+R260+R261</f>
        <v>2246805</v>
      </c>
      <c r="S251" s="24">
        <f t="shared" si="137"/>
        <v>46100</v>
      </c>
      <c r="T251" s="173"/>
      <c r="U251" s="24">
        <f>U252+U256+U257+U258+U259+U260+U261</f>
        <v>2387345</v>
      </c>
      <c r="V251" s="24">
        <f t="shared" si="138"/>
        <v>140540</v>
      </c>
      <c r="W251" s="173"/>
      <c r="X251" s="24">
        <f>X252+X256+X257+X258+X259+X260+X261</f>
        <v>2425467</v>
      </c>
      <c r="Y251" s="24">
        <f t="shared" si="139"/>
        <v>38122</v>
      </c>
      <c r="Z251" s="173"/>
      <c r="AA251" s="24">
        <f>AA252+AA256+AA257+AA258+AA259+AA260+AA261</f>
        <v>2426183</v>
      </c>
      <c r="AB251" s="24">
        <f t="shared" si="140"/>
        <v>716</v>
      </c>
      <c r="AC251" s="422"/>
      <c r="AD251" s="24">
        <f>AD252+AD256+AD257+AD258+AD259+AD260+AD261</f>
        <v>2426183</v>
      </c>
      <c r="AE251" s="24">
        <f t="shared" si="141"/>
        <v>0</v>
      </c>
      <c r="AF251" s="173"/>
      <c r="AG251" s="518">
        <f>AG252+AG256+AG257+AG258+AG259+AG260+AG261</f>
        <v>2372880.2999999998</v>
      </c>
      <c r="AH251" s="222">
        <f t="shared" si="145"/>
        <v>0.97803022278204066</v>
      </c>
      <c r="AI251" s="524"/>
    </row>
    <row r="252" spans="2:35" s="10" customFormat="1" ht="17.25" customHeight="1" x14ac:dyDescent="0.25">
      <c r="B252" s="62" t="s">
        <v>328</v>
      </c>
      <c r="C252" s="83" t="s">
        <v>383</v>
      </c>
      <c r="D252" s="292" t="s">
        <v>235</v>
      </c>
      <c r="E252" s="346">
        <v>1127101</v>
      </c>
      <c r="F252" s="346">
        <f>F253+F254+F255</f>
        <v>1201531</v>
      </c>
      <c r="G252" s="11">
        <f t="shared" si="172"/>
        <v>74430</v>
      </c>
      <c r="H252" s="447" t="s">
        <v>754</v>
      </c>
      <c r="I252" s="11">
        <f>I253+I254+I255</f>
        <v>1239539</v>
      </c>
      <c r="J252" s="11">
        <f t="shared" si="154"/>
        <v>38008</v>
      </c>
      <c r="K252" s="135"/>
      <c r="L252" s="11">
        <f>L253+L254+L255</f>
        <v>1239539</v>
      </c>
      <c r="M252" s="11">
        <f t="shared" si="155"/>
        <v>0</v>
      </c>
      <c r="N252" s="135"/>
      <c r="O252" s="11">
        <f>O253+O254+O255</f>
        <v>1239539</v>
      </c>
      <c r="P252" s="11">
        <f t="shared" si="156"/>
        <v>0</v>
      </c>
      <c r="Q252" s="135"/>
      <c r="R252" s="11">
        <f>R253+R254+R255</f>
        <v>1239539</v>
      </c>
      <c r="S252" s="11">
        <f t="shared" si="137"/>
        <v>0</v>
      </c>
      <c r="T252" s="135"/>
      <c r="U252" s="11">
        <f>U253+U254+U255</f>
        <v>1322260</v>
      </c>
      <c r="V252" s="11">
        <f t="shared" si="138"/>
        <v>82721</v>
      </c>
      <c r="W252" s="135" t="s">
        <v>916</v>
      </c>
      <c r="X252" s="11">
        <f>X253+X254+X255</f>
        <v>1322260</v>
      </c>
      <c r="Y252" s="11">
        <f t="shared" si="139"/>
        <v>0</v>
      </c>
      <c r="Z252" s="135"/>
      <c r="AA252" s="11">
        <f>AA253+AA254+AA255</f>
        <v>1322260</v>
      </c>
      <c r="AB252" s="11">
        <f t="shared" si="140"/>
        <v>0</v>
      </c>
      <c r="AC252" s="392"/>
      <c r="AD252" s="11">
        <f>AD253+AD254+AD255</f>
        <v>1322260</v>
      </c>
      <c r="AE252" s="11">
        <f t="shared" si="141"/>
        <v>0</v>
      </c>
      <c r="AF252" s="135"/>
      <c r="AG252" s="474">
        <f>AG253+AG254+AG255</f>
        <v>1318586.19</v>
      </c>
      <c r="AH252" s="200">
        <f t="shared" si="145"/>
        <v>0.99722156761907643</v>
      </c>
      <c r="AI252" s="504"/>
    </row>
    <row r="253" spans="2:35" s="460" customFormat="1" ht="36" customHeight="1" x14ac:dyDescent="0.25">
      <c r="B253" s="461"/>
      <c r="C253" s="120" t="s">
        <v>758</v>
      </c>
      <c r="D253" s="331" t="s">
        <v>917</v>
      </c>
      <c r="E253" s="463">
        <v>1070901</v>
      </c>
      <c r="F253" s="463">
        <f>1070901+22307</f>
        <v>1093208</v>
      </c>
      <c r="G253" s="462">
        <f t="shared" si="172"/>
        <v>22307</v>
      </c>
      <c r="H253" s="467" t="s">
        <v>754</v>
      </c>
      <c r="I253" s="462">
        <f t="shared" ref="I253:I262" si="173">ROUND(F253,0)</f>
        <v>1093208</v>
      </c>
      <c r="J253" s="462">
        <f t="shared" si="154"/>
        <v>0</v>
      </c>
      <c r="K253" s="465"/>
      <c r="L253" s="462">
        <f>ROUND(I253,0)</f>
        <v>1093208</v>
      </c>
      <c r="M253" s="11">
        <f t="shared" si="155"/>
        <v>0</v>
      </c>
      <c r="N253" s="465"/>
      <c r="O253" s="462">
        <f>ROUND(L253,0)</f>
        <v>1093208</v>
      </c>
      <c r="P253" s="462">
        <f>O253-L253</f>
        <v>0</v>
      </c>
      <c r="Q253" s="465"/>
      <c r="R253" s="462">
        <f t="shared" ref="R253:R262" si="174">ROUND(O253,0)</f>
        <v>1093208</v>
      </c>
      <c r="S253" s="462">
        <f t="shared" si="137"/>
        <v>0</v>
      </c>
      <c r="T253" s="465"/>
      <c r="U253" s="462">
        <f>ROUND(R253,0)+85381</f>
        <v>1178589</v>
      </c>
      <c r="V253" s="462">
        <f t="shared" si="138"/>
        <v>85381</v>
      </c>
      <c r="W253" s="465"/>
      <c r="X253" s="462">
        <f>ROUND(U253,0)</f>
        <v>1178589</v>
      </c>
      <c r="Y253" s="462">
        <f t="shared" si="139"/>
        <v>0</v>
      </c>
      <c r="Z253" s="465"/>
      <c r="AA253" s="462">
        <f>ROUND(X253,0)</f>
        <v>1178589</v>
      </c>
      <c r="AB253" s="462">
        <f t="shared" si="140"/>
        <v>0</v>
      </c>
      <c r="AC253" s="575"/>
      <c r="AD253" s="462">
        <f t="shared" ref="AD253:AD262" si="175">ROUND(AA253,0)</f>
        <v>1178589</v>
      </c>
      <c r="AE253" s="462">
        <f t="shared" si="141"/>
        <v>0</v>
      </c>
      <c r="AF253" s="465"/>
      <c r="AG253" s="462">
        <f>1265295.29-AG255-AG256</f>
        <v>1175432.76</v>
      </c>
      <c r="AH253" s="200">
        <f t="shared" si="145"/>
        <v>0.99732201810809362</v>
      </c>
      <c r="AI253" s="464"/>
    </row>
    <row r="254" spans="2:35" s="460" customFormat="1" ht="19.899999999999999" customHeight="1" x14ac:dyDescent="0.25">
      <c r="B254" s="461"/>
      <c r="C254" s="120" t="s">
        <v>756</v>
      </c>
      <c r="D254" s="331" t="s">
        <v>760</v>
      </c>
      <c r="E254" s="463">
        <v>56200</v>
      </c>
      <c r="F254" s="463">
        <f>56200+52004-31</f>
        <v>108173</v>
      </c>
      <c r="G254" s="462">
        <f t="shared" si="172"/>
        <v>51973</v>
      </c>
      <c r="H254" s="467" t="s">
        <v>754</v>
      </c>
      <c r="I254" s="462">
        <f>ROUND(F254,0)+18425</f>
        <v>126598</v>
      </c>
      <c r="J254" s="462">
        <f t="shared" si="154"/>
        <v>18425</v>
      </c>
      <c r="K254" s="465" t="s">
        <v>774</v>
      </c>
      <c r="L254" s="462">
        <f>ROUND(I254,0)</f>
        <v>126598</v>
      </c>
      <c r="M254" s="11">
        <f t="shared" si="155"/>
        <v>0</v>
      </c>
      <c r="N254" s="465"/>
      <c r="O254" s="462">
        <f>ROUND(L254,0)</f>
        <v>126598</v>
      </c>
      <c r="P254" s="462">
        <f>O254-L254</f>
        <v>0</v>
      </c>
      <c r="Q254" s="465"/>
      <c r="R254" s="462">
        <f t="shared" si="174"/>
        <v>126598</v>
      </c>
      <c r="S254" s="462">
        <f t="shared" si="137"/>
        <v>0</v>
      </c>
      <c r="T254" s="465"/>
      <c r="U254" s="462">
        <f>ROUND(R254,0)-2660</f>
        <v>123938</v>
      </c>
      <c r="V254" s="462">
        <f t="shared" si="138"/>
        <v>-2660</v>
      </c>
      <c r="W254" s="465"/>
      <c r="X254" s="462">
        <f>ROUND(U254,0)</f>
        <v>123938</v>
      </c>
      <c r="Y254" s="462">
        <f t="shared" si="139"/>
        <v>0</v>
      </c>
      <c r="Z254" s="465"/>
      <c r="AA254" s="462">
        <f>ROUND(X254,0)</f>
        <v>123938</v>
      </c>
      <c r="AB254" s="462">
        <f t="shared" si="140"/>
        <v>0</v>
      </c>
      <c r="AC254" s="575"/>
      <c r="AD254" s="462">
        <f t="shared" si="175"/>
        <v>123938</v>
      </c>
      <c r="AE254" s="462">
        <f t="shared" si="141"/>
        <v>0</v>
      </c>
      <c r="AF254" s="465"/>
      <c r="AG254" s="462">
        <v>123420.43</v>
      </c>
      <c r="AH254" s="200">
        <f t="shared" si="145"/>
        <v>0.99582396036728038</v>
      </c>
      <c r="AI254" s="464"/>
    </row>
    <row r="255" spans="2:35" s="460" customFormat="1" ht="17.25" customHeight="1" x14ac:dyDescent="0.25">
      <c r="B255" s="461"/>
      <c r="C255" s="120" t="s">
        <v>757</v>
      </c>
      <c r="D255" s="331" t="s">
        <v>761</v>
      </c>
      <c r="E255" s="463"/>
      <c r="F255" s="463">
        <v>150</v>
      </c>
      <c r="G255" s="462">
        <f t="shared" si="172"/>
        <v>150</v>
      </c>
      <c r="H255" s="467" t="s">
        <v>754</v>
      </c>
      <c r="I255" s="462">
        <f>ROUND(F255,0)+19583</f>
        <v>19733</v>
      </c>
      <c r="J255" s="462">
        <f t="shared" si="154"/>
        <v>19583</v>
      </c>
      <c r="K255" s="465" t="s">
        <v>785</v>
      </c>
      <c r="L255" s="462">
        <f>ROUND(I255,0)</f>
        <v>19733</v>
      </c>
      <c r="M255" s="11">
        <f t="shared" si="155"/>
        <v>0</v>
      </c>
      <c r="N255" s="465"/>
      <c r="O255" s="462">
        <f>ROUND(L255,0)</f>
        <v>19733</v>
      </c>
      <c r="P255" s="462">
        <f>O255-L255</f>
        <v>0</v>
      </c>
      <c r="Q255" s="465"/>
      <c r="R255" s="462">
        <f t="shared" si="174"/>
        <v>19733</v>
      </c>
      <c r="S255" s="462">
        <f t="shared" si="137"/>
        <v>0</v>
      </c>
      <c r="T255" s="465"/>
      <c r="U255" s="462">
        <f t="shared" ref="U255:U262" si="176">ROUND(R255,0)</f>
        <v>19733</v>
      </c>
      <c r="V255" s="462">
        <f t="shared" si="138"/>
        <v>0</v>
      </c>
      <c r="W255" s="465"/>
      <c r="X255" s="462">
        <f>ROUND(U255,0)</f>
        <v>19733</v>
      </c>
      <c r="Y255" s="462">
        <f t="shared" si="139"/>
        <v>0</v>
      </c>
      <c r="Z255" s="465"/>
      <c r="AA255" s="462">
        <f>ROUND(X255,0)</f>
        <v>19733</v>
      </c>
      <c r="AB255" s="462">
        <f t="shared" si="140"/>
        <v>0</v>
      </c>
      <c r="AC255" s="575"/>
      <c r="AD255" s="462">
        <f t="shared" si="175"/>
        <v>19733</v>
      </c>
      <c r="AE255" s="462">
        <f t="shared" si="141"/>
        <v>0</v>
      </c>
      <c r="AF255" s="465"/>
      <c r="AG255" s="462">
        <f>6070+13663</f>
        <v>19733</v>
      </c>
      <c r="AH255" s="466">
        <f t="shared" si="145"/>
        <v>1</v>
      </c>
      <c r="AI255" s="464"/>
    </row>
    <row r="256" spans="2:35" s="10" customFormat="1" ht="17.25" customHeight="1" x14ac:dyDescent="0.25">
      <c r="B256" s="10" t="s">
        <v>328</v>
      </c>
      <c r="C256" s="83" t="s">
        <v>384</v>
      </c>
      <c r="D256" s="292" t="s">
        <v>260</v>
      </c>
      <c r="E256" s="370">
        <v>49493</v>
      </c>
      <c r="F256" s="370">
        <f>ROUND(E256,0)+4754</f>
        <v>54247</v>
      </c>
      <c r="G256" s="11">
        <f t="shared" ref="G256:G261" si="177">F256-E256</f>
        <v>4754</v>
      </c>
      <c r="H256" s="135" t="s">
        <v>711</v>
      </c>
      <c r="I256" s="11">
        <f t="shared" si="173"/>
        <v>54247</v>
      </c>
      <c r="J256" s="11">
        <f t="shared" si="154"/>
        <v>0</v>
      </c>
      <c r="K256" s="135"/>
      <c r="L256" s="11">
        <f t="shared" ref="L256:L262" si="178">ROUND(I256,0)</f>
        <v>54247</v>
      </c>
      <c r="M256" s="11">
        <f t="shared" si="155"/>
        <v>0</v>
      </c>
      <c r="N256" s="135"/>
      <c r="O256" s="11">
        <f t="shared" ref="O256:O261" si="179">ROUND(L256,0)</f>
        <v>54247</v>
      </c>
      <c r="P256" s="11">
        <f t="shared" si="156"/>
        <v>0</v>
      </c>
      <c r="Q256" s="135"/>
      <c r="R256" s="11">
        <f t="shared" si="174"/>
        <v>54247</v>
      </c>
      <c r="S256" s="11">
        <f t="shared" si="137"/>
        <v>0</v>
      </c>
      <c r="T256" s="135"/>
      <c r="U256" s="11">
        <f t="shared" si="176"/>
        <v>54247</v>
      </c>
      <c r="V256" s="11">
        <f t="shared" si="138"/>
        <v>0</v>
      </c>
      <c r="W256" s="135"/>
      <c r="X256" s="11">
        <f>ROUND(U256,0)+28000</f>
        <v>82247</v>
      </c>
      <c r="Y256" s="11">
        <f t="shared" si="139"/>
        <v>28000</v>
      </c>
      <c r="Z256" s="135" t="s">
        <v>951</v>
      </c>
      <c r="AA256" s="11">
        <f>ROUND(X256,0)</f>
        <v>82247</v>
      </c>
      <c r="AB256" s="11">
        <f t="shared" si="140"/>
        <v>0</v>
      </c>
      <c r="AC256" s="392"/>
      <c r="AD256" s="11">
        <f t="shared" si="175"/>
        <v>82247</v>
      </c>
      <c r="AE256" s="11">
        <f t="shared" si="141"/>
        <v>0</v>
      </c>
      <c r="AF256" s="135"/>
      <c r="AG256" s="474">
        <v>70129.53</v>
      </c>
      <c r="AH256" s="200">
        <f t="shared" si="145"/>
        <v>0.85266976303087039</v>
      </c>
      <c r="AI256" s="504"/>
    </row>
    <row r="257" spans="2:35" s="10" customFormat="1" ht="19.5" customHeight="1" x14ac:dyDescent="0.25">
      <c r="B257" s="62" t="s">
        <v>330</v>
      </c>
      <c r="C257" s="83" t="s">
        <v>385</v>
      </c>
      <c r="D257" s="292" t="s">
        <v>184</v>
      </c>
      <c r="E257" s="346">
        <v>659972.47414999991</v>
      </c>
      <c r="F257" s="346">
        <f>ROUND(E257,0)-42018-43430</f>
        <v>574524</v>
      </c>
      <c r="G257" s="11">
        <f t="shared" si="177"/>
        <v>-85448.474149999907</v>
      </c>
      <c r="H257" s="447" t="s">
        <v>730</v>
      </c>
      <c r="I257" s="11">
        <f t="shared" si="173"/>
        <v>574524</v>
      </c>
      <c r="J257" s="11">
        <f t="shared" si="154"/>
        <v>0</v>
      </c>
      <c r="K257" s="135" t="s">
        <v>770</v>
      </c>
      <c r="L257" s="11">
        <f>ROUND(I257,0)-5191</f>
        <v>569333</v>
      </c>
      <c r="M257" s="11">
        <f t="shared" si="155"/>
        <v>-5191</v>
      </c>
      <c r="N257" s="135" t="s">
        <v>815</v>
      </c>
      <c r="O257" s="11">
        <f t="shared" si="179"/>
        <v>569333</v>
      </c>
      <c r="P257" s="11">
        <f t="shared" si="156"/>
        <v>0</v>
      </c>
      <c r="Q257" s="135"/>
      <c r="R257" s="11">
        <f t="shared" si="174"/>
        <v>569333</v>
      </c>
      <c r="S257" s="11">
        <f t="shared" si="137"/>
        <v>0</v>
      </c>
      <c r="T257" s="135"/>
      <c r="U257" s="11">
        <f>ROUND(R257,0)+57819</f>
        <v>627152</v>
      </c>
      <c r="V257" s="11">
        <f t="shared" si="138"/>
        <v>57819</v>
      </c>
      <c r="W257" s="135" t="s">
        <v>929</v>
      </c>
      <c r="X257" s="11">
        <f>ROUND(U257,0)+6300+3822</f>
        <v>637274</v>
      </c>
      <c r="Y257" s="11">
        <f t="shared" si="139"/>
        <v>10122</v>
      </c>
      <c r="Z257" s="135" t="s">
        <v>954</v>
      </c>
      <c r="AA257" s="11">
        <f>ROUND(X257,0)</f>
        <v>637274</v>
      </c>
      <c r="AB257" s="11">
        <f t="shared" si="140"/>
        <v>0</v>
      </c>
      <c r="AC257" s="392"/>
      <c r="AD257" s="11">
        <f t="shared" si="175"/>
        <v>637274</v>
      </c>
      <c r="AE257" s="11">
        <f t="shared" si="141"/>
        <v>0</v>
      </c>
      <c r="AF257" s="135"/>
      <c r="AG257" s="474">
        <f>902606.37-AG258</f>
        <v>629290.65999999992</v>
      </c>
      <c r="AH257" s="200">
        <f t="shared" si="145"/>
        <v>0.98747267266513294</v>
      </c>
      <c r="AI257" s="474"/>
    </row>
    <row r="258" spans="2:35" s="10" customFormat="1" ht="31.5" customHeight="1" x14ac:dyDescent="0.25">
      <c r="B258" s="62"/>
      <c r="C258" s="117" t="s">
        <v>386</v>
      </c>
      <c r="D258" s="292" t="s">
        <v>528</v>
      </c>
      <c r="E258" s="352">
        <v>283797</v>
      </c>
      <c r="F258" s="346">
        <f>ROUND(E258,0)</f>
        <v>283797</v>
      </c>
      <c r="G258" s="11">
        <f t="shared" si="177"/>
        <v>0</v>
      </c>
      <c r="H258" s="276"/>
      <c r="I258" s="11">
        <f t="shared" si="173"/>
        <v>283797</v>
      </c>
      <c r="J258" s="11">
        <f t="shared" si="154"/>
        <v>0</v>
      </c>
      <c r="K258" s="137"/>
      <c r="L258" s="11">
        <f t="shared" si="178"/>
        <v>283797</v>
      </c>
      <c r="M258" s="11">
        <f t="shared" si="155"/>
        <v>0</v>
      </c>
      <c r="N258" s="137"/>
      <c r="O258" s="11">
        <f>ROUND(L258,0)</f>
        <v>283797</v>
      </c>
      <c r="P258" s="11">
        <f t="shared" si="156"/>
        <v>0</v>
      </c>
      <c r="Q258" s="137"/>
      <c r="R258" s="11">
        <f t="shared" si="174"/>
        <v>283797</v>
      </c>
      <c r="S258" s="11">
        <f t="shared" si="137"/>
        <v>0</v>
      </c>
      <c r="T258" s="137"/>
      <c r="U258" s="11">
        <f t="shared" si="176"/>
        <v>283797</v>
      </c>
      <c r="V258" s="11">
        <f t="shared" si="138"/>
        <v>0</v>
      </c>
      <c r="W258" s="137"/>
      <c r="X258" s="11">
        <f>ROUND(U258,0)</f>
        <v>283797</v>
      </c>
      <c r="Y258" s="11">
        <f t="shared" si="139"/>
        <v>0</v>
      </c>
      <c r="Z258" s="137"/>
      <c r="AA258" s="11">
        <f>ROUND(X258,0)+716</f>
        <v>284513</v>
      </c>
      <c r="AB258" s="11">
        <f t="shared" si="140"/>
        <v>716</v>
      </c>
      <c r="AC258" s="137" t="s">
        <v>965</v>
      </c>
      <c r="AD258" s="11">
        <f t="shared" si="175"/>
        <v>284513</v>
      </c>
      <c r="AE258" s="11">
        <f t="shared" si="141"/>
        <v>0</v>
      </c>
      <c r="AF258" s="137"/>
      <c r="AG258" s="585">
        <v>273315.71000000002</v>
      </c>
      <c r="AH258" s="212">
        <f t="shared" ref="AH258:AH302" si="180">AG258/AD258</f>
        <v>0.96064401275161426</v>
      </c>
      <c r="AI258" s="504"/>
    </row>
    <row r="259" spans="2:35" s="10" customFormat="1" ht="16.899999999999999" customHeight="1" x14ac:dyDescent="0.25">
      <c r="B259" s="62" t="s">
        <v>329</v>
      </c>
      <c r="C259" s="83" t="s">
        <v>387</v>
      </c>
      <c r="D259" s="292" t="s">
        <v>256</v>
      </c>
      <c r="E259" s="346">
        <v>3668</v>
      </c>
      <c r="F259" s="346">
        <f>ROUND(E259,0)</f>
        <v>3668</v>
      </c>
      <c r="G259" s="11">
        <f t="shared" si="177"/>
        <v>0</v>
      </c>
      <c r="H259" s="384"/>
      <c r="I259" s="11">
        <f>ROUND(F259,0)+7552</f>
        <v>11220</v>
      </c>
      <c r="J259" s="11">
        <f t="shared" si="154"/>
        <v>7552</v>
      </c>
      <c r="K259" s="127" t="s">
        <v>772</v>
      </c>
      <c r="L259" s="11">
        <f t="shared" si="178"/>
        <v>11220</v>
      </c>
      <c r="M259" s="11">
        <f t="shared" si="155"/>
        <v>0</v>
      </c>
      <c r="N259" s="127"/>
      <c r="O259" s="11">
        <f t="shared" si="179"/>
        <v>11220</v>
      </c>
      <c r="P259" s="11">
        <f t="shared" si="156"/>
        <v>0</v>
      </c>
      <c r="Q259" s="127"/>
      <c r="R259" s="11">
        <f t="shared" si="174"/>
        <v>11220</v>
      </c>
      <c r="S259" s="11">
        <f t="shared" si="137"/>
        <v>0</v>
      </c>
      <c r="T259" s="127"/>
      <c r="U259" s="11">
        <f t="shared" si="176"/>
        <v>11220</v>
      </c>
      <c r="V259" s="11">
        <f t="shared" si="138"/>
        <v>0</v>
      </c>
      <c r="W259" s="127"/>
      <c r="X259" s="11">
        <f>ROUND(U259,0)</f>
        <v>11220</v>
      </c>
      <c r="Y259" s="11">
        <f t="shared" si="139"/>
        <v>0</v>
      </c>
      <c r="Z259" s="127"/>
      <c r="AA259" s="11">
        <f>ROUND(X259,0)</f>
        <v>11220</v>
      </c>
      <c r="AB259" s="11">
        <f t="shared" si="140"/>
        <v>0</v>
      </c>
      <c r="AC259" s="384"/>
      <c r="AD259" s="11">
        <f t="shared" si="175"/>
        <v>11220</v>
      </c>
      <c r="AE259" s="11">
        <f t="shared" si="141"/>
        <v>0</v>
      </c>
      <c r="AF259" s="127"/>
      <c r="AG259" s="474">
        <v>11127.12</v>
      </c>
      <c r="AH259" s="200">
        <f t="shared" si="180"/>
        <v>0.99172192513368995</v>
      </c>
      <c r="AI259" s="504"/>
    </row>
    <row r="260" spans="2:35" s="4" customFormat="1" ht="15.6" customHeight="1" x14ac:dyDescent="0.25">
      <c r="B260" s="60" t="s">
        <v>462</v>
      </c>
      <c r="C260" s="83" t="s">
        <v>388</v>
      </c>
      <c r="D260" s="292" t="s">
        <v>699</v>
      </c>
      <c r="E260" s="346">
        <v>15469</v>
      </c>
      <c r="F260" s="346">
        <f>ROUND(E260,0)</f>
        <v>15469</v>
      </c>
      <c r="G260" s="11">
        <f t="shared" si="177"/>
        <v>0</v>
      </c>
      <c r="H260" s="458"/>
      <c r="I260" s="11">
        <f>ROUND(F260,0)+27100</f>
        <v>42569</v>
      </c>
      <c r="J260" s="11">
        <f t="shared" si="154"/>
        <v>27100</v>
      </c>
      <c r="K260" s="479" t="s">
        <v>797</v>
      </c>
      <c r="L260" s="11">
        <f t="shared" si="178"/>
        <v>42569</v>
      </c>
      <c r="M260" s="11">
        <f t="shared" si="155"/>
        <v>0</v>
      </c>
      <c r="N260" s="151"/>
      <c r="O260" s="11">
        <f t="shared" si="179"/>
        <v>42569</v>
      </c>
      <c r="P260" s="11">
        <f t="shared" si="156"/>
        <v>0</v>
      </c>
      <c r="Q260" s="151"/>
      <c r="R260" s="11">
        <f>ROUND(O260,0)+16100+30000</f>
        <v>88669</v>
      </c>
      <c r="S260" s="11">
        <f t="shared" ref="S260:S302" si="181">R260-O260</f>
        <v>46100</v>
      </c>
      <c r="T260" s="542" t="s">
        <v>899</v>
      </c>
      <c r="U260" s="11">
        <f t="shared" si="176"/>
        <v>88669</v>
      </c>
      <c r="V260" s="11">
        <f t="shared" ref="V260:V302" si="182">U260-R260</f>
        <v>0</v>
      </c>
      <c r="W260" s="542"/>
      <c r="X260" s="11">
        <f>ROUND(U260,0)</f>
        <v>88669</v>
      </c>
      <c r="Y260" s="11">
        <f t="shared" ref="Y260:Y302" si="183">X260-U260</f>
        <v>0</v>
      </c>
      <c r="Z260" s="542"/>
      <c r="AA260" s="11">
        <f>ROUND(X260,0)</f>
        <v>88669</v>
      </c>
      <c r="AB260" s="11">
        <f t="shared" ref="AB260:AB302" si="184">AA260-X260</f>
        <v>0</v>
      </c>
      <c r="AC260" s="569"/>
      <c r="AD260" s="11">
        <f t="shared" si="175"/>
        <v>88669</v>
      </c>
      <c r="AE260" s="11">
        <f t="shared" ref="AE260:AE302" si="185">AD260-AA260</f>
        <v>0</v>
      </c>
      <c r="AF260" s="542"/>
      <c r="AG260" s="474">
        <f>16774.36+53656.73</f>
        <v>70431.09</v>
      </c>
      <c r="AH260" s="200">
        <f t="shared" si="180"/>
        <v>0.79431469848537817</v>
      </c>
      <c r="AI260" s="504"/>
    </row>
    <row r="261" spans="2:35" s="4" customFormat="1" ht="15" customHeight="1" x14ac:dyDescent="0.25">
      <c r="B261" s="60" t="s">
        <v>327</v>
      </c>
      <c r="C261" s="83" t="s">
        <v>473</v>
      </c>
      <c r="D261" s="338" t="s">
        <v>347</v>
      </c>
      <c r="E261" s="346">
        <v>0</v>
      </c>
      <c r="F261" s="346">
        <f>ROUND(E261,0)</f>
        <v>0</v>
      </c>
      <c r="G261" s="11">
        <f t="shared" si="177"/>
        <v>0</v>
      </c>
      <c r="H261" s="416"/>
      <c r="I261" s="11">
        <f t="shared" si="173"/>
        <v>0</v>
      </c>
      <c r="J261" s="11">
        <f t="shared" si="154"/>
        <v>0</v>
      </c>
      <c r="K261" s="142"/>
      <c r="L261" s="11">
        <f t="shared" si="178"/>
        <v>0</v>
      </c>
      <c r="M261" s="11">
        <f t="shared" si="155"/>
        <v>0</v>
      </c>
      <c r="N261" s="142"/>
      <c r="O261" s="11">
        <f t="shared" si="179"/>
        <v>0</v>
      </c>
      <c r="P261" s="11">
        <f t="shared" si="156"/>
        <v>0</v>
      </c>
      <c r="Q261" s="142"/>
      <c r="R261" s="11">
        <f t="shared" si="174"/>
        <v>0</v>
      </c>
      <c r="S261" s="11">
        <f t="shared" si="181"/>
        <v>0</v>
      </c>
      <c r="T261" s="142"/>
      <c r="U261" s="11">
        <f t="shared" si="176"/>
        <v>0</v>
      </c>
      <c r="V261" s="11">
        <f t="shared" si="182"/>
        <v>0</v>
      </c>
      <c r="W261" s="142"/>
      <c r="X261" s="11">
        <f>ROUND(U261,0)</f>
        <v>0</v>
      </c>
      <c r="Y261" s="11">
        <f t="shared" si="183"/>
        <v>0</v>
      </c>
      <c r="Z261" s="142"/>
      <c r="AA261" s="11">
        <f>ROUND(X261,0)</f>
        <v>0</v>
      </c>
      <c r="AB261" s="11">
        <f t="shared" si="184"/>
        <v>0</v>
      </c>
      <c r="AC261" s="416"/>
      <c r="AD261" s="11">
        <f t="shared" si="175"/>
        <v>0</v>
      </c>
      <c r="AE261" s="11">
        <f t="shared" si="185"/>
        <v>0</v>
      </c>
      <c r="AF261" s="142"/>
      <c r="AG261" s="504"/>
      <c r="AH261" s="200" t="e">
        <f t="shared" si="180"/>
        <v>#DIV/0!</v>
      </c>
      <c r="AI261" s="504"/>
    </row>
    <row r="262" spans="2:35" ht="13.5" customHeight="1" x14ac:dyDescent="0.25">
      <c r="B262" s="60" t="s">
        <v>475</v>
      </c>
      <c r="C262" s="86" t="s">
        <v>546</v>
      </c>
      <c r="D262" s="316" t="s">
        <v>474</v>
      </c>
      <c r="E262" s="361">
        <v>0</v>
      </c>
      <c r="F262" s="361">
        <f>ROUND(E262,0)+19357+102058</f>
        <v>121415</v>
      </c>
      <c r="G262" s="24">
        <f>F262-E262</f>
        <v>121415</v>
      </c>
      <c r="H262" s="145" t="s">
        <v>766</v>
      </c>
      <c r="I262" s="24">
        <f t="shared" si="173"/>
        <v>121415</v>
      </c>
      <c r="J262" s="24">
        <f t="shared" si="154"/>
        <v>0</v>
      </c>
      <c r="K262" s="145"/>
      <c r="L262" s="24">
        <f t="shared" si="178"/>
        <v>121415</v>
      </c>
      <c r="M262" s="24">
        <f t="shared" si="155"/>
        <v>0</v>
      </c>
      <c r="N262" s="145"/>
      <c r="O262" s="24">
        <f>ROUND(L262,0)-6629</f>
        <v>114786</v>
      </c>
      <c r="P262" s="24">
        <f t="shared" si="156"/>
        <v>-6629</v>
      </c>
      <c r="Q262" s="145" t="s">
        <v>847</v>
      </c>
      <c r="R262" s="24">
        <f t="shared" si="174"/>
        <v>114786</v>
      </c>
      <c r="S262" s="24">
        <f t="shared" si="181"/>
        <v>0</v>
      </c>
      <c r="T262" s="145"/>
      <c r="U262" s="24">
        <f t="shared" si="176"/>
        <v>114786</v>
      </c>
      <c r="V262" s="24">
        <f t="shared" si="182"/>
        <v>0</v>
      </c>
      <c r="W262" s="145"/>
      <c r="X262" s="24">
        <f>ROUND(U262,0)</f>
        <v>114786</v>
      </c>
      <c r="Y262" s="24">
        <f t="shared" si="183"/>
        <v>0</v>
      </c>
      <c r="Z262" s="145"/>
      <c r="AA262" s="24">
        <f>ROUND(X262,0)</f>
        <v>114786</v>
      </c>
      <c r="AB262" s="24">
        <f t="shared" si="184"/>
        <v>0</v>
      </c>
      <c r="AC262" s="399"/>
      <c r="AD262" s="24">
        <f t="shared" si="175"/>
        <v>114786</v>
      </c>
      <c r="AE262" s="24">
        <f t="shared" si="185"/>
        <v>0</v>
      </c>
      <c r="AF262" s="145"/>
      <c r="AG262" s="518">
        <v>114785.74</v>
      </c>
      <c r="AH262" s="222">
        <f t="shared" si="180"/>
        <v>0.99999773491540789</v>
      </c>
      <c r="AI262" s="510" t="s">
        <v>807</v>
      </c>
    </row>
    <row r="263" spans="2:35" s="10" customFormat="1" ht="15.75" customHeight="1" x14ac:dyDescent="0.25">
      <c r="B263" s="62"/>
      <c r="C263" s="86" t="s">
        <v>389</v>
      </c>
      <c r="D263" s="316" t="s">
        <v>192</v>
      </c>
      <c r="E263" s="24">
        <v>8531591.7446570527</v>
      </c>
      <c r="F263" s="361">
        <f>F264+F268+F269+F270+F271+F272+F273+F274+F275+F276+F277</f>
        <v>8748498</v>
      </c>
      <c r="G263" s="361">
        <f t="shared" ref="G263:H263" si="186">G264+G268+G269+G270+G271+G272+G273+G274+G275+G276+G277</f>
        <v>216906.25534294697</v>
      </c>
      <c r="H263" s="361" t="e">
        <f t="shared" si="186"/>
        <v>#VALUE!</v>
      </c>
      <c r="I263" s="361">
        <f>I264+I268+I269+I270+I271+I272+I273+I274+I275+I276+I277</f>
        <v>8832612</v>
      </c>
      <c r="J263" s="24">
        <f t="shared" si="154"/>
        <v>84114</v>
      </c>
      <c r="K263" s="145"/>
      <c r="L263" s="361">
        <f>L264+L268+L269+L270+L271+L272+L273+L274+L275+L276+L277</f>
        <v>8853612</v>
      </c>
      <c r="M263" s="24">
        <f t="shared" si="155"/>
        <v>21000</v>
      </c>
      <c r="N263" s="145"/>
      <c r="O263" s="24">
        <f>O264+O268+O269+O270+O271+O272+O273+O274+O275+O276+O277</f>
        <v>8850462</v>
      </c>
      <c r="P263" s="24">
        <f t="shared" si="156"/>
        <v>-3150</v>
      </c>
      <c r="Q263" s="145"/>
      <c r="R263" s="24">
        <f>R264+R268+R269+R270+R271+R272+R273+R274+R275+R276+R277</f>
        <v>8838626</v>
      </c>
      <c r="S263" s="24">
        <f t="shared" si="181"/>
        <v>-11836</v>
      </c>
      <c r="T263" s="145"/>
      <c r="U263" s="24">
        <f>U264+U268+U269+U270+U271+U272+U273+U274+U275+U276+U277</f>
        <v>8818160</v>
      </c>
      <c r="V263" s="24">
        <f t="shared" si="182"/>
        <v>-20466</v>
      </c>
      <c r="W263" s="145"/>
      <c r="X263" s="24">
        <f>X264+X268+X269+X270+X271+X272+X273+X274+X275+X276+X277</f>
        <v>8906206</v>
      </c>
      <c r="Y263" s="24">
        <f t="shared" si="183"/>
        <v>88046</v>
      </c>
      <c r="Z263" s="145"/>
      <c r="AA263" s="24">
        <f>AA264+AA268+AA269+AA270+AA271+AA272+AA273+AA274+AA275+AA276+AA277</f>
        <v>8943586</v>
      </c>
      <c r="AB263" s="24">
        <f t="shared" si="184"/>
        <v>37380</v>
      </c>
      <c r="AC263" s="399"/>
      <c r="AD263" s="24">
        <f>AD264+AD268+AD269+AD270+AD271+AD272+AD273+AD274+AD275+AD276+AD277</f>
        <v>8944586</v>
      </c>
      <c r="AE263" s="24">
        <f t="shared" si="185"/>
        <v>1000</v>
      </c>
      <c r="AF263" s="145"/>
      <c r="AG263" s="589">
        <f>AG264+AG268+AG269+AG270+AG271+AG272+AG273+AG274+AG275+AG276+AG277</f>
        <v>7792724.8500000015</v>
      </c>
      <c r="AH263" s="222">
        <f t="shared" si="180"/>
        <v>0.87122253059001298</v>
      </c>
      <c r="AI263" s="524"/>
    </row>
    <row r="264" spans="2:35" s="10" customFormat="1" ht="28.15" customHeight="1" x14ac:dyDescent="0.25">
      <c r="B264" s="62" t="s">
        <v>320</v>
      </c>
      <c r="C264" s="83" t="s">
        <v>390</v>
      </c>
      <c r="D264" s="292" t="s">
        <v>235</v>
      </c>
      <c r="E264" s="346">
        <v>4238288</v>
      </c>
      <c r="F264" s="346">
        <f>SUM(F265:F267)</f>
        <v>4362146</v>
      </c>
      <c r="G264" s="11">
        <f t="shared" si="172"/>
        <v>123858</v>
      </c>
      <c r="H264" s="447" t="s">
        <v>754</v>
      </c>
      <c r="I264" s="11">
        <f>SUM(I265:I267)</f>
        <v>4407640</v>
      </c>
      <c r="J264" s="11">
        <f t="shared" si="154"/>
        <v>45494</v>
      </c>
      <c r="K264" s="135"/>
      <c r="L264" s="11">
        <f>SUM(L265:L267)</f>
        <v>4407640</v>
      </c>
      <c r="M264" s="11">
        <f t="shared" si="155"/>
        <v>0</v>
      </c>
      <c r="N264" s="135"/>
      <c r="O264" s="11">
        <f>SUM(O265:O267)</f>
        <v>4407640</v>
      </c>
      <c r="P264" s="11">
        <f t="shared" si="156"/>
        <v>0</v>
      </c>
      <c r="Q264" s="135"/>
      <c r="R264" s="11">
        <f>SUM(R265:R267)</f>
        <v>4407640</v>
      </c>
      <c r="S264" s="11">
        <f t="shared" si="181"/>
        <v>0</v>
      </c>
      <c r="T264" s="135"/>
      <c r="U264" s="11">
        <f>SUM(U265:U267)</f>
        <v>4396662</v>
      </c>
      <c r="V264" s="11">
        <f t="shared" si="182"/>
        <v>-10978</v>
      </c>
      <c r="W264" s="135" t="s">
        <v>916</v>
      </c>
      <c r="X264" s="11">
        <f>SUM(X265:X267)</f>
        <v>4396662</v>
      </c>
      <c r="Y264" s="11">
        <f t="shared" si="183"/>
        <v>0</v>
      </c>
      <c r="Z264" s="135"/>
      <c r="AA264" s="11">
        <f>SUM(AA265:AA267)</f>
        <v>4396662</v>
      </c>
      <c r="AB264" s="11">
        <f t="shared" si="184"/>
        <v>0</v>
      </c>
      <c r="AC264" s="392"/>
      <c r="AD264" s="11">
        <f>SUM(AD265:AD267)</f>
        <v>4397662</v>
      </c>
      <c r="AE264" s="11">
        <f t="shared" si="185"/>
        <v>1000</v>
      </c>
      <c r="AF264" s="135"/>
      <c r="AG264" s="474">
        <f>SUM(AG265:AG267)</f>
        <v>4377340.41</v>
      </c>
      <c r="AH264" s="200">
        <f t="shared" si="180"/>
        <v>0.99537900138755553</v>
      </c>
      <c r="AI264" s="504"/>
    </row>
    <row r="265" spans="2:35" s="460" customFormat="1" ht="17.25" customHeight="1" x14ac:dyDescent="0.25">
      <c r="B265" s="461"/>
      <c r="C265" s="120" t="s">
        <v>762</v>
      </c>
      <c r="D265" s="331" t="s">
        <v>759</v>
      </c>
      <c r="E265" s="463">
        <v>4021527</v>
      </c>
      <c r="F265" s="463">
        <f>4021527+17418-6716</f>
        <v>4032229</v>
      </c>
      <c r="G265" s="462">
        <f t="shared" si="172"/>
        <v>10702</v>
      </c>
      <c r="H265" s="467" t="s">
        <v>754</v>
      </c>
      <c r="I265" s="462">
        <f>ROUND(F265,0)</f>
        <v>4032229</v>
      </c>
      <c r="J265" s="462">
        <f>I265-F265</f>
        <v>0</v>
      </c>
      <c r="K265" s="465"/>
      <c r="L265" s="462">
        <f>ROUND(I265,0)</f>
        <v>4032229</v>
      </c>
      <c r="M265" s="11">
        <f t="shared" si="155"/>
        <v>0</v>
      </c>
      <c r="N265" s="465"/>
      <c r="O265" s="11">
        <f>ROUND(L265,0)</f>
        <v>4032229</v>
      </c>
      <c r="P265" s="11">
        <f>O265-L265</f>
        <v>0</v>
      </c>
      <c r="Q265" s="465"/>
      <c r="R265" s="11">
        <f>ROUND(O265,0)</f>
        <v>4032229</v>
      </c>
      <c r="S265" s="11">
        <f t="shared" si="181"/>
        <v>0</v>
      </c>
      <c r="T265" s="465"/>
      <c r="U265" s="11">
        <f>ROUND(R265,0)+(14311-2258)</f>
        <v>4044282</v>
      </c>
      <c r="V265" s="11">
        <f t="shared" si="182"/>
        <v>12053</v>
      </c>
      <c r="W265" s="465"/>
      <c r="X265" s="11">
        <f>ROUND(U265,0)</f>
        <v>4044282</v>
      </c>
      <c r="Y265" s="11">
        <f t="shared" si="183"/>
        <v>0</v>
      </c>
      <c r="Z265" s="465"/>
      <c r="AA265" s="11">
        <f>ROUND(X265,0)</f>
        <v>4044282</v>
      </c>
      <c r="AB265" s="11">
        <f t="shared" si="184"/>
        <v>0</v>
      </c>
      <c r="AC265" s="575"/>
      <c r="AD265" s="11">
        <f t="shared" ref="AD265:AD276" si="187">ROUND(AA265,0)</f>
        <v>4044282</v>
      </c>
      <c r="AE265" s="11">
        <f t="shared" si="185"/>
        <v>0</v>
      </c>
      <c r="AF265" s="465"/>
      <c r="AG265" s="462">
        <f>4300210.79-AG267-AG276</f>
        <v>4025816.8300000005</v>
      </c>
      <c r="AH265" s="200">
        <f t="shared" si="180"/>
        <v>0.99543425260651963</v>
      </c>
      <c r="AI265" s="464"/>
    </row>
    <row r="266" spans="2:35" s="460" customFormat="1" ht="16.899999999999999" customHeight="1" x14ac:dyDescent="0.25">
      <c r="B266" s="461"/>
      <c r="C266" s="120" t="s">
        <v>763</v>
      </c>
      <c r="D266" s="331" t="s">
        <v>760</v>
      </c>
      <c r="E266" s="463">
        <v>216761</v>
      </c>
      <c r="F266" s="463">
        <f>216761+110614+3572+30+4-1482</f>
        <v>329499</v>
      </c>
      <c r="G266" s="462">
        <f t="shared" si="172"/>
        <v>112738</v>
      </c>
      <c r="H266" s="467" t="s">
        <v>754</v>
      </c>
      <c r="I266" s="462">
        <f>ROUND(F266,0)-49310+22060+264</f>
        <v>302513</v>
      </c>
      <c r="J266" s="462">
        <f>I266-F266</f>
        <v>-26986</v>
      </c>
      <c r="K266" s="465" t="s">
        <v>774</v>
      </c>
      <c r="L266" s="462">
        <f>ROUND(I266,0)</f>
        <v>302513</v>
      </c>
      <c r="M266" s="11">
        <f t="shared" si="155"/>
        <v>0</v>
      </c>
      <c r="N266" s="465"/>
      <c r="O266" s="11">
        <f>ROUND(L266,0)</f>
        <v>302513</v>
      </c>
      <c r="P266" s="11">
        <f>O266-L266</f>
        <v>0</v>
      </c>
      <c r="Q266" s="465"/>
      <c r="R266" s="11">
        <f>ROUND(O266,0)</f>
        <v>302513</v>
      </c>
      <c r="S266" s="11">
        <f t="shared" si="181"/>
        <v>0</v>
      </c>
      <c r="T266" s="465"/>
      <c r="U266" s="11">
        <f>ROUND(R266,0)-4668-18363</f>
        <v>279482</v>
      </c>
      <c r="V266" s="11">
        <f t="shared" si="182"/>
        <v>-23031</v>
      </c>
      <c r="W266" s="465"/>
      <c r="X266" s="11">
        <f>ROUND(U266,0)</f>
        <v>279482</v>
      </c>
      <c r="Y266" s="11">
        <f t="shared" si="183"/>
        <v>0</v>
      </c>
      <c r="Z266" s="465"/>
      <c r="AA266" s="11">
        <f>ROUND(X266,0)</f>
        <v>279482</v>
      </c>
      <c r="AB266" s="11">
        <f t="shared" si="184"/>
        <v>0</v>
      </c>
      <c r="AC266" s="575"/>
      <c r="AD266" s="11">
        <f t="shared" si="187"/>
        <v>279482</v>
      </c>
      <c r="AE266" s="11">
        <f t="shared" si="185"/>
        <v>0</v>
      </c>
      <c r="AF266" s="465"/>
      <c r="AG266" s="462">
        <v>278714.02</v>
      </c>
      <c r="AH266" s="200">
        <f t="shared" si="180"/>
        <v>0.99725213072756036</v>
      </c>
      <c r="AI266" s="464"/>
    </row>
    <row r="267" spans="2:35" s="460" customFormat="1" ht="31.5" customHeight="1" x14ac:dyDescent="0.25">
      <c r="B267" s="461"/>
      <c r="C267" s="120" t="s">
        <v>764</v>
      </c>
      <c r="D267" s="331" t="s">
        <v>761</v>
      </c>
      <c r="E267" s="463"/>
      <c r="F267" s="463">
        <f>418</f>
        <v>418</v>
      </c>
      <c r="G267" s="462">
        <f t="shared" si="172"/>
        <v>418</v>
      </c>
      <c r="H267" s="467" t="s">
        <v>754</v>
      </c>
      <c r="I267" s="462">
        <f>ROUND(F267,0)-264+71355+538+851</f>
        <v>72898</v>
      </c>
      <c r="J267" s="462">
        <f>I267-F267</f>
        <v>72480</v>
      </c>
      <c r="K267" s="465" t="s">
        <v>765</v>
      </c>
      <c r="L267" s="462">
        <f>ROUND(I267,0)</f>
        <v>72898</v>
      </c>
      <c r="M267" s="11">
        <f t="shared" si="155"/>
        <v>0</v>
      </c>
      <c r="N267" s="465"/>
      <c r="O267" s="11">
        <f>ROUND(L267,0)</f>
        <v>72898</v>
      </c>
      <c r="P267" s="11">
        <f>O267-L267</f>
        <v>0</v>
      </c>
      <c r="Q267" s="465"/>
      <c r="R267" s="11">
        <f>ROUND(O267,0)</f>
        <v>72898</v>
      </c>
      <c r="S267" s="11">
        <f t="shared" si="181"/>
        <v>0</v>
      </c>
      <c r="T267" s="465"/>
      <c r="U267" s="11">
        <f>ROUND(R267,0)</f>
        <v>72898</v>
      </c>
      <c r="V267" s="11">
        <f t="shared" si="182"/>
        <v>0</v>
      </c>
      <c r="W267" s="465"/>
      <c r="X267" s="11">
        <f>ROUND(U267,0)</f>
        <v>72898</v>
      </c>
      <c r="Y267" s="11">
        <f t="shared" si="183"/>
        <v>0</v>
      </c>
      <c r="Z267" s="465"/>
      <c r="AA267" s="11">
        <f>ROUND(X267,0)</f>
        <v>72898</v>
      </c>
      <c r="AB267" s="11">
        <f t="shared" si="184"/>
        <v>0</v>
      </c>
      <c r="AC267" s="575"/>
      <c r="AD267" s="11">
        <f>ROUND(AA267,0)+1000</f>
        <v>73898</v>
      </c>
      <c r="AE267" s="11">
        <f t="shared" si="185"/>
        <v>1000</v>
      </c>
      <c r="AF267" s="465" t="s">
        <v>984</v>
      </c>
      <c r="AG267" s="462">
        <f>3652.2+69157.36</f>
        <v>72809.56</v>
      </c>
      <c r="AH267" s="466">
        <f t="shared" si="180"/>
        <v>0.98527104928414844</v>
      </c>
      <c r="AI267" s="464"/>
    </row>
    <row r="268" spans="2:35" s="10" customFormat="1" ht="31.5" customHeight="1" x14ac:dyDescent="0.25">
      <c r="B268" s="62" t="s">
        <v>219</v>
      </c>
      <c r="C268" s="83" t="s">
        <v>391</v>
      </c>
      <c r="D268" s="292" t="s">
        <v>184</v>
      </c>
      <c r="E268" s="346">
        <v>1427218.8621271863</v>
      </c>
      <c r="F268" s="346">
        <f>ROUND(E268,0)-337847+35517</f>
        <v>1124889</v>
      </c>
      <c r="G268" s="11">
        <f t="shared" si="172"/>
        <v>-302329.86212718626</v>
      </c>
      <c r="H268" s="310" t="s">
        <v>739</v>
      </c>
      <c r="I268" s="11">
        <f>ROUND(F268,0)-146203</f>
        <v>978686</v>
      </c>
      <c r="J268" s="11">
        <f t="shared" si="154"/>
        <v>-146203</v>
      </c>
      <c r="K268" s="135" t="s">
        <v>788</v>
      </c>
      <c r="L268" s="11">
        <f>ROUND(I268,0)+5000+16000</f>
        <v>999686</v>
      </c>
      <c r="M268" s="11">
        <f t="shared" si="155"/>
        <v>21000</v>
      </c>
      <c r="N268" s="499" t="s">
        <v>829</v>
      </c>
      <c r="O268" s="11">
        <f>ROUND(L268,0)-6000</f>
        <v>993686</v>
      </c>
      <c r="P268" s="11">
        <f t="shared" si="156"/>
        <v>-6000</v>
      </c>
      <c r="Q268" s="182" t="s">
        <v>790</v>
      </c>
      <c r="R268" s="11">
        <f>ROUND(O268,0)-5600</f>
        <v>988086</v>
      </c>
      <c r="S268" s="11">
        <f t="shared" si="181"/>
        <v>-5600</v>
      </c>
      <c r="T268" s="626" t="s">
        <v>890</v>
      </c>
      <c r="U268" s="11">
        <f>ROUND(R268,0)-12000-8708</f>
        <v>967378</v>
      </c>
      <c r="V268" s="11">
        <f t="shared" si="182"/>
        <v>-20708</v>
      </c>
      <c r="W268" s="548" t="s">
        <v>936</v>
      </c>
      <c r="X268" s="11">
        <f>ROUND(U268,0)+110000</f>
        <v>1077378</v>
      </c>
      <c r="Y268" s="11">
        <f t="shared" si="183"/>
        <v>110000</v>
      </c>
      <c r="Z268" s="548" t="s">
        <v>957</v>
      </c>
      <c r="AA268" s="11">
        <f>ROUND(X268,0)-3700</f>
        <v>1073678</v>
      </c>
      <c r="AB268" s="11">
        <f t="shared" si="184"/>
        <v>-3700</v>
      </c>
      <c r="AC268" s="310" t="s">
        <v>973</v>
      </c>
      <c r="AD268" s="11">
        <f t="shared" si="187"/>
        <v>1073678</v>
      </c>
      <c r="AE268" s="11">
        <f t="shared" si="185"/>
        <v>0</v>
      </c>
      <c r="AF268" s="310"/>
      <c r="AG268" s="474">
        <f>1792942.96-AG269-AG272-AG273</f>
        <v>914106.57</v>
      </c>
      <c r="AH268" s="200">
        <f t="shared" si="180"/>
        <v>0.85137869081791739</v>
      </c>
      <c r="AI268" s="504"/>
    </row>
    <row r="269" spans="2:35" s="10" customFormat="1" ht="30" customHeight="1" x14ac:dyDescent="0.25">
      <c r="B269" s="62"/>
      <c r="C269" s="83" t="s">
        <v>392</v>
      </c>
      <c r="D269" s="326" t="s">
        <v>528</v>
      </c>
      <c r="E269" s="350"/>
      <c r="F269" s="350">
        <v>337847</v>
      </c>
      <c r="G269" s="11">
        <f t="shared" si="172"/>
        <v>337847</v>
      </c>
      <c r="H269" s="310"/>
      <c r="I269" s="122">
        <f>ROUND(F269,0)+10919+146203</f>
        <v>494969</v>
      </c>
      <c r="J269" s="122">
        <f>I269-F269</f>
        <v>157122</v>
      </c>
      <c r="K269" s="310" t="s">
        <v>787</v>
      </c>
      <c r="L269" s="122">
        <f>ROUND(I269,0)</f>
        <v>494969</v>
      </c>
      <c r="M269" s="11">
        <f t="shared" si="155"/>
        <v>0</v>
      </c>
      <c r="N269" s="310"/>
      <c r="O269" s="11">
        <f>ROUND(L269,0)+6000</f>
        <v>500969</v>
      </c>
      <c r="P269" s="11">
        <f>O269-L269</f>
        <v>6000</v>
      </c>
      <c r="Q269" s="182" t="s">
        <v>790</v>
      </c>
      <c r="R269" s="11">
        <f>ROUND(O269,0)+5600</f>
        <v>506569</v>
      </c>
      <c r="S269" s="11">
        <f t="shared" si="181"/>
        <v>5600</v>
      </c>
      <c r="T269" s="627"/>
      <c r="U269" s="11">
        <f>ROUND(R269,0)+12000+2300+8708</f>
        <v>529577</v>
      </c>
      <c r="V269" s="11">
        <f t="shared" si="182"/>
        <v>23008</v>
      </c>
      <c r="W269" s="548" t="s">
        <v>937</v>
      </c>
      <c r="X269" s="11">
        <f>ROUND(U269,0)</f>
        <v>529577</v>
      </c>
      <c r="Y269" s="11">
        <f t="shared" si="183"/>
        <v>0</v>
      </c>
      <c r="Z269" s="548"/>
      <c r="AA269" s="11">
        <f>ROUND(X269,0)+17331+3700</f>
        <v>550608</v>
      </c>
      <c r="AB269" s="11">
        <f t="shared" si="184"/>
        <v>21031</v>
      </c>
      <c r="AC269" s="137" t="s">
        <v>974</v>
      </c>
      <c r="AD269" s="11">
        <f t="shared" si="187"/>
        <v>550608</v>
      </c>
      <c r="AE269" s="11">
        <f t="shared" si="185"/>
        <v>0</v>
      </c>
      <c r="AF269" s="137"/>
      <c r="AG269" s="585">
        <f>466951.1+50109.27</f>
        <v>517060.37</v>
      </c>
      <c r="AH269" s="200">
        <f t="shared" si="180"/>
        <v>0.93907166259843666</v>
      </c>
      <c r="AI269" s="504"/>
    </row>
    <row r="270" spans="2:35" s="10" customFormat="1" ht="15" customHeight="1" x14ac:dyDescent="0.25">
      <c r="B270" s="10" t="s">
        <v>321</v>
      </c>
      <c r="C270" s="83" t="s">
        <v>393</v>
      </c>
      <c r="D270" s="292" t="s">
        <v>234</v>
      </c>
      <c r="E270" s="346">
        <v>266093</v>
      </c>
      <c r="F270" s="346">
        <f>ROUND(E270,0)</f>
        <v>266093</v>
      </c>
      <c r="G270" s="11">
        <f t="shared" si="172"/>
        <v>0</v>
      </c>
      <c r="H270" s="182"/>
      <c r="I270" s="11">
        <f>ROUND(F270,0)-27100</f>
        <v>238993</v>
      </c>
      <c r="J270" s="11">
        <f t="shared" si="154"/>
        <v>-27100</v>
      </c>
      <c r="K270" s="479" t="s">
        <v>797</v>
      </c>
      <c r="L270" s="11">
        <f t="shared" ref="L270:L276" si="188">ROUND(I270,0)</f>
        <v>238993</v>
      </c>
      <c r="M270" s="11">
        <f t="shared" si="155"/>
        <v>0</v>
      </c>
      <c r="N270" s="182"/>
      <c r="O270" s="11">
        <f t="shared" ref="O270:O276" si="189">ROUND(L270,0)</f>
        <v>238993</v>
      </c>
      <c r="P270" s="11">
        <f t="shared" si="156"/>
        <v>0</v>
      </c>
      <c r="Q270" s="182"/>
      <c r="R270" s="11">
        <f t="shared" ref="R270:R276" si="190">ROUND(O270,0)</f>
        <v>238993</v>
      </c>
      <c r="S270" s="11">
        <f t="shared" si="181"/>
        <v>0</v>
      </c>
      <c r="T270" s="182"/>
      <c r="U270" s="11">
        <f t="shared" ref="U270:U276" si="191">ROUND(R270,0)</f>
        <v>238993</v>
      </c>
      <c r="V270" s="11">
        <f t="shared" si="182"/>
        <v>0</v>
      </c>
      <c r="W270" s="182"/>
      <c r="X270" s="11">
        <f>ROUND(U270,0)</f>
        <v>238993</v>
      </c>
      <c r="Y270" s="11">
        <f t="shared" si="183"/>
        <v>0</v>
      </c>
      <c r="Z270" s="182"/>
      <c r="AA270" s="11">
        <f>ROUND(X270,0)</f>
        <v>238993</v>
      </c>
      <c r="AB270" s="11">
        <f t="shared" si="184"/>
        <v>0</v>
      </c>
      <c r="AC270" s="431"/>
      <c r="AD270" s="11">
        <f t="shared" si="187"/>
        <v>238993</v>
      </c>
      <c r="AE270" s="11">
        <f t="shared" si="185"/>
        <v>0</v>
      </c>
      <c r="AF270" s="182"/>
      <c r="AG270" s="474">
        <v>160493.03</v>
      </c>
      <c r="AH270" s="200">
        <f t="shared" si="180"/>
        <v>0.6715386224701142</v>
      </c>
      <c r="AI270" s="504"/>
    </row>
    <row r="271" spans="2:35" s="10" customFormat="1" ht="16.149999999999999" customHeight="1" x14ac:dyDescent="0.25">
      <c r="B271" s="62" t="s">
        <v>267</v>
      </c>
      <c r="C271" s="83" t="s">
        <v>394</v>
      </c>
      <c r="D271" s="292" t="s">
        <v>256</v>
      </c>
      <c r="E271" s="346">
        <v>14485</v>
      </c>
      <c r="F271" s="346">
        <f>ROUND(E271,0)</f>
        <v>14485</v>
      </c>
      <c r="G271" s="43">
        <f t="shared" si="172"/>
        <v>0</v>
      </c>
      <c r="H271" s="127"/>
      <c r="I271" s="11">
        <f>ROUND(F271,0)+26175</f>
        <v>40660</v>
      </c>
      <c r="J271" s="43">
        <f t="shared" si="154"/>
        <v>26175</v>
      </c>
      <c r="K271" s="127" t="s">
        <v>772</v>
      </c>
      <c r="L271" s="11">
        <f t="shared" si="188"/>
        <v>40660</v>
      </c>
      <c r="M271" s="43">
        <f t="shared" si="155"/>
        <v>0</v>
      </c>
      <c r="N271" s="127"/>
      <c r="O271" s="11">
        <f t="shared" si="189"/>
        <v>40660</v>
      </c>
      <c r="P271" s="43">
        <f t="shared" si="156"/>
        <v>0</v>
      </c>
      <c r="Q271" s="127"/>
      <c r="R271" s="11">
        <f t="shared" si="190"/>
        <v>40660</v>
      </c>
      <c r="S271" s="43">
        <f t="shared" si="181"/>
        <v>0</v>
      </c>
      <c r="T271" s="127"/>
      <c r="U271" s="11">
        <f t="shared" si="191"/>
        <v>40660</v>
      </c>
      <c r="V271" s="43">
        <f t="shared" si="182"/>
        <v>0</v>
      </c>
      <c r="W271" s="127"/>
      <c r="X271" s="11">
        <f>ROUND(U271,0)</f>
        <v>40660</v>
      </c>
      <c r="Y271" s="43">
        <f t="shared" si="183"/>
        <v>0</v>
      </c>
      <c r="Z271" s="127"/>
      <c r="AA271" s="11">
        <f>ROUND(X271,0)</f>
        <v>40660</v>
      </c>
      <c r="AB271" s="43">
        <f t="shared" si="184"/>
        <v>0</v>
      </c>
      <c r="AC271" s="384"/>
      <c r="AD271" s="11">
        <f t="shared" si="187"/>
        <v>40660</v>
      </c>
      <c r="AE271" s="43">
        <f t="shared" si="185"/>
        <v>0</v>
      </c>
      <c r="AF271" s="127"/>
      <c r="AG271" s="474">
        <v>37437.78</v>
      </c>
      <c r="AH271" s="200">
        <f t="shared" si="180"/>
        <v>0.92075209050664042</v>
      </c>
      <c r="AI271" s="504"/>
    </row>
    <row r="272" spans="2:35" s="5" customFormat="1" ht="27.75" customHeight="1" x14ac:dyDescent="0.25">
      <c r="B272" s="62" t="s">
        <v>219</v>
      </c>
      <c r="C272" s="325" t="s">
        <v>395</v>
      </c>
      <c r="D272" s="292" t="s">
        <v>489</v>
      </c>
      <c r="E272" s="346">
        <v>34497</v>
      </c>
      <c r="F272" s="346">
        <f>ROUND(E272,0)+53231</f>
        <v>87728</v>
      </c>
      <c r="G272" s="54">
        <f t="shared" si="172"/>
        <v>53231</v>
      </c>
      <c r="H272" s="144" t="s">
        <v>726</v>
      </c>
      <c r="I272" s="11">
        <f>ROUND(F272,0)</f>
        <v>87728</v>
      </c>
      <c r="J272" s="54">
        <f t="shared" si="154"/>
        <v>0</v>
      </c>
      <c r="K272" s="144"/>
      <c r="L272" s="11">
        <f t="shared" si="188"/>
        <v>87728</v>
      </c>
      <c r="M272" s="54">
        <f t="shared" si="155"/>
        <v>0</v>
      </c>
      <c r="N272" s="144"/>
      <c r="O272" s="11">
        <f t="shared" si="189"/>
        <v>87728</v>
      </c>
      <c r="P272" s="54">
        <f t="shared" si="156"/>
        <v>0</v>
      </c>
      <c r="Q272" s="144"/>
      <c r="R272" s="11">
        <f t="shared" si="190"/>
        <v>87728</v>
      </c>
      <c r="S272" s="54">
        <f t="shared" si="181"/>
        <v>0</v>
      </c>
      <c r="T272" s="144"/>
      <c r="U272" s="11">
        <f t="shared" si="191"/>
        <v>87728</v>
      </c>
      <c r="V272" s="54">
        <f t="shared" si="182"/>
        <v>0</v>
      </c>
      <c r="W272" s="144"/>
      <c r="X272" s="11">
        <f>ROUND(U272,0)</f>
        <v>87728</v>
      </c>
      <c r="Y272" s="54">
        <f t="shared" si="183"/>
        <v>0</v>
      </c>
      <c r="Z272" s="144"/>
      <c r="AA272" s="11">
        <f>ROUND(X272,0)</f>
        <v>87728</v>
      </c>
      <c r="AB272" s="54">
        <f t="shared" si="184"/>
        <v>0</v>
      </c>
      <c r="AC272" s="398"/>
      <c r="AD272" s="11">
        <f t="shared" si="187"/>
        <v>87728</v>
      </c>
      <c r="AE272" s="54">
        <f t="shared" si="185"/>
        <v>0</v>
      </c>
      <c r="AF272" s="144"/>
      <c r="AG272" s="474">
        <v>78123.649999999994</v>
      </c>
      <c r="AH272" s="200">
        <f t="shared" si="180"/>
        <v>0.89052127028998718</v>
      </c>
      <c r="AI272" s="528" t="s">
        <v>913</v>
      </c>
    </row>
    <row r="273" spans="2:35" s="5" customFormat="1" ht="44.25" customHeight="1" x14ac:dyDescent="0.25">
      <c r="B273" s="62" t="s">
        <v>219</v>
      </c>
      <c r="C273" s="83" t="s">
        <v>396</v>
      </c>
      <c r="D273" s="326" t="s">
        <v>672</v>
      </c>
      <c r="E273" s="350">
        <v>870000</v>
      </c>
      <c r="F273" s="346">
        <f>ROUND(E273,0)</f>
        <v>870000</v>
      </c>
      <c r="G273" s="54">
        <f>F273-E273</f>
        <v>0</v>
      </c>
      <c r="H273" s="420"/>
      <c r="I273" s="122">
        <f>ROUND(F273,0)</f>
        <v>870000</v>
      </c>
      <c r="J273" s="122">
        <f>I273-F273</f>
        <v>0</v>
      </c>
      <c r="K273" s="310"/>
      <c r="L273" s="11">
        <f t="shared" si="188"/>
        <v>870000</v>
      </c>
      <c r="M273" s="54">
        <f t="shared" si="155"/>
        <v>0</v>
      </c>
      <c r="N273" s="310"/>
      <c r="O273" s="11">
        <f>ROUND(L273,0)</f>
        <v>870000</v>
      </c>
      <c r="P273" s="54">
        <f>O273-L273</f>
        <v>0</v>
      </c>
      <c r="Q273" s="310"/>
      <c r="R273" s="11">
        <f t="shared" si="190"/>
        <v>870000</v>
      </c>
      <c r="S273" s="54">
        <f t="shared" si="181"/>
        <v>0</v>
      </c>
      <c r="T273" s="310"/>
      <c r="U273" s="11">
        <f>ROUND(R273,0)-2300</f>
        <v>867700</v>
      </c>
      <c r="V273" s="54">
        <f t="shared" si="182"/>
        <v>-2300</v>
      </c>
      <c r="W273" s="310" t="s">
        <v>918</v>
      </c>
      <c r="X273" s="11">
        <f>ROUND(U273,0)</f>
        <v>867700</v>
      </c>
      <c r="Y273" s="54">
        <f t="shared" si="183"/>
        <v>0</v>
      </c>
      <c r="Z273" s="310"/>
      <c r="AA273" s="11">
        <f>ROUND(X273,0)</f>
        <v>867700</v>
      </c>
      <c r="AB273" s="54">
        <f t="shared" si="184"/>
        <v>0</v>
      </c>
      <c r="AC273" s="420"/>
      <c r="AD273" s="11">
        <f t="shared" si="187"/>
        <v>867700</v>
      </c>
      <c r="AE273" s="54">
        <f t="shared" si="185"/>
        <v>0</v>
      </c>
      <c r="AF273" s="310"/>
      <c r="AG273" s="474">
        <f>361776.02-AG272</f>
        <v>283652.37</v>
      </c>
      <c r="AH273" s="208">
        <f t="shared" si="180"/>
        <v>0.32690142906534514</v>
      </c>
      <c r="AI273" s="504"/>
    </row>
    <row r="274" spans="2:35" s="5" customFormat="1" ht="16.5" customHeight="1" x14ac:dyDescent="0.25">
      <c r="B274" s="61" t="s">
        <v>239</v>
      </c>
      <c r="C274" s="83" t="s">
        <v>397</v>
      </c>
      <c r="D274" s="292" t="s">
        <v>254</v>
      </c>
      <c r="E274" s="346">
        <v>1006133.6654766668</v>
      </c>
      <c r="F274" s="346">
        <f>ROUND(E274,0)-197877-65904</f>
        <v>742353</v>
      </c>
      <c r="G274" s="11">
        <f t="shared" si="172"/>
        <v>-263780.66547666676</v>
      </c>
      <c r="H274" s="310" t="s">
        <v>734</v>
      </c>
      <c r="I274" s="11">
        <f>ROUND(F274,0)-58159</f>
        <v>684194</v>
      </c>
      <c r="J274" s="11">
        <f t="shared" si="154"/>
        <v>-58159</v>
      </c>
      <c r="K274" s="135" t="s">
        <v>793</v>
      </c>
      <c r="L274" s="11">
        <f t="shared" si="188"/>
        <v>684194</v>
      </c>
      <c r="M274" s="11">
        <f t="shared" si="155"/>
        <v>0</v>
      </c>
      <c r="N274" s="135"/>
      <c r="O274" s="11">
        <f t="shared" si="189"/>
        <v>684194</v>
      </c>
      <c r="P274" s="11">
        <f t="shared" si="156"/>
        <v>0</v>
      </c>
      <c r="Q274" s="135"/>
      <c r="R274" s="11">
        <f t="shared" si="190"/>
        <v>684194</v>
      </c>
      <c r="S274" s="11">
        <f t="shared" si="181"/>
        <v>0</v>
      </c>
      <c r="T274" s="135"/>
      <c r="U274" s="11">
        <f>ROUND(R274,0)-9168</f>
        <v>675026</v>
      </c>
      <c r="V274" s="11">
        <f t="shared" si="182"/>
        <v>-9168</v>
      </c>
      <c r="W274" s="135" t="s">
        <v>934</v>
      </c>
      <c r="X274" s="11">
        <f>ROUND(U274,0)+35046-110000</f>
        <v>600072</v>
      </c>
      <c r="Y274" s="11">
        <f t="shared" si="183"/>
        <v>-74954</v>
      </c>
      <c r="Z274" s="310" t="s">
        <v>956</v>
      </c>
      <c r="AA274" s="11">
        <f>ROUND(X274,0)-1000</f>
        <v>599072</v>
      </c>
      <c r="AB274" s="11">
        <f t="shared" si="184"/>
        <v>-1000</v>
      </c>
      <c r="AC274" s="310" t="s">
        <v>969</v>
      </c>
      <c r="AD274" s="11">
        <f t="shared" si="187"/>
        <v>599072</v>
      </c>
      <c r="AE274" s="11">
        <f t="shared" si="185"/>
        <v>0</v>
      </c>
      <c r="AF274" s="310"/>
      <c r="AG274" s="474">
        <f>824432.64-AG275</f>
        <v>523896.06</v>
      </c>
      <c r="AH274" s="200">
        <f t="shared" si="180"/>
        <v>0.87451267961113188</v>
      </c>
      <c r="AI274" s="504"/>
    </row>
    <row r="275" spans="2:35" s="5" customFormat="1" ht="18" customHeight="1" x14ac:dyDescent="0.25">
      <c r="B275" s="61"/>
      <c r="C275" s="325" t="s">
        <v>695</v>
      </c>
      <c r="D275" s="326" t="s">
        <v>720</v>
      </c>
      <c r="E275" s="350"/>
      <c r="F275" s="350">
        <v>197877</v>
      </c>
      <c r="G275" s="11">
        <f t="shared" si="172"/>
        <v>197877</v>
      </c>
      <c r="H275" s="310"/>
      <c r="I275" s="11">
        <f>ROUND(F275,0)+19453+58159</f>
        <v>275489</v>
      </c>
      <c r="J275" s="11">
        <f>I275-F275</f>
        <v>77612</v>
      </c>
      <c r="K275" s="310" t="s">
        <v>792</v>
      </c>
      <c r="L275" s="11">
        <f>ROUND(I275,0)</f>
        <v>275489</v>
      </c>
      <c r="M275" s="11">
        <f>L275-I275</f>
        <v>0</v>
      </c>
      <c r="N275" s="310"/>
      <c r="O275" s="11">
        <f>ROUND(L275,0)</f>
        <v>275489</v>
      </c>
      <c r="P275" s="11">
        <f>O275-L275</f>
        <v>0</v>
      </c>
      <c r="Q275" s="310"/>
      <c r="R275" s="11">
        <f t="shared" si="190"/>
        <v>275489</v>
      </c>
      <c r="S275" s="11">
        <f t="shared" si="181"/>
        <v>0</v>
      </c>
      <c r="T275" s="310"/>
      <c r="U275" s="11">
        <f>ROUND(R275,0)+3590+9168</f>
        <v>288247</v>
      </c>
      <c r="V275" s="11">
        <f t="shared" si="182"/>
        <v>12758</v>
      </c>
      <c r="W275" s="310" t="s">
        <v>935</v>
      </c>
      <c r="X275" s="11">
        <f>ROUND(U275,0)</f>
        <v>288247</v>
      </c>
      <c r="Y275" s="11">
        <f t="shared" si="183"/>
        <v>0</v>
      </c>
      <c r="Z275" s="310"/>
      <c r="AA275" s="11">
        <f>ROUND(X275,0)+20049+1000</f>
        <v>309296</v>
      </c>
      <c r="AB275" s="11">
        <f t="shared" si="184"/>
        <v>21049</v>
      </c>
      <c r="AC275" s="137" t="s">
        <v>970</v>
      </c>
      <c r="AD275" s="11">
        <f t="shared" si="187"/>
        <v>309296</v>
      </c>
      <c r="AE275" s="11">
        <f t="shared" si="185"/>
        <v>0</v>
      </c>
      <c r="AF275" s="137"/>
      <c r="AG275" s="585">
        <v>300536.58</v>
      </c>
      <c r="AH275" s="200">
        <f t="shared" si="180"/>
        <v>0.97167949149035238</v>
      </c>
      <c r="AI275" s="504"/>
    </row>
    <row r="276" spans="2:35" s="5" customFormat="1" ht="20.25" customHeight="1" x14ac:dyDescent="0.25">
      <c r="B276" s="62" t="s">
        <v>320</v>
      </c>
      <c r="C276" s="83" t="s">
        <v>715</v>
      </c>
      <c r="D276" s="292" t="s">
        <v>261</v>
      </c>
      <c r="E276" s="346">
        <v>166307</v>
      </c>
      <c r="F276" s="346">
        <f>ROUND(E276,0)+69974</f>
        <v>236281</v>
      </c>
      <c r="G276" s="43">
        <f t="shared" si="172"/>
        <v>69974</v>
      </c>
      <c r="H276" s="135" t="s">
        <v>711</v>
      </c>
      <c r="I276" s="11">
        <f>ROUND(F276,0)</f>
        <v>236281</v>
      </c>
      <c r="J276" s="43">
        <f t="shared" si="154"/>
        <v>0</v>
      </c>
      <c r="K276" s="128"/>
      <c r="L276" s="11">
        <f t="shared" si="188"/>
        <v>236281</v>
      </c>
      <c r="M276" s="43">
        <f t="shared" si="155"/>
        <v>0</v>
      </c>
      <c r="N276" s="128"/>
      <c r="O276" s="11">
        <f t="shared" si="189"/>
        <v>236281</v>
      </c>
      <c r="P276" s="43">
        <f t="shared" si="156"/>
        <v>0</v>
      </c>
      <c r="Q276" s="128"/>
      <c r="R276" s="11">
        <f t="shared" si="190"/>
        <v>236281</v>
      </c>
      <c r="S276" s="43">
        <f t="shared" si="181"/>
        <v>0</v>
      </c>
      <c r="T276" s="128"/>
      <c r="U276" s="11">
        <f t="shared" si="191"/>
        <v>236281</v>
      </c>
      <c r="V276" s="43">
        <f t="shared" si="182"/>
        <v>0</v>
      </c>
      <c r="W276" s="128"/>
      <c r="X276" s="11">
        <f>ROUND(U276,0)+53000</f>
        <v>289281</v>
      </c>
      <c r="Y276" s="43">
        <f t="shared" si="183"/>
        <v>53000</v>
      </c>
      <c r="Z276" s="135" t="s">
        <v>950</v>
      </c>
      <c r="AA276" s="11">
        <f>ROUND(X276,0)</f>
        <v>289281</v>
      </c>
      <c r="AB276" s="43">
        <f t="shared" si="184"/>
        <v>0</v>
      </c>
      <c r="AC276" s="392"/>
      <c r="AD276" s="11">
        <f t="shared" si="187"/>
        <v>289281</v>
      </c>
      <c r="AE276" s="43">
        <f t="shared" si="185"/>
        <v>0</v>
      </c>
      <c r="AF276" s="135"/>
      <c r="AG276" s="474">
        <v>201584.4</v>
      </c>
      <c r="AH276" s="200">
        <f t="shared" si="180"/>
        <v>0.69684631897704996</v>
      </c>
      <c r="AI276" s="504"/>
    </row>
    <row r="277" spans="2:35" s="90" customFormat="1" ht="13.9" customHeight="1" x14ac:dyDescent="0.25">
      <c r="B277" s="61"/>
      <c r="C277" s="91" t="s">
        <v>716</v>
      </c>
      <c r="D277" s="337" t="s">
        <v>269</v>
      </c>
      <c r="E277" s="374">
        <v>508569.2170532</v>
      </c>
      <c r="F277" s="374">
        <f t="shared" ref="F277" si="192">F278+F279+F280</f>
        <v>508799</v>
      </c>
      <c r="G277" s="106">
        <f t="shared" si="172"/>
        <v>229.78294679999817</v>
      </c>
      <c r="H277" s="432"/>
      <c r="I277" s="106">
        <f>I278+I279+I280</f>
        <v>517972</v>
      </c>
      <c r="J277" s="106">
        <f t="shared" si="154"/>
        <v>9173</v>
      </c>
      <c r="K277" s="106"/>
      <c r="L277" s="106">
        <f>L278+L279+L280</f>
        <v>517972</v>
      </c>
      <c r="M277" s="106">
        <f t="shared" si="155"/>
        <v>0</v>
      </c>
      <c r="N277" s="106"/>
      <c r="O277" s="106">
        <f>O278+O279+O280</f>
        <v>514822</v>
      </c>
      <c r="P277" s="106">
        <f t="shared" si="156"/>
        <v>-3150</v>
      </c>
      <c r="Q277" s="106"/>
      <c r="R277" s="106">
        <f>R278+R279+R280</f>
        <v>502986</v>
      </c>
      <c r="S277" s="106">
        <f t="shared" si="181"/>
        <v>-11836</v>
      </c>
      <c r="T277" s="106"/>
      <c r="U277" s="106">
        <f>U278+U279+U280</f>
        <v>489908</v>
      </c>
      <c r="V277" s="106">
        <f t="shared" si="182"/>
        <v>-13078</v>
      </c>
      <c r="W277" s="106"/>
      <c r="X277" s="106">
        <f>X278+X279+X280</f>
        <v>489908</v>
      </c>
      <c r="Y277" s="106">
        <f t="shared" si="183"/>
        <v>0</v>
      </c>
      <c r="Z277" s="106"/>
      <c r="AA277" s="106">
        <f>AA278+AA279+AA280</f>
        <v>489908</v>
      </c>
      <c r="AB277" s="106">
        <f t="shared" si="184"/>
        <v>0</v>
      </c>
      <c r="AC277" s="432"/>
      <c r="AD277" s="106">
        <f>AD278+AD279+AD280</f>
        <v>489908</v>
      </c>
      <c r="AE277" s="106">
        <f t="shared" si="185"/>
        <v>0</v>
      </c>
      <c r="AF277" s="106"/>
      <c r="AG277" s="588">
        <f>AG278+AG279+AG280</f>
        <v>398493.63</v>
      </c>
      <c r="AH277" s="230">
        <f t="shared" si="180"/>
        <v>0.81340502706630635</v>
      </c>
      <c r="AI277" s="529"/>
    </row>
    <row r="278" spans="2:35" s="5" customFormat="1" ht="25.15" customHeight="1" x14ac:dyDescent="0.25">
      <c r="B278" s="60" t="s">
        <v>319</v>
      </c>
      <c r="C278" s="88" t="s">
        <v>717</v>
      </c>
      <c r="D278" s="292" t="s">
        <v>786</v>
      </c>
      <c r="E278" s="346">
        <v>138119</v>
      </c>
      <c r="F278" s="346">
        <f>ROUND(E278,0)-46+276</f>
        <v>138349</v>
      </c>
      <c r="G278" s="54">
        <f t="shared" si="172"/>
        <v>230</v>
      </c>
      <c r="H278" s="135" t="s">
        <v>711</v>
      </c>
      <c r="I278" s="11">
        <f>ROUND(F278,0)+2468</f>
        <v>140817</v>
      </c>
      <c r="J278" s="54">
        <f t="shared" si="154"/>
        <v>2468</v>
      </c>
      <c r="K278" s="144" t="s">
        <v>765</v>
      </c>
      <c r="L278" s="11">
        <f>ROUND(I278,0)</f>
        <v>140817</v>
      </c>
      <c r="M278" s="54">
        <f t="shared" si="155"/>
        <v>0</v>
      </c>
      <c r="N278" s="144"/>
      <c r="O278" s="11">
        <f>ROUND(L278,0)</f>
        <v>140817</v>
      </c>
      <c r="P278" s="54">
        <f t="shared" si="156"/>
        <v>0</v>
      </c>
      <c r="Q278" s="144"/>
      <c r="R278" s="11">
        <f>ROUND(O278,0)</f>
        <v>140817</v>
      </c>
      <c r="S278" s="54">
        <f t="shared" si="181"/>
        <v>0</v>
      </c>
      <c r="T278" s="144"/>
      <c r="U278" s="11">
        <f>ROUND(R278,0)-13078</f>
        <v>127739</v>
      </c>
      <c r="V278" s="54">
        <f t="shared" si="182"/>
        <v>-13078</v>
      </c>
      <c r="W278" s="144" t="s">
        <v>916</v>
      </c>
      <c r="X278" s="11">
        <f>ROUND(U278,0)</f>
        <v>127739</v>
      </c>
      <c r="Y278" s="54">
        <f t="shared" si="183"/>
        <v>0</v>
      </c>
      <c r="Z278" s="144"/>
      <c r="AA278" s="11">
        <f>ROUND(X278,0)</f>
        <v>127739</v>
      </c>
      <c r="AB278" s="54">
        <f t="shared" si="184"/>
        <v>0</v>
      </c>
      <c r="AC278" s="398"/>
      <c r="AD278" s="11">
        <f>ROUND(AA278,0)</f>
        <v>127739</v>
      </c>
      <c r="AE278" s="54">
        <f t="shared" si="185"/>
        <v>0</v>
      </c>
      <c r="AF278" s="144"/>
      <c r="AG278" s="474">
        <v>127575.54</v>
      </c>
      <c r="AH278" s="200">
        <f t="shared" si="180"/>
        <v>0.9987203594830083</v>
      </c>
      <c r="AI278" s="474"/>
    </row>
    <row r="279" spans="2:35" s="4" customFormat="1" ht="13.9" customHeight="1" x14ac:dyDescent="0.25">
      <c r="B279" s="61" t="s">
        <v>268</v>
      </c>
      <c r="C279" s="88" t="s">
        <v>718</v>
      </c>
      <c r="D279" s="292" t="s">
        <v>270</v>
      </c>
      <c r="E279" s="346">
        <v>370450.2170532</v>
      </c>
      <c r="F279" s="346">
        <f>ROUND(E279,0)-14058</f>
        <v>356392</v>
      </c>
      <c r="G279" s="54">
        <f t="shared" si="172"/>
        <v>-14058.217053200002</v>
      </c>
      <c r="H279" s="136"/>
      <c r="I279" s="11">
        <f>ROUND(F279,0)-6000</f>
        <v>350392</v>
      </c>
      <c r="J279" s="54">
        <f t="shared" si="154"/>
        <v>-6000</v>
      </c>
      <c r="K279" s="136" t="s">
        <v>790</v>
      </c>
      <c r="L279" s="11">
        <f>ROUND(I279,0)</f>
        <v>350392</v>
      </c>
      <c r="M279" s="54">
        <f t="shared" si="155"/>
        <v>0</v>
      </c>
      <c r="N279" s="136"/>
      <c r="O279" s="11">
        <f>ROUND(L279,0)-3150</f>
        <v>347242</v>
      </c>
      <c r="P279" s="54">
        <f t="shared" si="156"/>
        <v>-3150</v>
      </c>
      <c r="Q279" s="135" t="s">
        <v>861</v>
      </c>
      <c r="R279" s="11">
        <f>ROUND(O279,0)-2300-9536</f>
        <v>335406</v>
      </c>
      <c r="S279" s="54">
        <f t="shared" si="181"/>
        <v>-11836</v>
      </c>
      <c r="T279" s="135" t="s">
        <v>887</v>
      </c>
      <c r="U279" s="11">
        <f>ROUND(R279,0)</f>
        <v>335406</v>
      </c>
      <c r="V279" s="54">
        <f t="shared" si="182"/>
        <v>0</v>
      </c>
      <c r="W279" s="135"/>
      <c r="X279" s="11">
        <f>ROUND(U279,0)</f>
        <v>335406</v>
      </c>
      <c r="Y279" s="54">
        <f t="shared" si="183"/>
        <v>0</v>
      </c>
      <c r="Z279" s="135"/>
      <c r="AA279" s="11">
        <f>ROUND(X279,0)</f>
        <v>335406</v>
      </c>
      <c r="AB279" s="54">
        <f t="shared" si="184"/>
        <v>0</v>
      </c>
      <c r="AC279" s="392"/>
      <c r="AD279" s="11">
        <f>ROUND(AA279,0)</f>
        <v>335406</v>
      </c>
      <c r="AE279" s="54">
        <f t="shared" si="185"/>
        <v>0</v>
      </c>
      <c r="AF279" s="135"/>
      <c r="AG279" s="474">
        <f>270918.09-AG280</f>
        <v>246147.85000000003</v>
      </c>
      <c r="AH279" s="200">
        <f t="shared" si="180"/>
        <v>0.73388028240401193</v>
      </c>
      <c r="AI279" s="474"/>
    </row>
    <row r="280" spans="2:35" s="4" customFormat="1" ht="13.9" customHeight="1" x14ac:dyDescent="0.25">
      <c r="B280" s="61"/>
      <c r="C280" s="88" t="s">
        <v>719</v>
      </c>
      <c r="D280" s="326" t="s">
        <v>713</v>
      </c>
      <c r="E280" s="350"/>
      <c r="F280" s="350">
        <v>14058</v>
      </c>
      <c r="G280" s="54">
        <f t="shared" si="172"/>
        <v>14058</v>
      </c>
      <c r="H280" s="143" t="s">
        <v>714</v>
      </c>
      <c r="I280" s="122">
        <f>ROUND(F280,0)+6705+6000</f>
        <v>26763</v>
      </c>
      <c r="J280" s="122">
        <f>I280-F280</f>
        <v>12705</v>
      </c>
      <c r="K280" s="310" t="s">
        <v>789</v>
      </c>
      <c r="L280" s="11">
        <f>ROUND(I280,0)</f>
        <v>26763</v>
      </c>
      <c r="M280" s="54">
        <f t="shared" si="155"/>
        <v>0</v>
      </c>
      <c r="N280" s="143"/>
      <c r="O280" s="11">
        <f>ROUND(L280,0)</f>
        <v>26763</v>
      </c>
      <c r="P280" s="54">
        <f>O280-L280</f>
        <v>0</v>
      </c>
      <c r="Q280" s="143"/>
      <c r="R280" s="11">
        <f>ROUND(O280,0)</f>
        <v>26763</v>
      </c>
      <c r="S280" s="54">
        <f t="shared" si="181"/>
        <v>0</v>
      </c>
      <c r="T280" s="143"/>
      <c r="U280" s="11">
        <f>ROUND(R280,0)</f>
        <v>26763</v>
      </c>
      <c r="V280" s="54">
        <f t="shared" si="182"/>
        <v>0</v>
      </c>
      <c r="W280" s="143"/>
      <c r="X280" s="11">
        <f>ROUND(U280,0)</f>
        <v>26763</v>
      </c>
      <c r="Y280" s="54">
        <f t="shared" si="183"/>
        <v>0</v>
      </c>
      <c r="Z280" s="143"/>
      <c r="AA280" s="11">
        <f>ROUND(X280,0)</f>
        <v>26763</v>
      </c>
      <c r="AB280" s="54">
        <f t="shared" si="184"/>
        <v>0</v>
      </c>
      <c r="AC280" s="396"/>
      <c r="AD280" s="11">
        <f>ROUND(AA280,0)</f>
        <v>26763</v>
      </c>
      <c r="AE280" s="54">
        <f t="shared" si="185"/>
        <v>0</v>
      </c>
      <c r="AF280" s="143"/>
      <c r="AG280" s="585">
        <v>24770.240000000002</v>
      </c>
      <c r="AH280" s="200">
        <f t="shared" si="180"/>
        <v>0.92554048499794495</v>
      </c>
      <c r="AI280" s="474"/>
    </row>
    <row r="281" spans="2:35" ht="18" customHeight="1" x14ac:dyDescent="0.25">
      <c r="C281" s="86" t="s">
        <v>398</v>
      </c>
      <c r="D281" s="316" t="s">
        <v>515</v>
      </c>
      <c r="E281" s="361">
        <v>1647206</v>
      </c>
      <c r="F281" s="361">
        <f t="shared" ref="F281" si="193">F282+F283</f>
        <v>1852644</v>
      </c>
      <c r="G281" s="24">
        <f t="shared" si="172"/>
        <v>205438</v>
      </c>
      <c r="H281" s="289"/>
      <c r="I281" s="24">
        <f>I282+I283</f>
        <v>1852644</v>
      </c>
      <c r="J281" s="24">
        <f t="shared" si="154"/>
        <v>0</v>
      </c>
      <c r="K281" s="24"/>
      <c r="L281" s="24">
        <f>L282+L283</f>
        <v>1856644</v>
      </c>
      <c r="M281" s="24">
        <f t="shared" si="155"/>
        <v>4000</v>
      </c>
      <c r="N281" s="24"/>
      <c r="O281" s="24">
        <f>O282+O283</f>
        <v>1856644</v>
      </c>
      <c r="P281" s="24">
        <f t="shared" si="156"/>
        <v>0</v>
      </c>
      <c r="Q281" s="24"/>
      <c r="R281" s="24">
        <f>R282+R283</f>
        <v>1856644</v>
      </c>
      <c r="S281" s="24">
        <f t="shared" si="181"/>
        <v>0</v>
      </c>
      <c r="T281" s="24"/>
      <c r="U281" s="24">
        <f>U282+U283</f>
        <v>1852110</v>
      </c>
      <c r="V281" s="24">
        <f t="shared" si="182"/>
        <v>-4534</v>
      </c>
      <c r="W281" s="24"/>
      <c r="X281" s="24">
        <f>X282+X283</f>
        <v>1852110</v>
      </c>
      <c r="Y281" s="24">
        <f t="shared" si="183"/>
        <v>0</v>
      </c>
      <c r="Z281" s="24"/>
      <c r="AA281" s="24">
        <f>AA282+AA283</f>
        <v>1852110</v>
      </c>
      <c r="AB281" s="24">
        <f t="shared" si="184"/>
        <v>0</v>
      </c>
      <c r="AC281" s="289"/>
      <c r="AD281" s="24">
        <f>AD282+AD283</f>
        <v>1852110</v>
      </c>
      <c r="AE281" s="24">
        <f t="shared" si="185"/>
        <v>0</v>
      </c>
      <c r="AF281" s="24"/>
      <c r="AG281" s="518">
        <f>AG282+AG283</f>
        <v>1800981.94</v>
      </c>
      <c r="AH281" s="222">
        <f t="shared" si="180"/>
        <v>0.97239469577940829</v>
      </c>
      <c r="AI281" s="518"/>
    </row>
    <row r="282" spans="2:35" ht="13.5" customHeight="1" x14ac:dyDescent="0.25">
      <c r="C282" s="83" t="s">
        <v>399</v>
      </c>
      <c r="D282" s="292" t="s">
        <v>182</v>
      </c>
      <c r="E282" s="346">
        <v>651116</v>
      </c>
      <c r="F282" s="346">
        <f>ROUND(E282,0)+1832+142597</f>
        <v>795545</v>
      </c>
      <c r="G282" s="11">
        <f t="shared" si="172"/>
        <v>144429</v>
      </c>
      <c r="H282" s="135" t="s">
        <v>737</v>
      </c>
      <c r="I282" s="11">
        <f>ROUND(F282,0)</f>
        <v>795545</v>
      </c>
      <c r="J282" s="11">
        <f t="shared" si="154"/>
        <v>0</v>
      </c>
      <c r="K282" s="135"/>
      <c r="L282" s="11">
        <f>ROUND(I282,0)</f>
        <v>795545</v>
      </c>
      <c r="M282" s="11">
        <f t="shared" si="155"/>
        <v>0</v>
      </c>
      <c r="N282" s="135"/>
      <c r="O282" s="11">
        <f>ROUND(L282,0)</f>
        <v>795545</v>
      </c>
      <c r="P282" s="11">
        <f t="shared" si="156"/>
        <v>0</v>
      </c>
      <c r="Q282" s="135"/>
      <c r="R282" s="11">
        <f>ROUND(O282,0)</f>
        <v>795545</v>
      </c>
      <c r="S282" s="11">
        <f t="shared" si="181"/>
        <v>0</v>
      </c>
      <c r="T282" s="135"/>
      <c r="U282" s="11">
        <f>ROUND(R282,0)-4534</f>
        <v>791011</v>
      </c>
      <c r="V282" s="11">
        <f t="shared" si="182"/>
        <v>-4534</v>
      </c>
      <c r="W282" s="135" t="s">
        <v>916</v>
      </c>
      <c r="X282" s="11">
        <f>ROUND(U282,0)</f>
        <v>791011</v>
      </c>
      <c r="Y282" s="11">
        <f t="shared" si="183"/>
        <v>0</v>
      </c>
      <c r="Z282" s="135"/>
      <c r="AA282" s="11">
        <f>ROUND(X282,0)</f>
        <v>791011</v>
      </c>
      <c r="AB282" s="11">
        <f t="shared" si="184"/>
        <v>0</v>
      </c>
      <c r="AC282" s="392"/>
      <c r="AD282" s="11">
        <f>ROUND(AA282,0)</f>
        <v>791011</v>
      </c>
      <c r="AE282" s="11">
        <f t="shared" si="185"/>
        <v>0</v>
      </c>
      <c r="AF282" s="135"/>
      <c r="AG282" s="474">
        <v>786942.61</v>
      </c>
      <c r="AH282" s="200">
        <f t="shared" si="180"/>
        <v>0.9948567213351015</v>
      </c>
      <c r="AI282" s="474"/>
    </row>
    <row r="283" spans="2:35" ht="25.9" customHeight="1" x14ac:dyDescent="0.25">
      <c r="C283" s="83" t="s">
        <v>400</v>
      </c>
      <c r="D283" s="292" t="s">
        <v>184</v>
      </c>
      <c r="E283" s="346">
        <v>996090</v>
      </c>
      <c r="F283" s="346">
        <f>ROUND(E283,0)+61009</f>
        <v>1057099</v>
      </c>
      <c r="G283" s="11">
        <f t="shared" si="172"/>
        <v>61009</v>
      </c>
      <c r="H283" s="183" t="s">
        <v>736</v>
      </c>
      <c r="I283" s="11">
        <f>ROUND(F283,0)</f>
        <v>1057099</v>
      </c>
      <c r="J283" s="11">
        <f t="shared" ref="J283:J302" si="194">I283-F283</f>
        <v>0</v>
      </c>
      <c r="K283" s="183"/>
      <c r="L283" s="11">
        <f>ROUND(I283,0)+4000</f>
        <v>1061099</v>
      </c>
      <c r="M283" s="11">
        <f t="shared" ref="M283:M302" si="195">L283-I283</f>
        <v>4000</v>
      </c>
      <c r="N283" s="194" t="s">
        <v>831</v>
      </c>
      <c r="O283" s="11">
        <f>ROUND(L283,0)</f>
        <v>1061099</v>
      </c>
      <c r="P283" s="11">
        <f t="shared" ref="P283:P302" si="196">O283-L283</f>
        <v>0</v>
      </c>
      <c r="Q283" s="183"/>
      <c r="R283" s="11">
        <f>ROUND(O283,0)</f>
        <v>1061099</v>
      </c>
      <c r="S283" s="11">
        <f t="shared" si="181"/>
        <v>0</v>
      </c>
      <c r="T283" s="183"/>
      <c r="U283" s="11">
        <f>ROUND(R283,0)</f>
        <v>1061099</v>
      </c>
      <c r="V283" s="11">
        <f t="shared" si="182"/>
        <v>0</v>
      </c>
      <c r="W283" s="183"/>
      <c r="X283" s="11">
        <f>ROUND(U283,0)</f>
        <v>1061099</v>
      </c>
      <c r="Y283" s="11">
        <f t="shared" si="183"/>
        <v>0</v>
      </c>
      <c r="Z283" s="183"/>
      <c r="AA283" s="11">
        <f>ROUND(X283,0)</f>
        <v>1061099</v>
      </c>
      <c r="AB283" s="11">
        <f t="shared" si="184"/>
        <v>0</v>
      </c>
      <c r="AC283" s="576"/>
      <c r="AD283" s="11">
        <f>ROUND(AA283,0)</f>
        <v>1061099</v>
      </c>
      <c r="AE283" s="11">
        <f t="shared" si="185"/>
        <v>0</v>
      </c>
      <c r="AF283" s="183"/>
      <c r="AG283" s="474">
        <v>1014039.33</v>
      </c>
      <c r="AH283" s="200">
        <f t="shared" si="180"/>
        <v>0.95565006658191176</v>
      </c>
      <c r="AI283" s="520"/>
    </row>
    <row r="284" spans="2:35" ht="16.149999999999999" customHeight="1" x14ac:dyDescent="0.25">
      <c r="C284" s="89" t="s">
        <v>401</v>
      </c>
      <c r="D284" s="316" t="s">
        <v>195</v>
      </c>
      <c r="E284" s="361">
        <v>706577.70189168002</v>
      </c>
      <c r="F284" s="361">
        <f>F285+F286</f>
        <v>706619</v>
      </c>
      <c r="G284" s="24">
        <f t="shared" si="172"/>
        <v>41.298108319984749</v>
      </c>
      <c r="H284" s="422"/>
      <c r="I284" s="24">
        <f>I285+I286</f>
        <v>740716</v>
      </c>
      <c r="J284" s="24">
        <f t="shared" si="194"/>
        <v>34097</v>
      </c>
      <c r="K284" s="173" t="s">
        <v>768</v>
      </c>
      <c r="L284" s="24">
        <f>L285+L286</f>
        <v>740716</v>
      </c>
      <c r="M284" s="24">
        <f t="shared" si="195"/>
        <v>0</v>
      </c>
      <c r="N284" s="173"/>
      <c r="O284" s="24">
        <f>O285+O286</f>
        <v>740716</v>
      </c>
      <c r="P284" s="24">
        <f t="shared" si="196"/>
        <v>0</v>
      </c>
      <c r="Q284" s="173"/>
      <c r="R284" s="24">
        <f>R285+R286</f>
        <v>740716</v>
      </c>
      <c r="S284" s="24">
        <f t="shared" si="181"/>
        <v>0</v>
      </c>
      <c r="T284" s="173"/>
      <c r="U284" s="24">
        <f>U285+U286</f>
        <v>744620</v>
      </c>
      <c r="V284" s="24">
        <f t="shared" si="182"/>
        <v>3904</v>
      </c>
      <c r="W284" s="173"/>
      <c r="X284" s="24">
        <f>X285+X286</f>
        <v>744620</v>
      </c>
      <c r="Y284" s="24">
        <f t="shared" si="183"/>
        <v>0</v>
      </c>
      <c r="Z284" s="173"/>
      <c r="AA284" s="24">
        <f>AA285+AA286</f>
        <v>744620</v>
      </c>
      <c r="AB284" s="24">
        <f t="shared" si="184"/>
        <v>0</v>
      </c>
      <c r="AC284" s="422"/>
      <c r="AD284" s="24">
        <f>AD285+AD286</f>
        <v>744620</v>
      </c>
      <c r="AE284" s="24">
        <f t="shared" si="185"/>
        <v>0</v>
      </c>
      <c r="AF284" s="173"/>
      <c r="AG284" s="518">
        <f>AG285+AG286</f>
        <v>694751.62999999989</v>
      </c>
      <c r="AH284" s="222">
        <f t="shared" si="180"/>
        <v>0.93302843060890106</v>
      </c>
      <c r="AI284" s="524"/>
    </row>
    <row r="285" spans="2:35" ht="16.5" customHeight="1" x14ac:dyDescent="0.25">
      <c r="B285" s="60" t="s">
        <v>460</v>
      </c>
      <c r="C285" s="83" t="s">
        <v>402</v>
      </c>
      <c r="D285" s="292" t="s">
        <v>182</v>
      </c>
      <c r="E285" s="346">
        <v>314605.76040000003</v>
      </c>
      <c r="F285" s="346">
        <f>ROUND(E285,0)+41</f>
        <v>314647</v>
      </c>
      <c r="G285" s="11">
        <f t="shared" si="172"/>
        <v>41.239599999971688</v>
      </c>
      <c r="H285" s="127" t="s">
        <v>526</v>
      </c>
      <c r="I285" s="11">
        <f>ROUND(F285,0)-22981</f>
        <v>291666</v>
      </c>
      <c r="J285" s="11">
        <f t="shared" si="194"/>
        <v>-22981</v>
      </c>
      <c r="K285" s="127"/>
      <c r="L285" s="11">
        <f t="shared" ref="L285:L292" si="197">ROUND(I285,0)</f>
        <v>291666</v>
      </c>
      <c r="M285" s="11">
        <f t="shared" si="195"/>
        <v>0</v>
      </c>
      <c r="N285" s="127"/>
      <c r="O285" s="11">
        <f t="shared" ref="O285:O291" si="198">ROUND(L285,0)</f>
        <v>291666</v>
      </c>
      <c r="P285" s="11">
        <f t="shared" si="196"/>
        <v>0</v>
      </c>
      <c r="Q285" s="127"/>
      <c r="R285" s="11">
        <f t="shared" ref="R285:R291" si="199">ROUND(O285,0)</f>
        <v>291666</v>
      </c>
      <c r="S285" s="11">
        <f t="shared" si="181"/>
        <v>0</v>
      </c>
      <c r="T285" s="127"/>
      <c r="U285" s="11">
        <f>ROUND(R285,0)+3904</f>
        <v>295570</v>
      </c>
      <c r="V285" s="11">
        <f t="shared" si="182"/>
        <v>3904</v>
      </c>
      <c r="W285" s="127" t="s">
        <v>921</v>
      </c>
      <c r="X285" s="11">
        <f t="shared" ref="X285:X292" si="200">ROUND(U285,0)</f>
        <v>295570</v>
      </c>
      <c r="Y285" s="11">
        <f t="shared" si="183"/>
        <v>0</v>
      </c>
      <c r="Z285" s="127"/>
      <c r="AA285" s="11">
        <f t="shared" ref="AA285:AA292" si="201">ROUND(X285,0)</f>
        <v>295570</v>
      </c>
      <c r="AB285" s="11">
        <f t="shared" si="184"/>
        <v>0</v>
      </c>
      <c r="AC285" s="384"/>
      <c r="AD285" s="11">
        <f t="shared" ref="AD285:AD292" si="202">ROUND(AA285,0)</f>
        <v>295570</v>
      </c>
      <c r="AE285" s="11">
        <f t="shared" si="185"/>
        <v>0</v>
      </c>
      <c r="AF285" s="127"/>
      <c r="AG285" s="474">
        <v>295466.46999999997</v>
      </c>
      <c r="AH285" s="200">
        <f t="shared" si="180"/>
        <v>0.99964972764488946</v>
      </c>
      <c r="AI285" s="504"/>
    </row>
    <row r="286" spans="2:35" ht="16.5" customHeight="1" x14ac:dyDescent="0.25">
      <c r="B286" s="60" t="s">
        <v>220</v>
      </c>
      <c r="C286" s="83" t="s">
        <v>403</v>
      </c>
      <c r="D286" s="292" t="s">
        <v>224</v>
      </c>
      <c r="E286" s="346">
        <v>391971.94149168005</v>
      </c>
      <c r="F286" s="346">
        <f t="shared" ref="F286:F291" si="203">ROUND(E286,0)</f>
        <v>391972</v>
      </c>
      <c r="G286" s="11">
        <f t="shared" si="172"/>
        <v>5.8508319954853505E-2</v>
      </c>
      <c r="H286" s="392"/>
      <c r="I286" s="11">
        <f>ROUND(F286,0)+57078</f>
        <v>449050</v>
      </c>
      <c r="J286" s="11">
        <f t="shared" si="194"/>
        <v>57078</v>
      </c>
      <c r="K286" s="135"/>
      <c r="L286" s="11">
        <f t="shared" si="197"/>
        <v>449050</v>
      </c>
      <c r="M286" s="11">
        <f t="shared" si="195"/>
        <v>0</v>
      </c>
      <c r="N286" s="135"/>
      <c r="O286" s="11">
        <f t="shared" si="198"/>
        <v>449050</v>
      </c>
      <c r="P286" s="11">
        <f t="shared" si="196"/>
        <v>0</v>
      </c>
      <c r="Q286" s="135"/>
      <c r="R286" s="11">
        <f t="shared" si="199"/>
        <v>449050</v>
      </c>
      <c r="S286" s="11">
        <f t="shared" si="181"/>
        <v>0</v>
      </c>
      <c r="T286" s="135"/>
      <c r="U286" s="11">
        <f t="shared" ref="U286:U291" si="204">ROUND(R286,0)</f>
        <v>449050</v>
      </c>
      <c r="V286" s="11">
        <f t="shared" si="182"/>
        <v>0</v>
      </c>
      <c r="W286" s="135"/>
      <c r="X286" s="11">
        <f t="shared" si="200"/>
        <v>449050</v>
      </c>
      <c r="Y286" s="11">
        <f t="shared" si="183"/>
        <v>0</v>
      </c>
      <c r="Z286" s="135"/>
      <c r="AA286" s="11">
        <f t="shared" si="201"/>
        <v>449050</v>
      </c>
      <c r="AB286" s="11">
        <f t="shared" si="184"/>
        <v>0</v>
      </c>
      <c r="AC286" s="392"/>
      <c r="AD286" s="11">
        <f t="shared" si="202"/>
        <v>449050</v>
      </c>
      <c r="AE286" s="11">
        <f t="shared" si="185"/>
        <v>0</v>
      </c>
      <c r="AF286" s="135"/>
      <c r="AG286" s="474">
        <v>399285.16</v>
      </c>
      <c r="AH286" s="200">
        <f t="shared" si="180"/>
        <v>0.88917750807259766</v>
      </c>
      <c r="AI286" s="520"/>
    </row>
    <row r="287" spans="2:35" ht="15" customHeight="1" x14ac:dyDescent="0.25">
      <c r="B287" s="60" t="s">
        <v>231</v>
      </c>
      <c r="C287" s="89" t="s">
        <v>404</v>
      </c>
      <c r="D287" s="316" t="s">
        <v>668</v>
      </c>
      <c r="E287" s="37">
        <v>482391.24160460004</v>
      </c>
      <c r="F287" s="37">
        <f t="shared" si="203"/>
        <v>482391</v>
      </c>
      <c r="G287" s="18">
        <f t="shared" si="172"/>
        <v>-0.2416046000435017</v>
      </c>
      <c r="H287" s="399"/>
      <c r="I287" s="18">
        <f t="shared" ref="I287:I292" si="205">ROUND(F287,0)</f>
        <v>482391</v>
      </c>
      <c r="J287" s="18">
        <f t="shared" si="194"/>
        <v>0</v>
      </c>
      <c r="K287" s="145"/>
      <c r="L287" s="18">
        <f t="shared" si="197"/>
        <v>482391</v>
      </c>
      <c r="M287" s="18">
        <f t="shared" si="195"/>
        <v>0</v>
      </c>
      <c r="N287" s="145"/>
      <c r="O287" s="18">
        <f>ROUND(L287,0)</f>
        <v>482391</v>
      </c>
      <c r="P287" s="18">
        <f t="shared" si="196"/>
        <v>0</v>
      </c>
      <c r="Q287" s="145"/>
      <c r="R287" s="18">
        <f t="shared" si="199"/>
        <v>482391</v>
      </c>
      <c r="S287" s="18">
        <f t="shared" si="181"/>
        <v>0</v>
      </c>
      <c r="T287" s="145"/>
      <c r="U287" s="18">
        <f>ROUND(R287,0)+1198</f>
        <v>483589</v>
      </c>
      <c r="V287" s="95">
        <f t="shared" si="182"/>
        <v>1198</v>
      </c>
      <c r="W287" s="184" t="s">
        <v>941</v>
      </c>
      <c r="X287" s="18">
        <f t="shared" si="200"/>
        <v>483589</v>
      </c>
      <c r="Y287" s="95">
        <f t="shared" si="183"/>
        <v>0</v>
      </c>
      <c r="Z287" s="184"/>
      <c r="AA287" s="18">
        <f t="shared" si="201"/>
        <v>483589</v>
      </c>
      <c r="AB287" s="95">
        <f t="shared" si="184"/>
        <v>0</v>
      </c>
      <c r="AC287" s="433"/>
      <c r="AD287" s="18">
        <f t="shared" si="202"/>
        <v>483589</v>
      </c>
      <c r="AE287" s="95">
        <f t="shared" si="185"/>
        <v>0</v>
      </c>
      <c r="AF287" s="184"/>
      <c r="AG287" s="510">
        <f>364269.38+65004.59</f>
        <v>429273.97</v>
      </c>
      <c r="AH287" s="211">
        <f t="shared" si="180"/>
        <v>0.8876834874242383</v>
      </c>
      <c r="AI287" s="510" t="s">
        <v>627</v>
      </c>
    </row>
    <row r="288" spans="2:35" ht="18" customHeight="1" x14ac:dyDescent="0.25">
      <c r="B288" s="60"/>
      <c r="C288" s="89" t="s">
        <v>405</v>
      </c>
      <c r="D288" s="316" t="s">
        <v>667</v>
      </c>
      <c r="E288" s="373">
        <v>3000</v>
      </c>
      <c r="F288" s="37">
        <f t="shared" si="203"/>
        <v>3000</v>
      </c>
      <c r="G288" s="18">
        <f t="shared" si="172"/>
        <v>0</v>
      </c>
      <c r="H288" s="433"/>
      <c r="I288" s="18">
        <f t="shared" si="205"/>
        <v>3000</v>
      </c>
      <c r="J288" s="95">
        <f t="shared" si="194"/>
        <v>0</v>
      </c>
      <c r="K288" s="184"/>
      <c r="L288" s="18">
        <f t="shared" si="197"/>
        <v>3000</v>
      </c>
      <c r="M288" s="95">
        <f t="shared" si="195"/>
        <v>0</v>
      </c>
      <c r="N288" s="184"/>
      <c r="O288" s="18">
        <f t="shared" si="198"/>
        <v>3000</v>
      </c>
      <c r="P288" s="95">
        <f t="shared" si="196"/>
        <v>0</v>
      </c>
      <c r="Q288" s="184"/>
      <c r="R288" s="18">
        <f t="shared" si="199"/>
        <v>3000</v>
      </c>
      <c r="S288" s="95">
        <f t="shared" si="181"/>
        <v>0</v>
      </c>
      <c r="T288" s="184"/>
      <c r="U288" s="18">
        <f t="shared" si="204"/>
        <v>3000</v>
      </c>
      <c r="V288" s="95">
        <f t="shared" si="182"/>
        <v>0</v>
      </c>
      <c r="W288" s="184"/>
      <c r="X288" s="18">
        <f t="shared" si="200"/>
        <v>3000</v>
      </c>
      <c r="Y288" s="95">
        <f t="shared" si="183"/>
        <v>0</v>
      </c>
      <c r="Z288" s="184"/>
      <c r="AA288" s="18">
        <f t="shared" si="201"/>
        <v>3000</v>
      </c>
      <c r="AB288" s="95">
        <f t="shared" si="184"/>
        <v>0</v>
      </c>
      <c r="AC288" s="433"/>
      <c r="AD288" s="18">
        <f t="shared" si="202"/>
        <v>3000</v>
      </c>
      <c r="AE288" s="95">
        <f t="shared" si="185"/>
        <v>0</v>
      </c>
      <c r="AF288" s="184"/>
      <c r="AG288" s="515">
        <v>0</v>
      </c>
      <c r="AH288" s="228">
        <f t="shared" si="180"/>
        <v>0</v>
      </c>
      <c r="AI288" s="515"/>
    </row>
    <row r="289" spans="2:36" ht="31.9" customHeight="1" x14ac:dyDescent="0.25">
      <c r="B289" s="60" t="s">
        <v>332</v>
      </c>
      <c r="C289" s="89" t="s">
        <v>406</v>
      </c>
      <c r="D289" s="316" t="s">
        <v>696</v>
      </c>
      <c r="E289" s="37">
        <v>17962</v>
      </c>
      <c r="F289" s="37">
        <f>ROUND(E289,0)-1841</f>
        <v>16121</v>
      </c>
      <c r="G289" s="167">
        <f t="shared" si="172"/>
        <v>-1841</v>
      </c>
      <c r="H289" s="168" t="s">
        <v>526</v>
      </c>
      <c r="I289" s="18">
        <f t="shared" si="205"/>
        <v>16121</v>
      </c>
      <c r="J289" s="167">
        <f t="shared" si="194"/>
        <v>0</v>
      </c>
      <c r="K289" s="168"/>
      <c r="L289" s="18">
        <f t="shared" si="197"/>
        <v>16121</v>
      </c>
      <c r="M289" s="167">
        <f t="shared" si="195"/>
        <v>0</v>
      </c>
      <c r="N289" s="168"/>
      <c r="O289" s="18">
        <f t="shared" si="198"/>
        <v>16121</v>
      </c>
      <c r="P289" s="167">
        <f t="shared" si="196"/>
        <v>0</v>
      </c>
      <c r="Q289" s="168"/>
      <c r="R289" s="18">
        <f t="shared" si="199"/>
        <v>16121</v>
      </c>
      <c r="S289" s="167">
        <f t="shared" si="181"/>
        <v>0</v>
      </c>
      <c r="T289" s="168"/>
      <c r="U289" s="18">
        <f t="shared" si="204"/>
        <v>16121</v>
      </c>
      <c r="V289" s="167">
        <f t="shared" si="182"/>
        <v>0</v>
      </c>
      <c r="W289" s="168"/>
      <c r="X289" s="18">
        <f t="shared" si="200"/>
        <v>16121</v>
      </c>
      <c r="Y289" s="167">
        <f t="shared" si="183"/>
        <v>0</v>
      </c>
      <c r="Z289" s="168"/>
      <c r="AA289" s="18">
        <f t="shared" si="201"/>
        <v>16121</v>
      </c>
      <c r="AB289" s="167">
        <f t="shared" si="184"/>
        <v>0</v>
      </c>
      <c r="AC289" s="415"/>
      <c r="AD289" s="18">
        <f t="shared" si="202"/>
        <v>16121</v>
      </c>
      <c r="AE289" s="167">
        <f t="shared" si="185"/>
        <v>0</v>
      </c>
      <c r="AF289" s="168"/>
      <c r="AG289" s="515">
        <v>0</v>
      </c>
      <c r="AH289" s="211">
        <f t="shared" si="180"/>
        <v>0</v>
      </c>
      <c r="AI289" s="510" t="s">
        <v>806</v>
      </c>
    </row>
    <row r="290" spans="2:36" ht="27" customHeight="1" x14ac:dyDescent="0.25">
      <c r="B290" s="60" t="s">
        <v>331</v>
      </c>
      <c r="C290" s="89" t="s">
        <v>407</v>
      </c>
      <c r="D290" s="316" t="s">
        <v>297</v>
      </c>
      <c r="E290" s="37">
        <v>1049</v>
      </c>
      <c r="F290" s="37">
        <f t="shared" si="203"/>
        <v>1049</v>
      </c>
      <c r="G290" s="167">
        <f t="shared" si="172"/>
        <v>0</v>
      </c>
      <c r="H290" s="415"/>
      <c r="I290" s="18">
        <f t="shared" si="205"/>
        <v>1049</v>
      </c>
      <c r="J290" s="167">
        <f t="shared" si="194"/>
        <v>0</v>
      </c>
      <c r="K290" s="168"/>
      <c r="L290" s="18">
        <f t="shared" si="197"/>
        <v>1049</v>
      </c>
      <c r="M290" s="167">
        <f t="shared" si="195"/>
        <v>0</v>
      </c>
      <c r="N290" s="168"/>
      <c r="O290" s="18">
        <f t="shared" si="198"/>
        <v>1049</v>
      </c>
      <c r="P290" s="167">
        <f t="shared" si="196"/>
        <v>0</v>
      </c>
      <c r="Q290" s="168"/>
      <c r="R290" s="18">
        <f t="shared" si="199"/>
        <v>1049</v>
      </c>
      <c r="S290" s="167">
        <f t="shared" si="181"/>
        <v>0</v>
      </c>
      <c r="T290" s="168"/>
      <c r="U290" s="18">
        <f t="shared" si="204"/>
        <v>1049</v>
      </c>
      <c r="V290" s="167">
        <f t="shared" si="182"/>
        <v>0</v>
      </c>
      <c r="W290" s="168"/>
      <c r="X290" s="18">
        <f t="shared" si="200"/>
        <v>1049</v>
      </c>
      <c r="Y290" s="167">
        <f t="shared" si="183"/>
        <v>0</v>
      </c>
      <c r="Z290" s="168"/>
      <c r="AA290" s="18">
        <f t="shared" si="201"/>
        <v>1049</v>
      </c>
      <c r="AB290" s="167">
        <f t="shared" si="184"/>
        <v>0</v>
      </c>
      <c r="AC290" s="415"/>
      <c r="AD290" s="18">
        <f t="shared" si="202"/>
        <v>1049</v>
      </c>
      <c r="AE290" s="167">
        <f t="shared" si="185"/>
        <v>0</v>
      </c>
      <c r="AF290" s="168"/>
      <c r="AG290" s="515">
        <v>0</v>
      </c>
      <c r="AH290" s="211">
        <f t="shared" si="180"/>
        <v>0</v>
      </c>
      <c r="AI290" s="510" t="s">
        <v>806</v>
      </c>
    </row>
    <row r="291" spans="2:36" ht="68.45" customHeight="1" x14ac:dyDescent="0.25">
      <c r="B291" s="60" t="s">
        <v>459</v>
      </c>
      <c r="C291" s="89" t="s">
        <v>408</v>
      </c>
      <c r="D291" s="328" t="s">
        <v>494</v>
      </c>
      <c r="E291" s="37">
        <v>765</v>
      </c>
      <c r="F291" s="37">
        <f t="shared" si="203"/>
        <v>765</v>
      </c>
      <c r="G291" s="95">
        <f t="shared" si="172"/>
        <v>0</v>
      </c>
      <c r="H291" s="433"/>
      <c r="I291" s="18">
        <f t="shared" si="205"/>
        <v>765</v>
      </c>
      <c r="J291" s="95">
        <f t="shared" si="194"/>
        <v>0</v>
      </c>
      <c r="K291" s="184"/>
      <c r="L291" s="18">
        <f t="shared" si="197"/>
        <v>765</v>
      </c>
      <c r="M291" s="95">
        <f t="shared" si="195"/>
        <v>0</v>
      </c>
      <c r="N291" s="184"/>
      <c r="O291" s="18">
        <f t="shared" si="198"/>
        <v>765</v>
      </c>
      <c r="P291" s="95">
        <f t="shared" si="196"/>
        <v>0</v>
      </c>
      <c r="Q291" s="184"/>
      <c r="R291" s="18">
        <f t="shared" si="199"/>
        <v>765</v>
      </c>
      <c r="S291" s="95">
        <f t="shared" si="181"/>
        <v>0</v>
      </c>
      <c r="T291" s="184"/>
      <c r="U291" s="18">
        <f t="shared" si="204"/>
        <v>765</v>
      </c>
      <c r="V291" s="95">
        <f t="shared" si="182"/>
        <v>0</v>
      </c>
      <c r="W291" s="184"/>
      <c r="X291" s="18">
        <f t="shared" si="200"/>
        <v>765</v>
      </c>
      <c r="Y291" s="95">
        <f t="shared" si="183"/>
        <v>0</v>
      </c>
      <c r="Z291" s="184"/>
      <c r="AA291" s="18">
        <f t="shared" si="201"/>
        <v>765</v>
      </c>
      <c r="AB291" s="95">
        <f t="shared" si="184"/>
        <v>0</v>
      </c>
      <c r="AC291" s="433"/>
      <c r="AD291" s="18">
        <f t="shared" si="202"/>
        <v>765</v>
      </c>
      <c r="AE291" s="95">
        <f t="shared" si="185"/>
        <v>0</v>
      </c>
      <c r="AF291" s="184"/>
      <c r="AG291" s="515">
        <v>0</v>
      </c>
      <c r="AH291" s="211">
        <f t="shared" si="180"/>
        <v>0</v>
      </c>
      <c r="AI291" s="510" t="s">
        <v>806</v>
      </c>
    </row>
    <row r="292" spans="2:36" ht="30.6" customHeight="1" x14ac:dyDescent="0.25">
      <c r="B292" s="60" t="s">
        <v>749</v>
      </c>
      <c r="C292" s="86" t="s">
        <v>409</v>
      </c>
      <c r="D292" s="316" t="s">
        <v>748</v>
      </c>
      <c r="E292" s="375">
        <v>637343</v>
      </c>
      <c r="F292" s="37">
        <f>ROUND(E292,0)</f>
        <v>637343</v>
      </c>
      <c r="G292" s="95">
        <f>F292-E292</f>
        <v>0</v>
      </c>
      <c r="H292" s="434"/>
      <c r="I292" s="18">
        <f t="shared" si="205"/>
        <v>637343</v>
      </c>
      <c r="J292" s="95">
        <f>I292-F292</f>
        <v>0</v>
      </c>
      <c r="K292" s="314"/>
      <c r="L292" s="18">
        <f t="shared" si="197"/>
        <v>637343</v>
      </c>
      <c r="M292" s="95">
        <f t="shared" si="195"/>
        <v>0</v>
      </c>
      <c r="N292" s="314"/>
      <c r="O292" s="18">
        <f>ROUND(L292,0)</f>
        <v>637343</v>
      </c>
      <c r="P292" s="95">
        <f>O292-L292</f>
        <v>0</v>
      </c>
      <c r="Q292" s="314"/>
      <c r="R292" s="18">
        <f>ROUND(O292,0)</f>
        <v>637343</v>
      </c>
      <c r="S292" s="95">
        <f t="shared" si="181"/>
        <v>0</v>
      </c>
      <c r="T292" s="314"/>
      <c r="U292" s="18">
        <f>ROUND(R292,0)</f>
        <v>637343</v>
      </c>
      <c r="V292" s="95">
        <f t="shared" si="182"/>
        <v>0</v>
      </c>
      <c r="W292" s="314"/>
      <c r="X292" s="18">
        <f t="shared" si="200"/>
        <v>637343</v>
      </c>
      <c r="Y292" s="95">
        <f t="shared" si="183"/>
        <v>0</v>
      </c>
      <c r="Z292" s="314"/>
      <c r="AA292" s="18">
        <f t="shared" si="201"/>
        <v>637343</v>
      </c>
      <c r="AB292" s="95">
        <f t="shared" si="184"/>
        <v>0</v>
      </c>
      <c r="AC292" s="434"/>
      <c r="AD292" s="18">
        <f t="shared" si="202"/>
        <v>637343</v>
      </c>
      <c r="AE292" s="95">
        <f t="shared" si="185"/>
        <v>0</v>
      </c>
      <c r="AF292" s="314"/>
      <c r="AG292" s="510">
        <v>171967.31</v>
      </c>
      <c r="AH292" s="315">
        <f t="shared" si="180"/>
        <v>0.26981909270204585</v>
      </c>
      <c r="AI292" s="510" t="s">
        <v>877</v>
      </c>
    </row>
    <row r="293" spans="2:36" ht="27" customHeight="1" x14ac:dyDescent="0.25">
      <c r="C293" s="86" t="s">
        <v>691</v>
      </c>
      <c r="D293" s="316" t="s">
        <v>246</v>
      </c>
      <c r="E293" s="354">
        <v>15746</v>
      </c>
      <c r="F293" s="354">
        <f>F294+F295</f>
        <v>16496</v>
      </c>
      <c r="G293" s="18">
        <f t="shared" si="172"/>
        <v>750</v>
      </c>
      <c r="H293" s="435"/>
      <c r="I293" s="51">
        <f>I294+I295</f>
        <v>16496</v>
      </c>
      <c r="J293" s="18">
        <f t="shared" si="194"/>
        <v>0</v>
      </c>
      <c r="K293" s="185"/>
      <c r="L293" s="51">
        <f>L294+L295</f>
        <v>16496</v>
      </c>
      <c r="M293" s="18">
        <f t="shared" si="195"/>
        <v>0</v>
      </c>
      <c r="N293" s="185"/>
      <c r="O293" s="51">
        <f>O294+O295</f>
        <v>16496</v>
      </c>
      <c r="P293" s="18">
        <f t="shared" si="196"/>
        <v>0</v>
      </c>
      <c r="Q293" s="185"/>
      <c r="R293" s="51">
        <f>R294+R295</f>
        <v>16496</v>
      </c>
      <c r="S293" s="18">
        <f t="shared" si="181"/>
        <v>0</v>
      </c>
      <c r="T293" s="185"/>
      <c r="U293" s="51">
        <f>U294+U295</f>
        <v>16496</v>
      </c>
      <c r="V293" s="18">
        <f t="shared" si="182"/>
        <v>0</v>
      </c>
      <c r="W293" s="185"/>
      <c r="X293" s="51">
        <f>X294+X295</f>
        <v>16496</v>
      </c>
      <c r="Y293" s="18">
        <f t="shared" si="183"/>
        <v>0</v>
      </c>
      <c r="Z293" s="185"/>
      <c r="AA293" s="51">
        <f>AA294+AA295</f>
        <v>16496</v>
      </c>
      <c r="AB293" s="18">
        <f t="shared" si="184"/>
        <v>0</v>
      </c>
      <c r="AC293" s="435"/>
      <c r="AD293" s="51">
        <f>AD294+AD295</f>
        <v>16496</v>
      </c>
      <c r="AE293" s="18">
        <f t="shared" si="185"/>
        <v>0</v>
      </c>
      <c r="AF293" s="185"/>
      <c r="AG293" s="530">
        <f>AG294+AG295</f>
        <v>0</v>
      </c>
      <c r="AH293" s="227">
        <f t="shared" si="180"/>
        <v>0</v>
      </c>
      <c r="AI293" s="530"/>
    </row>
    <row r="294" spans="2:36" ht="14.45" customHeight="1" x14ac:dyDescent="0.25">
      <c r="B294" s="60" t="s">
        <v>248</v>
      </c>
      <c r="C294" s="25" t="s">
        <v>692</v>
      </c>
      <c r="D294" s="22" t="s">
        <v>317</v>
      </c>
      <c r="E294" s="353">
        <v>15746</v>
      </c>
      <c r="F294" s="353">
        <f>ROUND(E294,0)+750</f>
        <v>16496</v>
      </c>
      <c r="G294" s="54">
        <f t="shared" si="172"/>
        <v>750</v>
      </c>
      <c r="H294" s="144" t="s">
        <v>526</v>
      </c>
      <c r="I294" s="54">
        <f>ROUND(F294,0)</f>
        <v>16496</v>
      </c>
      <c r="J294" s="54">
        <f t="shared" si="194"/>
        <v>0</v>
      </c>
      <c r="K294" s="144"/>
      <c r="L294" s="54">
        <f>ROUND(I294,0)</f>
        <v>16496</v>
      </c>
      <c r="M294" s="54">
        <f t="shared" si="195"/>
        <v>0</v>
      </c>
      <c r="N294" s="144"/>
      <c r="O294" s="54">
        <f>ROUND(L294,0)</f>
        <v>16496</v>
      </c>
      <c r="P294" s="54">
        <f t="shared" si="196"/>
        <v>0</v>
      </c>
      <c r="Q294" s="144"/>
      <c r="R294" s="54">
        <f>ROUND(O294,0)</f>
        <v>16496</v>
      </c>
      <c r="S294" s="54">
        <f t="shared" si="181"/>
        <v>0</v>
      </c>
      <c r="T294" s="144"/>
      <c r="U294" s="54">
        <f>ROUND(R294,0)</f>
        <v>16496</v>
      </c>
      <c r="V294" s="54">
        <f t="shared" si="182"/>
        <v>0</v>
      </c>
      <c r="W294" s="144"/>
      <c r="X294" s="54">
        <f>ROUND(U294,0)</f>
        <v>16496</v>
      </c>
      <c r="Y294" s="54">
        <f t="shared" si="183"/>
        <v>0</v>
      </c>
      <c r="Z294" s="144"/>
      <c r="AA294" s="54">
        <f>ROUND(X294,0)</f>
        <v>16496</v>
      </c>
      <c r="AB294" s="54">
        <f t="shared" si="184"/>
        <v>0</v>
      </c>
      <c r="AC294" s="398"/>
      <c r="AD294" s="54">
        <f>ROUND(AA294,0)</f>
        <v>16496</v>
      </c>
      <c r="AE294" s="54">
        <f t="shared" si="185"/>
        <v>0</v>
      </c>
      <c r="AF294" s="144"/>
      <c r="AG294" s="504">
        <v>0</v>
      </c>
      <c r="AH294" s="205">
        <f t="shared" si="180"/>
        <v>0</v>
      </c>
      <c r="AI294" s="284"/>
    </row>
    <row r="295" spans="2:36" s="4" customFormat="1" ht="15" customHeight="1" x14ac:dyDescent="0.25">
      <c r="B295" s="60" t="s">
        <v>322</v>
      </c>
      <c r="C295" s="25" t="s">
        <v>693</v>
      </c>
      <c r="D295" s="22" t="s">
        <v>292</v>
      </c>
      <c r="E295" s="353">
        <v>0</v>
      </c>
      <c r="F295" s="353">
        <f>ROUND(E295,0)</f>
        <v>0</v>
      </c>
      <c r="G295" s="54">
        <f t="shared" si="172"/>
        <v>0</v>
      </c>
      <c r="H295" s="398"/>
      <c r="I295" s="54">
        <f>ROUND(F295,0)</f>
        <v>0</v>
      </c>
      <c r="J295" s="54">
        <f t="shared" si="194"/>
        <v>0</v>
      </c>
      <c r="K295" s="144"/>
      <c r="L295" s="54">
        <f>ROUND(I295,0)</f>
        <v>0</v>
      </c>
      <c r="M295" s="54">
        <f t="shared" si="195"/>
        <v>0</v>
      </c>
      <c r="N295" s="144"/>
      <c r="O295" s="54">
        <f>ROUND(L295,0)</f>
        <v>0</v>
      </c>
      <c r="P295" s="54">
        <f t="shared" si="196"/>
        <v>0</v>
      </c>
      <c r="Q295" s="144"/>
      <c r="R295" s="54">
        <f>ROUND(O295,0)</f>
        <v>0</v>
      </c>
      <c r="S295" s="54">
        <f t="shared" si="181"/>
        <v>0</v>
      </c>
      <c r="T295" s="144"/>
      <c r="U295" s="54">
        <f>ROUND(R295,0)</f>
        <v>0</v>
      </c>
      <c r="V295" s="54">
        <f t="shared" si="182"/>
        <v>0</v>
      </c>
      <c r="W295" s="144"/>
      <c r="X295" s="54">
        <f>ROUND(U295,0)</f>
        <v>0</v>
      </c>
      <c r="Y295" s="54">
        <f t="shared" si="183"/>
        <v>0</v>
      </c>
      <c r="Z295" s="144"/>
      <c r="AA295" s="54">
        <f>ROUND(X295,0)</f>
        <v>0</v>
      </c>
      <c r="AB295" s="54">
        <f t="shared" si="184"/>
        <v>0</v>
      </c>
      <c r="AC295" s="398"/>
      <c r="AD295" s="54">
        <f>ROUND(AA295,0)</f>
        <v>0</v>
      </c>
      <c r="AE295" s="54">
        <f t="shared" si="185"/>
        <v>0</v>
      </c>
      <c r="AF295" s="144"/>
      <c r="AG295" s="504">
        <v>0</v>
      </c>
      <c r="AH295" s="205" t="e">
        <f t="shared" si="180"/>
        <v>#DIV/0!</v>
      </c>
      <c r="AI295" s="284"/>
    </row>
    <row r="296" spans="2:36" s="4" customFormat="1" ht="17.45" customHeight="1" outlineLevel="1" x14ac:dyDescent="0.2">
      <c r="C296" s="82" t="s">
        <v>493</v>
      </c>
      <c r="D296" s="306" t="s">
        <v>197</v>
      </c>
      <c r="E296" s="345">
        <v>0</v>
      </c>
      <c r="F296" s="345">
        <f>SUM(F297:F298)</f>
        <v>0</v>
      </c>
      <c r="G296" s="13">
        <f t="shared" si="172"/>
        <v>0</v>
      </c>
      <c r="H296" s="386"/>
      <c r="I296" s="13">
        <f>SUM(I297:I298)</f>
        <v>0</v>
      </c>
      <c r="J296" s="13">
        <f t="shared" si="194"/>
        <v>0</v>
      </c>
      <c r="K296" s="129"/>
      <c r="L296" s="13">
        <f>SUM(L297:L298)</f>
        <v>0</v>
      </c>
      <c r="M296" s="13">
        <f t="shared" si="195"/>
        <v>0</v>
      </c>
      <c r="N296" s="129"/>
      <c r="O296" s="13">
        <f>SUM(O297:O298)</f>
        <v>0</v>
      </c>
      <c r="P296" s="13">
        <f t="shared" si="196"/>
        <v>0</v>
      </c>
      <c r="Q296" s="129"/>
      <c r="R296" s="13">
        <f>SUM(R297:R298)</f>
        <v>0</v>
      </c>
      <c r="S296" s="13">
        <f t="shared" si="181"/>
        <v>0</v>
      </c>
      <c r="T296" s="129"/>
      <c r="U296" s="13">
        <f>SUM(U297:U298)</f>
        <v>0</v>
      </c>
      <c r="V296" s="13">
        <f t="shared" si="182"/>
        <v>0</v>
      </c>
      <c r="W296" s="129"/>
      <c r="X296" s="13">
        <f>SUM(X297:X298)</f>
        <v>0</v>
      </c>
      <c r="Y296" s="13">
        <f t="shared" si="183"/>
        <v>0</v>
      </c>
      <c r="Z296" s="129"/>
      <c r="AA296" s="13">
        <f>SUM(AA297:AA298)</f>
        <v>0</v>
      </c>
      <c r="AB296" s="13">
        <f t="shared" si="184"/>
        <v>0</v>
      </c>
      <c r="AC296" s="386"/>
      <c r="AD296" s="13">
        <f>SUM(AD297:AD298)</f>
        <v>0</v>
      </c>
      <c r="AE296" s="13">
        <f t="shared" si="185"/>
        <v>0</v>
      </c>
      <c r="AF296" s="129"/>
      <c r="AG296" s="517">
        <f>SUM(AG297:AG298)</f>
        <v>0</v>
      </c>
      <c r="AH296" s="199" t="e">
        <f t="shared" si="180"/>
        <v>#DIV/0!</v>
      </c>
      <c r="AI296" s="279"/>
    </row>
    <row r="297" spans="2:36" ht="17.25" customHeight="1" outlineLevel="1" x14ac:dyDescent="0.25">
      <c r="C297" s="81" t="s">
        <v>89</v>
      </c>
      <c r="D297" s="296" t="s">
        <v>198</v>
      </c>
      <c r="E297" s="37"/>
      <c r="F297" s="37"/>
      <c r="G297" s="18">
        <f t="shared" si="172"/>
        <v>0</v>
      </c>
      <c r="H297" s="399"/>
      <c r="I297" s="18"/>
      <c r="J297" s="18">
        <f t="shared" si="194"/>
        <v>0</v>
      </c>
      <c r="K297" s="145"/>
      <c r="L297" s="18"/>
      <c r="M297" s="18">
        <f t="shared" si="195"/>
        <v>0</v>
      </c>
      <c r="N297" s="145"/>
      <c r="O297" s="18">
        <f>ROUND(L297,0)</f>
        <v>0</v>
      </c>
      <c r="P297" s="18">
        <f t="shared" si="196"/>
        <v>0</v>
      </c>
      <c r="Q297" s="145"/>
      <c r="R297" s="18">
        <f>ROUND(O297,0)</f>
        <v>0</v>
      </c>
      <c r="S297" s="18">
        <f t="shared" si="181"/>
        <v>0</v>
      </c>
      <c r="T297" s="145"/>
      <c r="U297" s="18">
        <f>ROUND(R297,0)</f>
        <v>0</v>
      </c>
      <c r="V297" s="18">
        <f t="shared" si="182"/>
        <v>0</v>
      </c>
      <c r="W297" s="145"/>
      <c r="X297" s="18">
        <f>ROUND(U297,0)</f>
        <v>0</v>
      </c>
      <c r="Y297" s="18">
        <f t="shared" si="183"/>
        <v>0</v>
      </c>
      <c r="Z297" s="145"/>
      <c r="AA297" s="18">
        <f>ROUND(X297,0)</f>
        <v>0</v>
      </c>
      <c r="AB297" s="18">
        <f t="shared" si="184"/>
        <v>0</v>
      </c>
      <c r="AC297" s="399"/>
      <c r="AD297" s="18">
        <f>ROUND(AA297,0)</f>
        <v>0</v>
      </c>
      <c r="AE297" s="18">
        <f t="shared" si="185"/>
        <v>0</v>
      </c>
      <c r="AF297" s="145"/>
      <c r="AG297" s="515"/>
      <c r="AH297" s="211" t="e">
        <f t="shared" si="180"/>
        <v>#DIV/0!</v>
      </c>
      <c r="AI297" s="280"/>
    </row>
    <row r="298" spans="2:36" ht="15.75" outlineLevel="1" thickBot="1" x14ac:dyDescent="0.3">
      <c r="C298" s="81" t="s">
        <v>92</v>
      </c>
      <c r="D298" s="296" t="s">
        <v>199</v>
      </c>
      <c r="E298" s="37"/>
      <c r="F298" s="37"/>
      <c r="G298" s="18">
        <f t="shared" si="172"/>
        <v>0</v>
      </c>
      <c r="H298" s="399"/>
      <c r="I298" s="18"/>
      <c r="J298" s="18">
        <f t="shared" si="194"/>
        <v>0</v>
      </c>
      <c r="K298" s="145"/>
      <c r="L298" s="18"/>
      <c r="M298" s="18">
        <f t="shared" si="195"/>
        <v>0</v>
      </c>
      <c r="N298" s="145"/>
      <c r="O298" s="18">
        <f>ROUND(L298,0)</f>
        <v>0</v>
      </c>
      <c r="P298" s="18">
        <f t="shared" si="196"/>
        <v>0</v>
      </c>
      <c r="Q298" s="145"/>
      <c r="R298" s="18">
        <f>ROUND(O298,0)</f>
        <v>0</v>
      </c>
      <c r="S298" s="18">
        <f t="shared" si="181"/>
        <v>0</v>
      </c>
      <c r="T298" s="145"/>
      <c r="U298" s="18">
        <f>ROUND(R298,0)</f>
        <v>0</v>
      </c>
      <c r="V298" s="18">
        <f t="shared" si="182"/>
        <v>0</v>
      </c>
      <c r="W298" s="145"/>
      <c r="X298" s="18">
        <f>ROUND(U298,0)</f>
        <v>0</v>
      </c>
      <c r="Y298" s="18">
        <f t="shared" si="183"/>
        <v>0</v>
      </c>
      <c r="Z298" s="145"/>
      <c r="AA298" s="18">
        <f>ROUND(X298,0)</f>
        <v>0</v>
      </c>
      <c r="AB298" s="18">
        <f t="shared" si="184"/>
        <v>0</v>
      </c>
      <c r="AC298" s="399"/>
      <c r="AD298" s="18">
        <f>ROUND(AA298,0)</f>
        <v>0</v>
      </c>
      <c r="AE298" s="18">
        <f t="shared" si="185"/>
        <v>0</v>
      </c>
      <c r="AF298" s="145"/>
      <c r="AG298" s="515"/>
      <c r="AH298" s="211" t="e">
        <f t="shared" si="180"/>
        <v>#DIV/0!</v>
      </c>
      <c r="AI298" s="280"/>
    </row>
    <row r="299" spans="2:36" s="4" customFormat="1" ht="30" customHeight="1" thickBot="1" x14ac:dyDescent="0.25">
      <c r="C299" s="29"/>
      <c r="D299" s="339" t="s">
        <v>200</v>
      </c>
      <c r="E299" s="376">
        <v>58317822.384578399</v>
      </c>
      <c r="F299" s="376">
        <f t="shared" ref="F299:I299" si="206">F130+F140+F142+F143+F148+F150+F192+F207+F229+F296</f>
        <v>59128575</v>
      </c>
      <c r="G299" s="376">
        <f t="shared" si="206"/>
        <v>810752.62895110343</v>
      </c>
      <c r="H299" s="376" t="e">
        <f t="shared" si="206"/>
        <v>#VALUE!</v>
      </c>
      <c r="I299" s="376">
        <f t="shared" si="206"/>
        <v>59750919</v>
      </c>
      <c r="J299" s="30">
        <f t="shared" si="194"/>
        <v>622344</v>
      </c>
      <c r="K299" s="186"/>
      <c r="L299" s="30">
        <f>L130+L140+L142+L143+L148+L150+L192+L207+L229+L296</f>
        <v>59826407</v>
      </c>
      <c r="M299" s="30">
        <f t="shared" si="195"/>
        <v>75488</v>
      </c>
      <c r="N299" s="186"/>
      <c r="O299" s="30">
        <f>O130+O140+O142+O143+O148+O150+O192+O207+O229+O296</f>
        <v>60556119</v>
      </c>
      <c r="P299" s="30">
        <f t="shared" si="196"/>
        <v>729712</v>
      </c>
      <c r="Q299" s="186"/>
      <c r="R299" s="30">
        <f>R130+R140+R142+R143+R148+R150+R192+R207+R229+R296</f>
        <v>61061627</v>
      </c>
      <c r="S299" s="30">
        <f t="shared" si="181"/>
        <v>505508</v>
      </c>
      <c r="T299" s="186"/>
      <c r="U299" s="30">
        <f>U130+U140+U142+U143+U148+U150+U192+U207+U229+U296</f>
        <v>61255958</v>
      </c>
      <c r="V299" s="30">
        <f t="shared" si="182"/>
        <v>194331</v>
      </c>
      <c r="W299" s="186"/>
      <c r="X299" s="30">
        <f>X130+X140+X142+X143+X148+X150+X192+X207+X229+X296</f>
        <v>61368258</v>
      </c>
      <c r="Y299" s="30">
        <f t="shared" si="183"/>
        <v>112300</v>
      </c>
      <c r="Z299" s="186"/>
      <c r="AA299" s="30">
        <f>AA130+AA140+AA142+AA143+AA148+AA150+AA192+AA207+AA229+AA296</f>
        <v>60490989</v>
      </c>
      <c r="AB299" s="30">
        <f t="shared" si="184"/>
        <v>-877269</v>
      </c>
      <c r="AC299" s="577"/>
      <c r="AD299" s="30">
        <f>AD130+AD140+AD142+AD143+AD148+AD150+AD192+AD207+AD229+AD296</f>
        <v>60920265</v>
      </c>
      <c r="AE299" s="30">
        <f t="shared" si="185"/>
        <v>429276</v>
      </c>
      <c r="AF299" s="186"/>
      <c r="AG299" s="30">
        <f>AG130+AG140+AG142+AG143+AG148+AG150+AG192+AG207+AG229+AG296+0.5</f>
        <v>54471388.060000002</v>
      </c>
      <c r="AH299" s="489">
        <f t="shared" si="180"/>
        <v>0.89414233605188687</v>
      </c>
      <c r="AI299" s="436"/>
      <c r="AJ299" s="34"/>
    </row>
    <row r="300" spans="2:36" s="10" customFormat="1" ht="31.9" customHeight="1" thickBot="1" x14ac:dyDescent="0.3">
      <c r="C300" s="82" t="s">
        <v>107</v>
      </c>
      <c r="D300" s="306" t="s">
        <v>201</v>
      </c>
      <c r="E300" s="345">
        <v>3486155</v>
      </c>
      <c r="F300" s="345">
        <f>ROUND(E300,0)+37335+(133641+67)</f>
        <v>3657198</v>
      </c>
      <c r="G300" s="13">
        <f t="shared" si="172"/>
        <v>171043</v>
      </c>
      <c r="H300" s="459" t="s">
        <v>746</v>
      </c>
      <c r="I300" s="13">
        <f>ROUND(F300,0)</f>
        <v>3657198</v>
      </c>
      <c r="J300" s="13">
        <f t="shared" si="194"/>
        <v>0</v>
      </c>
      <c r="K300" s="134"/>
      <c r="L300" s="13">
        <f>ROUND(I300,0)</f>
        <v>3657198</v>
      </c>
      <c r="M300" s="13">
        <f t="shared" si="195"/>
        <v>0</v>
      </c>
      <c r="N300" s="134"/>
      <c r="O300" s="13">
        <f>ROUND(L300,0)</f>
        <v>3657198</v>
      </c>
      <c r="P300" s="13">
        <f t="shared" si="196"/>
        <v>0</v>
      </c>
      <c r="Q300" s="134"/>
      <c r="R300" s="13">
        <f>ROUND(O300,0)</f>
        <v>3657198</v>
      </c>
      <c r="S300" s="13">
        <f t="shared" si="181"/>
        <v>0</v>
      </c>
      <c r="T300" s="134"/>
      <c r="U300" s="13">
        <f>ROUND(R300,0)</f>
        <v>3657198</v>
      </c>
      <c r="V300" s="13">
        <f t="shared" si="182"/>
        <v>0</v>
      </c>
      <c r="W300" s="134"/>
      <c r="X300" s="13">
        <f>ROUND(U300,0)</f>
        <v>3657198</v>
      </c>
      <c r="Y300" s="13">
        <f t="shared" si="183"/>
        <v>0</v>
      </c>
      <c r="Z300" s="134"/>
      <c r="AA300" s="13">
        <f>ROUND(X300,0)+100088</f>
        <v>3757286</v>
      </c>
      <c r="AB300" s="13">
        <f t="shared" si="184"/>
        <v>100088</v>
      </c>
      <c r="AC300" s="134" t="s">
        <v>961</v>
      </c>
      <c r="AD300" s="13">
        <f>ROUND(AA300,0)</f>
        <v>3757286</v>
      </c>
      <c r="AE300" s="13">
        <f t="shared" si="185"/>
        <v>0</v>
      </c>
      <c r="AF300" s="134"/>
      <c r="AG300" s="13">
        <v>3757218</v>
      </c>
      <c r="AH300" s="199">
        <f t="shared" si="180"/>
        <v>0.99998190183020408</v>
      </c>
      <c r="AI300" s="279"/>
    </row>
    <row r="301" spans="2:36" ht="15.75" thickBot="1" x14ac:dyDescent="0.3">
      <c r="C301" s="29"/>
      <c r="D301" s="339" t="s">
        <v>202</v>
      </c>
      <c r="E301" s="469">
        <v>61803977.384578399</v>
      </c>
      <c r="F301" s="469">
        <f>F299+F300</f>
        <v>62785773</v>
      </c>
      <c r="G301" s="31">
        <f t="shared" si="172"/>
        <v>981795.61542160064</v>
      </c>
      <c r="H301" s="187"/>
      <c r="I301" s="31">
        <f>I299+I300</f>
        <v>63408117</v>
      </c>
      <c r="J301" s="31">
        <f t="shared" si="194"/>
        <v>622344</v>
      </c>
      <c r="K301" s="187"/>
      <c r="L301" s="31">
        <f>L299+L300</f>
        <v>63483605</v>
      </c>
      <c r="M301" s="31">
        <f t="shared" si="195"/>
        <v>75488</v>
      </c>
      <c r="N301" s="187"/>
      <c r="O301" s="31">
        <f>O299+O300</f>
        <v>64213317</v>
      </c>
      <c r="P301" s="31">
        <f t="shared" si="196"/>
        <v>729712</v>
      </c>
      <c r="Q301" s="187"/>
      <c r="R301" s="31">
        <f>R299+R300</f>
        <v>64718825</v>
      </c>
      <c r="S301" s="31">
        <f t="shared" si="181"/>
        <v>505508</v>
      </c>
      <c r="T301" s="187"/>
      <c r="U301" s="31">
        <f>U299+U300</f>
        <v>64913156</v>
      </c>
      <c r="V301" s="31">
        <f t="shared" si="182"/>
        <v>194331</v>
      </c>
      <c r="W301" s="187"/>
      <c r="X301" s="31">
        <f>X299+X300</f>
        <v>65025456</v>
      </c>
      <c r="Y301" s="31">
        <f t="shared" si="183"/>
        <v>112300</v>
      </c>
      <c r="Z301" s="187"/>
      <c r="AA301" s="31">
        <f>AA299+AA300</f>
        <v>64248275</v>
      </c>
      <c r="AB301" s="31">
        <f t="shared" si="184"/>
        <v>-777181</v>
      </c>
      <c r="AC301" s="578"/>
      <c r="AD301" s="31">
        <f>AD299+AD300</f>
        <v>64677551</v>
      </c>
      <c r="AE301" s="31">
        <f t="shared" si="185"/>
        <v>429276</v>
      </c>
      <c r="AF301" s="187"/>
      <c r="AG301" s="31">
        <f>AG299+AG300</f>
        <v>58228606.060000002</v>
      </c>
      <c r="AH301" s="231">
        <f t="shared" si="180"/>
        <v>0.90029082981203168</v>
      </c>
      <c r="AI301" s="437"/>
    </row>
    <row r="302" spans="2:36" ht="16.5" thickTop="1" thickBot="1" x14ac:dyDescent="0.3">
      <c r="C302" s="32" t="s">
        <v>203</v>
      </c>
      <c r="D302" s="340" t="s">
        <v>204</v>
      </c>
      <c r="E302" s="377">
        <v>0.25542160123586655</v>
      </c>
      <c r="F302" s="377">
        <f>F124-F301-0.2</f>
        <v>80542.8</v>
      </c>
      <c r="G302" s="33">
        <f t="shared" si="172"/>
        <v>80542.544578398767</v>
      </c>
      <c r="H302" s="188"/>
      <c r="I302" s="33">
        <f>I124-I301-0.2</f>
        <v>50316.800000000003</v>
      </c>
      <c r="J302" s="33">
        <f t="shared" si="194"/>
        <v>-30226</v>
      </c>
      <c r="K302" s="188"/>
      <c r="L302" s="33">
        <f>L124-L301-0.2</f>
        <v>58013.8</v>
      </c>
      <c r="M302" s="33">
        <f t="shared" si="195"/>
        <v>7697</v>
      </c>
      <c r="N302" s="188"/>
      <c r="O302" s="33">
        <f>O124-O301-0.2</f>
        <v>58013.8</v>
      </c>
      <c r="P302" s="33">
        <f t="shared" si="196"/>
        <v>0</v>
      </c>
      <c r="Q302" s="188"/>
      <c r="R302" s="33">
        <f>R124-R301-0.2</f>
        <v>38078.800000000003</v>
      </c>
      <c r="S302" s="33">
        <f t="shared" si="181"/>
        <v>-19935</v>
      </c>
      <c r="T302" s="188"/>
      <c r="U302" s="33">
        <f>U124-U301-0.2</f>
        <v>57060.800000000003</v>
      </c>
      <c r="V302" s="33">
        <f t="shared" si="182"/>
        <v>18982</v>
      </c>
      <c r="W302" s="188"/>
      <c r="X302" s="33">
        <f>X124-X301-0.2</f>
        <v>47060.800000000003</v>
      </c>
      <c r="Y302" s="33">
        <f t="shared" si="183"/>
        <v>-10000</v>
      </c>
      <c r="Z302" s="188"/>
      <c r="AA302" s="33">
        <f>AA124-AA301-0.2</f>
        <v>74341.8</v>
      </c>
      <c r="AB302" s="33">
        <f t="shared" si="184"/>
        <v>27281</v>
      </c>
      <c r="AC302" s="579"/>
      <c r="AD302" s="33">
        <f>AD124-AD301-0.2</f>
        <v>1589019.8</v>
      </c>
      <c r="AE302" s="33">
        <f t="shared" si="185"/>
        <v>1514678</v>
      </c>
      <c r="AF302" s="188"/>
      <c r="AG302" s="33">
        <f>AG124-AG301-0.2</f>
        <v>6735343.5600000052</v>
      </c>
      <c r="AH302" s="232">
        <f t="shared" si="180"/>
        <v>4.2386781838715946</v>
      </c>
      <c r="AI302" s="438"/>
    </row>
  </sheetData>
  <mergeCells count="17">
    <mergeCell ref="W233:W234"/>
    <mergeCell ref="T268:T269"/>
    <mergeCell ref="C127:D127"/>
    <mergeCell ref="C128:D128"/>
    <mergeCell ref="AC203:AC204"/>
    <mergeCell ref="C2:D2"/>
    <mergeCell ref="C3:D3"/>
    <mergeCell ref="H241:H242"/>
    <mergeCell ref="K145:K146"/>
    <mergeCell ref="T196:T197"/>
    <mergeCell ref="AF203:AF204"/>
    <mergeCell ref="AH55:AH56"/>
    <mergeCell ref="AH156:AH157"/>
    <mergeCell ref="AG52:AG53"/>
    <mergeCell ref="AH52:AH53"/>
    <mergeCell ref="AG55:AG56"/>
    <mergeCell ref="AG156:AG157"/>
  </mergeCells>
  <phoneticPr fontId="66" type="noConversion"/>
  <conditionalFormatting sqref="E302:G302">
    <cfRule type="cellIs" dxfId="11" priority="20" operator="lessThan">
      <formula>0</formula>
    </cfRule>
  </conditionalFormatting>
  <conditionalFormatting sqref="I302:J302">
    <cfRule type="cellIs" dxfId="10" priority="8" operator="lessThan">
      <formula>0</formula>
    </cfRule>
  </conditionalFormatting>
  <conditionalFormatting sqref="L302:M302">
    <cfRule type="cellIs" dxfId="9" priority="7" operator="lessThan">
      <formula>0</formula>
    </cfRule>
  </conditionalFormatting>
  <conditionalFormatting sqref="O302:P302">
    <cfRule type="cellIs" dxfId="8" priority="6" operator="lessThan">
      <formula>0</formula>
    </cfRule>
  </conditionalFormatting>
  <conditionalFormatting sqref="R302:S302">
    <cfRule type="cellIs" dxfId="7" priority="5" operator="lessThan">
      <formula>0</formula>
    </cfRule>
  </conditionalFormatting>
  <conditionalFormatting sqref="U302:V302">
    <cfRule type="cellIs" dxfId="6" priority="4" operator="lessThan">
      <formula>0</formula>
    </cfRule>
  </conditionalFormatting>
  <conditionalFormatting sqref="X302:Y302">
    <cfRule type="cellIs" dxfId="5" priority="3" operator="lessThan">
      <formula>0</formula>
    </cfRule>
  </conditionalFormatting>
  <conditionalFormatting sqref="AA302:AB302">
    <cfRule type="cellIs" dxfId="4" priority="2" operator="lessThan">
      <formula>0</formula>
    </cfRule>
  </conditionalFormatting>
  <conditionalFormatting sqref="AD302:AE302">
    <cfRule type="cellIs" dxfId="3" priority="1" operator="lessThan">
      <formula>0</formula>
    </cfRule>
  </conditionalFormatting>
  <conditionalFormatting sqref="AG302:AI302">
    <cfRule type="cellIs" dxfId="2" priority="9" operator="lessThan">
      <formula>0</formula>
    </cfRule>
  </conditionalFormatting>
  <pageMargins left="0.47244094488188981" right="0.47244094488188981" top="0.47244094488188981" bottom="0.47244094488188981" header="0.27559055118110237" footer="0.27559055118110237"/>
  <pageSetup paperSize="9" scale="65" fitToHeight="0" orientation="landscape" r:id="rId1"/>
  <colBreaks count="1" manualBreakCount="1">
    <brk id="32" max="302"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2EA7-5A2B-4644-8D40-B5EFC535D84E}">
  <sheetPr codeName="Lapa26">
    <tabColor rgb="FFC4EB35"/>
    <pageSetUpPr fitToPage="1"/>
  </sheetPr>
  <dimension ref="A1:R175"/>
  <sheetViews>
    <sheetView zoomScale="90" zoomScaleNormal="90" workbookViewId="0">
      <selection activeCell="A113" sqref="A113"/>
    </sheetView>
  </sheetViews>
  <sheetFormatPr defaultColWidth="9" defaultRowHeight="12.75" outlineLevelRow="2" x14ac:dyDescent="0.2"/>
  <cols>
    <col min="1" max="1" width="56.42578125" style="234" customWidth="1"/>
    <col min="2" max="3" width="14.42578125" style="234" customWidth="1"/>
    <col min="4" max="4" width="14.85546875" style="234" customWidth="1"/>
    <col min="5" max="5" width="16.140625" style="234" customWidth="1"/>
    <col min="6" max="6" width="9" style="234"/>
    <col min="7" max="7" width="15.28515625" style="234" customWidth="1"/>
    <col min="8" max="17" width="9" style="234"/>
    <col min="18" max="18" width="12" style="234" customWidth="1"/>
    <col min="19" max="19" width="54.5703125" style="234" customWidth="1"/>
    <col min="20" max="16384" width="9" style="234"/>
  </cols>
  <sheetData>
    <row r="1" spans="1:5" s="235" customFormat="1" x14ac:dyDescent="0.2"/>
    <row r="2" spans="1:5" s="235" customFormat="1" ht="13.5" thickBot="1" x14ac:dyDescent="0.25">
      <c r="B2" s="236" t="s">
        <v>579</v>
      </c>
      <c r="C2" s="237" t="s">
        <v>988</v>
      </c>
      <c r="D2" s="237"/>
    </row>
    <row r="3" spans="1:5" s="235" customFormat="1" x14ac:dyDescent="0.2"/>
    <row r="5" spans="1:5" ht="57.6" customHeight="1" x14ac:dyDescent="0.2">
      <c r="A5" s="238" t="s">
        <v>580</v>
      </c>
      <c r="B5" s="239" t="s">
        <v>959</v>
      </c>
      <c r="C5" s="239" t="str">
        <f>"Izpilde"&amp;" "&amp;$C$2</f>
        <v>Izpilde 2024.g. 4 ceturkšņi</v>
      </c>
      <c r="D5" s="239" t="str">
        <f>"Ieņēmumu izpilde, %,"&amp;" "&amp;$C$2</f>
        <v>Ieņēmumu izpilde, %, 2024.g. 4 ceturkšņi</v>
      </c>
      <c r="E5" s="603" t="s">
        <v>991</v>
      </c>
    </row>
    <row r="6" spans="1:5" x14ac:dyDescent="0.2">
      <c r="A6" s="233" t="s">
        <v>581</v>
      </c>
      <c r="B6" s="240">
        <f>SUM(B7,B11:B15,B18:B19)</f>
        <v>52719115</v>
      </c>
      <c r="C6" s="240">
        <f>SUM(C7,C11:C15,C18:C19)</f>
        <v>54564511.169999994</v>
      </c>
      <c r="D6" s="241">
        <f t="shared" ref="D6:D19" si="0">C6/B6</f>
        <v>1.0350043085890193</v>
      </c>
      <c r="E6" s="600">
        <f>C6-B6</f>
        <v>1845396.1699999943</v>
      </c>
    </row>
    <row r="7" spans="1:5" x14ac:dyDescent="0.2">
      <c r="A7" s="234" t="s">
        <v>582</v>
      </c>
      <c r="B7" s="242">
        <f>'2024.gada budzeta plans_apvieno'!AA6</f>
        <v>38539687</v>
      </c>
      <c r="C7" s="242">
        <f>'2024.gada budzeta plans_apvieno'!AG6</f>
        <v>40500478</v>
      </c>
      <c r="D7" s="243">
        <f t="shared" si="0"/>
        <v>1.0508771905698144</v>
      </c>
      <c r="E7" s="601">
        <f t="shared" ref="E7:E22" si="1">C7-B7</f>
        <v>1960791</v>
      </c>
    </row>
    <row r="8" spans="1:5" outlineLevel="1" x14ac:dyDescent="0.2">
      <c r="A8" s="244" t="s">
        <v>583</v>
      </c>
      <c r="B8" s="245">
        <f>'2024.gada budzeta plans_apvieno'!AA7</f>
        <v>35296836</v>
      </c>
      <c r="C8" s="245">
        <f>'2024.gada budzeta plans_apvieno'!AG7</f>
        <v>37162288.229999997</v>
      </c>
      <c r="D8" s="246">
        <f t="shared" si="0"/>
        <v>1.0528504093114748</v>
      </c>
      <c r="E8" s="602">
        <f t="shared" si="1"/>
        <v>1865452.2299999967</v>
      </c>
    </row>
    <row r="9" spans="1:5" outlineLevel="1" x14ac:dyDescent="0.2">
      <c r="A9" s="244" t="s">
        <v>584</v>
      </c>
      <c r="B9" s="245">
        <f>'2024.gada budzeta plans_apvieno'!AA9</f>
        <v>3172851</v>
      </c>
      <c r="C9" s="245">
        <f>'2024.gada budzeta plans_apvieno'!AG9</f>
        <v>3269291.4699999997</v>
      </c>
      <c r="D9" s="246">
        <f t="shared" si="0"/>
        <v>1.0303955244037617</v>
      </c>
      <c r="E9" s="602">
        <f t="shared" si="1"/>
        <v>96440.469999999739</v>
      </c>
    </row>
    <row r="10" spans="1:5" outlineLevel="1" x14ac:dyDescent="0.2">
      <c r="A10" s="244" t="s">
        <v>585</v>
      </c>
      <c r="B10" s="245">
        <f>'2024.gada budzeta plans_apvieno'!AA19</f>
        <v>70000</v>
      </c>
      <c r="C10" s="245">
        <f>'2024.gada budzeta plans_apvieno'!AG19</f>
        <v>68898.739999999991</v>
      </c>
      <c r="D10" s="246">
        <f t="shared" si="0"/>
        <v>0.98426771428571413</v>
      </c>
      <c r="E10" s="602">
        <f t="shared" si="1"/>
        <v>-1101.2600000000093</v>
      </c>
    </row>
    <row r="11" spans="1:5" x14ac:dyDescent="0.2">
      <c r="A11" s="247" t="s">
        <v>586</v>
      </c>
      <c r="B11" s="242">
        <f>'2024.gada budzeta plans_apvieno'!AA22</f>
        <v>167000</v>
      </c>
      <c r="C11" s="242">
        <f>'2024.gada budzeta plans_apvieno'!AG22</f>
        <v>172735.56</v>
      </c>
      <c r="D11" s="243">
        <f t="shared" si="0"/>
        <v>1.0343446706586825</v>
      </c>
      <c r="E11" s="601">
        <f t="shared" si="1"/>
        <v>5735.5599999999977</v>
      </c>
    </row>
    <row r="12" spans="1:5" x14ac:dyDescent="0.2">
      <c r="A12" s="247" t="s">
        <v>587</v>
      </c>
      <c r="B12" s="242">
        <f>'2024.gada budzeta plans_apvieno'!AA34</f>
        <v>150000</v>
      </c>
      <c r="C12" s="242">
        <f>'2024.gada budzeta plans_apvieno'!AG34</f>
        <v>218874.91999999998</v>
      </c>
      <c r="D12" s="243">
        <f t="shared" si="0"/>
        <v>1.4591661333333332</v>
      </c>
      <c r="E12" s="601">
        <f t="shared" si="1"/>
        <v>68874.919999999984</v>
      </c>
    </row>
    <row r="13" spans="1:5" x14ac:dyDescent="0.2">
      <c r="A13" s="247" t="s">
        <v>588</v>
      </c>
      <c r="B13" s="242">
        <f>'2024.gada budzeta plans_apvieno'!AA37</f>
        <v>161431</v>
      </c>
      <c r="C13" s="242">
        <f>'2024.gada budzeta plans_apvieno'!AG37</f>
        <v>189470.90999999997</v>
      </c>
      <c r="D13" s="243">
        <f t="shared" si="0"/>
        <v>1.1736959443972965</v>
      </c>
      <c r="E13" s="601">
        <f t="shared" si="1"/>
        <v>28039.909999999974</v>
      </c>
    </row>
    <row r="14" spans="1:5" x14ac:dyDescent="0.2">
      <c r="A14" s="247" t="s">
        <v>589</v>
      </c>
      <c r="B14" s="242">
        <f>'2024.gada budzeta plans_apvieno'!AA41</f>
        <v>106937</v>
      </c>
      <c r="C14" s="242">
        <f>'2024.gada budzeta plans_apvieno'!AG41</f>
        <v>147109.07</v>
      </c>
      <c r="D14" s="243">
        <f t="shared" si="0"/>
        <v>1.3756610901745889</v>
      </c>
      <c r="E14" s="601">
        <f t="shared" si="1"/>
        <v>40172.070000000007</v>
      </c>
    </row>
    <row r="15" spans="1:5" x14ac:dyDescent="0.2">
      <c r="A15" s="247" t="s">
        <v>590</v>
      </c>
      <c r="B15" s="242">
        <f>'2024.gada budzeta plans_apvieno'!AA42</f>
        <v>10877493</v>
      </c>
      <c r="C15" s="242">
        <f>'2024.gada budzeta plans_apvieno'!AG42</f>
        <v>10587234.09</v>
      </c>
      <c r="D15" s="243">
        <f t="shared" si="0"/>
        <v>0.97331564267612025</v>
      </c>
      <c r="E15" s="601">
        <f t="shared" si="1"/>
        <v>-290258.91000000015</v>
      </c>
    </row>
    <row r="16" spans="1:5" outlineLevel="1" x14ac:dyDescent="0.2">
      <c r="A16" s="248" t="s">
        <v>591</v>
      </c>
      <c r="B16" s="245">
        <f>'2024.gada budzeta plans_apvieno'!AA43</f>
        <v>9715543</v>
      </c>
      <c r="C16" s="245">
        <f>'2024.gada budzeta plans_apvieno'!AG43</f>
        <v>9580265.959999999</v>
      </c>
      <c r="D16" s="246">
        <f t="shared" si="0"/>
        <v>0.98607622445806675</v>
      </c>
      <c r="E16" s="602">
        <f t="shared" si="1"/>
        <v>-135277.04000000097</v>
      </c>
    </row>
    <row r="17" spans="1:5" outlineLevel="1" x14ac:dyDescent="0.2">
      <c r="A17" s="248" t="s">
        <v>647</v>
      </c>
      <c r="B17" s="245">
        <f>'2024.gada budzeta plans_apvieno'!AA66</f>
        <v>1161950</v>
      </c>
      <c r="C17" s="245">
        <f>'2024.gada budzeta plans_apvieno'!AG66</f>
        <v>1006968.1299999999</v>
      </c>
      <c r="D17" s="246">
        <f t="shared" si="0"/>
        <v>0.86661915745083684</v>
      </c>
      <c r="E17" s="602">
        <f t="shared" si="1"/>
        <v>-154981.87000000011</v>
      </c>
    </row>
    <row r="18" spans="1:5" x14ac:dyDescent="0.2">
      <c r="A18" s="247" t="s">
        <v>592</v>
      </c>
      <c r="B18" s="242">
        <f>'2024.gada budzeta plans_apvieno'!AA88</f>
        <v>375000</v>
      </c>
      <c r="C18" s="242">
        <f>'2024.gada budzeta plans_apvieno'!AG88</f>
        <v>373503.79</v>
      </c>
      <c r="D18" s="243">
        <f t="shared" si="0"/>
        <v>0.99601010666666656</v>
      </c>
      <c r="E18" s="601">
        <f t="shared" si="1"/>
        <v>-1496.210000000021</v>
      </c>
    </row>
    <row r="19" spans="1:5" x14ac:dyDescent="0.2">
      <c r="A19" s="247" t="s">
        <v>593</v>
      </c>
      <c r="B19" s="242">
        <f>'2024.gada budzeta plans_apvieno'!AA91</f>
        <v>2341567</v>
      </c>
      <c r="C19" s="242">
        <f>'2024.gada budzeta plans_apvieno'!AG91</f>
        <v>2375104.83</v>
      </c>
      <c r="D19" s="243">
        <f t="shared" si="0"/>
        <v>1.014322814593817</v>
      </c>
      <c r="E19" s="601">
        <f t="shared" si="1"/>
        <v>33537.830000000075</v>
      </c>
    </row>
    <row r="20" spans="1:5" outlineLevel="1" x14ac:dyDescent="0.2">
      <c r="A20" s="248" t="s">
        <v>878</v>
      </c>
      <c r="B20" s="245">
        <f>B19-B21-B22</f>
        <v>550400</v>
      </c>
      <c r="C20" s="245">
        <f>C19-C21-C22</f>
        <v>532188.94000000018</v>
      </c>
      <c r="D20" s="246">
        <f>C20/B20</f>
        <v>0.96691304505813991</v>
      </c>
      <c r="E20" s="602">
        <f t="shared" si="1"/>
        <v>-18211.059999999823</v>
      </c>
    </row>
    <row r="21" spans="1:5" outlineLevel="1" x14ac:dyDescent="0.2">
      <c r="A21" s="248" t="s">
        <v>650</v>
      </c>
      <c r="B21" s="245">
        <f>'2024.gada budzeta plans_apvieno'!AA98</f>
        <v>278370</v>
      </c>
      <c r="C21" s="245">
        <f>'2024.gada budzeta plans_apvieno'!AG98</f>
        <v>329919.86</v>
      </c>
      <c r="D21" s="246">
        <f>C21/B21</f>
        <v>1.185184682257427</v>
      </c>
      <c r="E21" s="602">
        <f t="shared" si="1"/>
        <v>51549.859999999986</v>
      </c>
    </row>
    <row r="22" spans="1:5" outlineLevel="1" x14ac:dyDescent="0.2">
      <c r="A22" s="248" t="s">
        <v>879</v>
      </c>
      <c r="B22" s="245">
        <f>'2024.gada budzeta plans_apvieno'!AA105</f>
        <v>1512797</v>
      </c>
      <c r="C22" s="245">
        <f>'2024.gada budzeta plans_apvieno'!AG105</f>
        <v>1512996.03</v>
      </c>
      <c r="D22" s="246">
        <f>C22/B22</f>
        <v>1.0001315642482105</v>
      </c>
      <c r="E22" s="602">
        <f t="shared" si="1"/>
        <v>199.03000000002794</v>
      </c>
    </row>
    <row r="23" spans="1:5" x14ac:dyDescent="0.2">
      <c r="A23" s="247"/>
    </row>
    <row r="25" spans="1:5" x14ac:dyDescent="0.2">
      <c r="A25" s="249"/>
      <c r="B25" s="242">
        <f>B6-'2024.gada budzeta plans_apvieno'!AA107</f>
        <v>0</v>
      </c>
      <c r="C25" s="242">
        <f>C6-'2024.gada budzeta plans_apvieno'!AG107</f>
        <v>-0.4400000125169754</v>
      </c>
      <c r="D25" s="243"/>
    </row>
    <row r="26" spans="1:5" x14ac:dyDescent="0.2">
      <c r="A26" s="249"/>
      <c r="B26" s="242"/>
      <c r="C26" s="242"/>
      <c r="D26" s="243"/>
    </row>
    <row r="27" spans="1:5" x14ac:dyDescent="0.2">
      <c r="A27" s="249"/>
      <c r="B27" s="242"/>
      <c r="C27" s="242"/>
      <c r="D27" s="243"/>
    </row>
    <row r="28" spans="1:5" x14ac:dyDescent="0.2">
      <c r="A28" s="250"/>
      <c r="B28" s="242"/>
      <c r="C28" s="242"/>
      <c r="D28" s="243"/>
    </row>
    <row r="29" spans="1:5" s="267" customFormat="1" outlineLevel="1" x14ac:dyDescent="0.2">
      <c r="A29" s="494" t="s">
        <v>3</v>
      </c>
      <c r="B29" s="245"/>
      <c r="C29" s="245"/>
      <c r="D29" s="246"/>
    </row>
    <row r="30" spans="1:5" s="267" customFormat="1" outlineLevel="1" x14ac:dyDescent="0.2">
      <c r="A30" s="561" t="s">
        <v>989</v>
      </c>
      <c r="B30" s="245"/>
      <c r="C30" s="245"/>
      <c r="D30" s="246"/>
    </row>
    <row r="31" spans="1:5" s="267" customFormat="1" outlineLevel="1" x14ac:dyDescent="0.2">
      <c r="A31" s="561" t="s">
        <v>992</v>
      </c>
      <c r="B31" s="245"/>
      <c r="C31" s="245"/>
      <c r="D31" s="246"/>
    </row>
    <row r="32" spans="1:5" s="267" customFormat="1" outlineLevel="1" x14ac:dyDescent="0.2">
      <c r="A32" s="248" t="s">
        <v>990</v>
      </c>
      <c r="B32" s="245"/>
      <c r="C32" s="245"/>
      <c r="D32" s="246"/>
    </row>
    <row r="33" spans="1:4" s="267" customFormat="1" outlineLevel="1" x14ac:dyDescent="0.2">
      <c r="A33" s="248" t="s">
        <v>993</v>
      </c>
      <c r="B33" s="245"/>
      <c r="C33" s="245"/>
      <c r="D33" s="246"/>
    </row>
    <row r="34" spans="1:4" s="267" customFormat="1" outlineLevel="1" x14ac:dyDescent="0.2">
      <c r="A34" s="248" t="s">
        <v>994</v>
      </c>
      <c r="B34" s="245"/>
      <c r="C34" s="245"/>
      <c r="D34" s="246"/>
    </row>
    <row r="35" spans="1:4" s="267" customFormat="1" outlineLevel="1" x14ac:dyDescent="0.2">
      <c r="A35" s="561" t="s">
        <v>995</v>
      </c>
      <c r="B35" s="245"/>
      <c r="C35" s="245"/>
      <c r="D35" s="246"/>
    </row>
    <row r="36" spans="1:4" s="267" customFormat="1" outlineLevel="1" x14ac:dyDescent="0.2">
      <c r="A36" s="561" t="s">
        <v>996</v>
      </c>
      <c r="B36" s="245"/>
      <c r="C36" s="245"/>
      <c r="D36" s="246"/>
    </row>
    <row r="37" spans="1:4" s="267" customFormat="1" outlineLevel="1" x14ac:dyDescent="0.2">
      <c r="A37" s="561" t="s">
        <v>997</v>
      </c>
      <c r="B37" s="245"/>
      <c r="C37" s="245"/>
      <c r="D37" s="246"/>
    </row>
    <row r="38" spans="1:4" s="267" customFormat="1" outlineLevel="1" x14ac:dyDescent="0.2">
      <c r="A38" s="561" t="s">
        <v>998</v>
      </c>
      <c r="B38" s="245"/>
      <c r="C38" s="245"/>
      <c r="D38" s="246"/>
    </row>
    <row r="39" spans="1:4" s="267" customFormat="1" outlineLevel="1" x14ac:dyDescent="0.2">
      <c r="A39" s="561" t="s">
        <v>999</v>
      </c>
      <c r="B39" s="245"/>
      <c r="C39" s="245"/>
      <c r="D39" s="246"/>
    </row>
    <row r="40" spans="1:4" s="267" customFormat="1" outlineLevel="1" x14ac:dyDescent="0.2">
      <c r="A40" s="248" t="s">
        <v>1000</v>
      </c>
      <c r="B40" s="245"/>
      <c r="C40" s="245"/>
      <c r="D40" s="246"/>
    </row>
    <row r="41" spans="1:4" s="267" customFormat="1" outlineLevel="1" x14ac:dyDescent="0.2">
      <c r="A41" s="248" t="s">
        <v>1001</v>
      </c>
      <c r="B41" s="245"/>
      <c r="C41" s="245"/>
      <c r="D41" s="246"/>
    </row>
    <row r="42" spans="1:4" s="267" customFormat="1" outlineLevel="1" x14ac:dyDescent="0.2">
      <c r="A42" s="561" t="s">
        <v>1002</v>
      </c>
      <c r="B42" s="245"/>
      <c r="C42" s="245"/>
      <c r="D42" s="246"/>
    </row>
    <row r="43" spans="1:4" s="244" customFormat="1" outlineLevel="1" x14ac:dyDescent="0.2">
      <c r="A43" s="561" t="s">
        <v>810</v>
      </c>
      <c r="B43" s="269"/>
      <c r="C43" s="269"/>
      <c r="D43" s="270"/>
    </row>
    <row r="44" spans="1:4" s="244" customFormat="1" outlineLevel="1" x14ac:dyDescent="0.2">
      <c r="A44" s="248" t="s">
        <v>1003</v>
      </c>
      <c r="B44" s="269"/>
      <c r="C44" s="269"/>
      <c r="D44" s="270"/>
    </row>
    <row r="45" spans="1:4" s="244" customFormat="1" outlineLevel="1" x14ac:dyDescent="0.2">
      <c r="A45" s="248" t="s">
        <v>1004</v>
      </c>
      <c r="B45" s="269"/>
      <c r="C45" s="269"/>
      <c r="D45" s="270"/>
    </row>
    <row r="46" spans="1:4" s="244" customFormat="1" outlineLevel="1" x14ac:dyDescent="0.2">
      <c r="A46" s="248" t="s">
        <v>1005</v>
      </c>
      <c r="B46" s="269"/>
      <c r="C46" s="269"/>
      <c r="D46" s="270"/>
    </row>
    <row r="47" spans="1:4" x14ac:dyDescent="0.2">
      <c r="A47" s="249"/>
      <c r="B47" s="242"/>
      <c r="C47" s="242"/>
      <c r="D47" s="243"/>
    </row>
    <row r="48" spans="1:4" x14ac:dyDescent="0.2">
      <c r="C48" s="275"/>
    </row>
    <row r="50" spans="1:6" ht="57.6" customHeight="1" x14ac:dyDescent="0.2">
      <c r="A50" s="238" t="s">
        <v>609</v>
      </c>
      <c r="B50" s="239" t="str">
        <f>B5</f>
        <v>27.12.2024. grozījumi</v>
      </c>
      <c r="C50" s="239" t="str">
        <f>"Izpilde"&amp;" "&amp;$C$2</f>
        <v>Izpilde 2024.g. 4 ceturkšņi</v>
      </c>
      <c r="D50" s="239" t="str">
        <f>"Izdevumu izpilde, %,"&amp;" "&amp;$C$2</f>
        <v>Izdevumu izpilde, %, 2024.g. 4 ceturkšņi</v>
      </c>
      <c r="E50" s="603" t="s">
        <v>991</v>
      </c>
    </row>
    <row r="51" spans="1:6" x14ac:dyDescent="0.2">
      <c r="A51" s="233" t="s">
        <v>610</v>
      </c>
      <c r="B51" s="252">
        <f>SUM(B52,B56:B60,B65:B67,B80)</f>
        <v>64248275</v>
      </c>
      <c r="C51" s="252">
        <f>SUM(C52,C56:C60,C65:C67,C80)</f>
        <v>58228606.060000002</v>
      </c>
      <c r="D51" s="241">
        <f>C51/B51</f>
        <v>0.90630613911424085</v>
      </c>
      <c r="E51" s="604">
        <f>C51-B51</f>
        <v>-6019668.9399999976</v>
      </c>
    </row>
    <row r="52" spans="1:6" x14ac:dyDescent="0.2">
      <c r="A52" s="234" t="s">
        <v>611</v>
      </c>
      <c r="B52" s="242">
        <f>'2024.gada budzeta plans_apvieno'!AA130</f>
        <v>11628303</v>
      </c>
      <c r="C52" s="242">
        <f>'2024.gada budzeta plans_apvieno'!AG130</f>
        <v>11642780.500000002</v>
      </c>
      <c r="D52" s="243">
        <f>C52/B52</f>
        <v>1.0012450225970206</v>
      </c>
      <c r="E52" s="601">
        <f t="shared" ref="E52:E80" si="2">C52-B52</f>
        <v>14477.500000001863</v>
      </c>
      <c r="F52" s="254"/>
    </row>
    <row r="53" spans="1:6" outlineLevel="1" x14ac:dyDescent="0.2">
      <c r="A53" s="244" t="s">
        <v>628</v>
      </c>
      <c r="B53" s="245">
        <f>'2024.gada budzeta plans_apvieno'!AA131+'2024.gada budzeta plans_apvieno'!AA132+'2024.gada budzeta plans_apvieno'!AA133+'2024.gada budzeta plans_apvieno'!AA134+'2024.gada budzeta plans_apvieno'!AA135+'2024.gada budzeta plans_apvieno'!AA136+'2024.gada budzeta plans_apvieno'!AA139</f>
        <v>2991572</v>
      </c>
      <c r="C53" s="245">
        <f>'2024.gada budzeta plans_apvieno'!AG131+'2024.gada budzeta plans_apvieno'!AG132+'2024.gada budzeta plans_apvieno'!AG133+'2024.gada budzeta plans_apvieno'!AG134+'2024.gada budzeta plans_apvieno'!AG135+'2024.gada budzeta plans_apvieno'!AG136+'2024.gada budzeta plans_apvieno'!AG139</f>
        <v>2667805.9700000007</v>
      </c>
      <c r="D53" s="246">
        <f>C53/B53</f>
        <v>0.89177394694160816</v>
      </c>
      <c r="E53" s="602">
        <f t="shared" si="2"/>
        <v>-323766.02999999933</v>
      </c>
      <c r="F53" s="254"/>
    </row>
    <row r="54" spans="1:6" outlineLevel="1" x14ac:dyDescent="0.2">
      <c r="A54" s="244" t="s">
        <v>629</v>
      </c>
      <c r="B54" s="245">
        <f>'2024.gada budzeta plans_apvieno'!AA137</f>
        <v>2138615</v>
      </c>
      <c r="C54" s="245">
        <f>'2024.gada budzeta plans_apvieno'!AG137</f>
        <v>2129583.5499999998</v>
      </c>
      <c r="D54" s="246">
        <f>C54/B54</f>
        <v>0.99577696312800568</v>
      </c>
      <c r="E54" s="602">
        <f t="shared" si="2"/>
        <v>-9031.4500000001863</v>
      </c>
      <c r="F54" s="254"/>
    </row>
    <row r="55" spans="1:6" outlineLevel="1" x14ac:dyDescent="0.2">
      <c r="A55" s="244" t="s">
        <v>630</v>
      </c>
      <c r="B55" s="245">
        <f>'2024.gada budzeta plans_apvieno'!AA138</f>
        <v>6498116</v>
      </c>
      <c r="C55" s="245">
        <f>'2024.gada budzeta plans_apvieno'!AG138</f>
        <v>6845390.9800000004</v>
      </c>
      <c r="D55" s="246">
        <f>C55/B55</f>
        <v>1.0534424100770132</v>
      </c>
      <c r="E55" s="602">
        <f t="shared" si="2"/>
        <v>347274.98000000045</v>
      </c>
      <c r="F55" s="254"/>
    </row>
    <row r="56" spans="1:6" x14ac:dyDescent="0.2">
      <c r="A56" s="234" t="s">
        <v>612</v>
      </c>
      <c r="B56" s="242">
        <f>'2024.gada budzeta plans_apvieno'!AA142</f>
        <v>1058357</v>
      </c>
      <c r="C56" s="242">
        <f>'2024.gada budzeta plans_apvieno'!AG142</f>
        <v>1007582.84</v>
      </c>
      <c r="D56" s="243">
        <f t="shared" ref="D56:D80" si="3">C56/B56</f>
        <v>0.95202548856387781</v>
      </c>
      <c r="E56" s="601">
        <f t="shared" si="2"/>
        <v>-50774.160000000033</v>
      </c>
      <c r="F56" s="254"/>
    </row>
    <row r="57" spans="1:6" x14ac:dyDescent="0.2">
      <c r="A57" s="234" t="s">
        <v>613</v>
      </c>
      <c r="B57" s="242">
        <f>'2024.gada budzeta plans_apvieno'!AA144</f>
        <v>179686</v>
      </c>
      <c r="C57" s="242">
        <f>'2024.gada budzeta plans_apvieno'!AG144</f>
        <v>179107.48</v>
      </c>
      <c r="D57" s="243">
        <f t="shared" si="3"/>
        <v>0.9967803835579846</v>
      </c>
      <c r="E57" s="601">
        <f t="shared" si="2"/>
        <v>-578.51999999998952</v>
      </c>
      <c r="F57" s="254"/>
    </row>
    <row r="58" spans="1:6" x14ac:dyDescent="0.2">
      <c r="A58" s="234" t="s">
        <v>614</v>
      </c>
      <c r="B58" s="242">
        <f>'2024.gada budzeta plans_apvieno'!AA147</f>
        <v>407862</v>
      </c>
      <c r="C58" s="242">
        <f>'2024.gada budzeta plans_apvieno'!AG147</f>
        <v>368910.16</v>
      </c>
      <c r="D58" s="243">
        <f t="shared" si="3"/>
        <v>0.90449750160593523</v>
      </c>
      <c r="E58" s="601">
        <f t="shared" si="2"/>
        <v>-38951.840000000026</v>
      </c>
      <c r="F58" s="254"/>
    </row>
    <row r="59" spans="1:6" x14ac:dyDescent="0.2">
      <c r="A59" s="234" t="s">
        <v>615</v>
      </c>
      <c r="B59" s="242">
        <f>'2024.gada budzeta plans_apvieno'!AA148</f>
        <v>174970</v>
      </c>
      <c r="C59" s="242">
        <f>'2024.gada budzeta plans_apvieno'!AG148</f>
        <v>7664.36</v>
      </c>
      <c r="D59" s="243">
        <f t="shared" si="3"/>
        <v>4.3803852088929528E-2</v>
      </c>
      <c r="E59" s="601">
        <f t="shared" si="2"/>
        <v>-167305.64000000001</v>
      </c>
      <c r="F59" s="254"/>
    </row>
    <row r="60" spans="1:6" x14ac:dyDescent="0.2">
      <c r="A60" s="234" t="s">
        <v>616</v>
      </c>
      <c r="B60" s="242">
        <f>'2024.gada budzeta plans_apvieno'!AA150</f>
        <v>14585778</v>
      </c>
      <c r="C60" s="242">
        <f>'2024.gada budzeta plans_apvieno'!AG150</f>
        <v>12537490.959999999</v>
      </c>
      <c r="D60" s="243">
        <f t="shared" si="3"/>
        <v>0.85956957249726407</v>
      </c>
      <c r="E60" s="601">
        <f t="shared" si="2"/>
        <v>-2048287.040000001</v>
      </c>
      <c r="F60" s="254"/>
    </row>
    <row r="61" spans="1:6" outlineLevel="1" x14ac:dyDescent="0.2">
      <c r="A61" s="244" t="s">
        <v>651</v>
      </c>
      <c r="B61" s="245">
        <f>SUM('2024.gada budzeta plans_apvieno'!AA173,'2024.gada budzeta plans_apvieno'!AA155,'2024.gada budzeta plans_apvieno'!AA153,'2024.gada budzeta plans_apvieno'!AA152,'2024.gada budzeta plans_apvieno'!AA151)</f>
        <v>2531443</v>
      </c>
      <c r="C61" s="245">
        <f>SUM('2024.gada budzeta plans_apvieno'!AG173,'2024.gada budzeta plans_apvieno'!AG155,'2024.gada budzeta plans_apvieno'!AG153,'2024.gada budzeta plans_apvieno'!AG152,'2024.gada budzeta plans_apvieno'!AG151)</f>
        <v>2276776.64</v>
      </c>
      <c r="D61" s="246">
        <f t="shared" si="3"/>
        <v>0.89939873819003635</v>
      </c>
      <c r="E61" s="602">
        <f t="shared" si="2"/>
        <v>-254666.35999999987</v>
      </c>
      <c r="F61" s="254"/>
    </row>
    <row r="62" spans="1:6" outlineLevel="1" x14ac:dyDescent="0.2">
      <c r="A62" s="244" t="s">
        <v>631</v>
      </c>
      <c r="B62" s="245">
        <f>'2024.gada budzeta plans_apvieno'!AA177</f>
        <v>1681179</v>
      </c>
      <c r="C62" s="245">
        <f>'2024.gada budzeta plans_apvieno'!AG177</f>
        <v>1315050</v>
      </c>
      <c r="D62" s="246">
        <f t="shared" si="3"/>
        <v>0.78221890708841835</v>
      </c>
      <c r="E62" s="602">
        <f t="shared" si="2"/>
        <v>-366129</v>
      </c>
      <c r="F62" s="254"/>
    </row>
    <row r="63" spans="1:6" outlineLevel="1" x14ac:dyDescent="0.2">
      <c r="A63" s="244" t="s">
        <v>632</v>
      </c>
      <c r="B63" s="245">
        <f>'2024.gada budzeta plans_apvieno'!AA178</f>
        <v>5401813</v>
      </c>
      <c r="C63" s="245">
        <f>'2024.gada budzeta plans_apvieno'!AG178</f>
        <v>5017603.22</v>
      </c>
      <c r="D63" s="246">
        <f t="shared" si="3"/>
        <v>0.92887392066330321</v>
      </c>
      <c r="E63" s="602">
        <f t="shared" si="2"/>
        <v>-384209.78000000026</v>
      </c>
      <c r="F63" s="254"/>
    </row>
    <row r="64" spans="1:6" outlineLevel="1" x14ac:dyDescent="0.2">
      <c r="A64" s="244" t="s">
        <v>633</v>
      </c>
      <c r="B64" s="245">
        <f>B60-B61-B62-B63</f>
        <v>4971343</v>
      </c>
      <c r="C64" s="245">
        <f>C60-C61-C62-C63</f>
        <v>3928061.0999999987</v>
      </c>
      <c r="D64" s="246">
        <f>C64/B64</f>
        <v>0.7901408331712374</v>
      </c>
      <c r="E64" s="602">
        <f t="shared" si="2"/>
        <v>-1043281.9000000013</v>
      </c>
      <c r="F64" s="254"/>
    </row>
    <row r="65" spans="1:6" x14ac:dyDescent="0.2">
      <c r="A65" s="234" t="s">
        <v>617</v>
      </c>
      <c r="B65" s="242">
        <f>'2024.gada budzeta plans_apvieno'!AA192</f>
        <v>2566319</v>
      </c>
      <c r="C65" s="242">
        <f>'2024.gada budzeta plans_apvieno'!AG192</f>
        <v>2363088.37</v>
      </c>
      <c r="D65" s="243">
        <f t="shared" si="3"/>
        <v>0.92080850821741178</v>
      </c>
      <c r="E65" s="601">
        <f t="shared" si="2"/>
        <v>-203230.62999999989</v>
      </c>
      <c r="F65" s="254"/>
    </row>
    <row r="66" spans="1:6" x14ac:dyDescent="0.2">
      <c r="A66" s="234" t="s">
        <v>618</v>
      </c>
      <c r="B66" s="242">
        <f>'2024.gada budzeta plans_apvieno'!AA207</f>
        <v>3832063</v>
      </c>
      <c r="C66" s="242">
        <f>'2024.gada budzeta plans_apvieno'!AG207</f>
        <v>2891184.52</v>
      </c>
      <c r="D66" s="243">
        <f t="shared" si="3"/>
        <v>0.75447207418040885</v>
      </c>
      <c r="E66" s="601">
        <f t="shared" si="2"/>
        <v>-940878.48</v>
      </c>
      <c r="F66" s="254"/>
    </row>
    <row r="67" spans="1:6" x14ac:dyDescent="0.2">
      <c r="A67" s="234" t="s">
        <v>619</v>
      </c>
      <c r="B67" s="242">
        <f>'2024.gada budzeta plans_apvieno'!AA229</f>
        <v>26057651</v>
      </c>
      <c r="C67" s="242">
        <f>'2024.gada budzeta plans_apvieno'!AG229+0.5</f>
        <v>23473578.870000001</v>
      </c>
      <c r="D67" s="243">
        <f t="shared" si="3"/>
        <v>0.90083249906140817</v>
      </c>
      <c r="E67" s="601">
        <f t="shared" si="2"/>
        <v>-2584072.129999999</v>
      </c>
      <c r="F67" s="254"/>
    </row>
    <row r="68" spans="1:6" outlineLevel="1" x14ac:dyDescent="0.2">
      <c r="A68" s="244" t="s">
        <v>664</v>
      </c>
      <c r="B68" s="245">
        <f>'2024.gada budzeta plans_apvieno'!AA230</f>
        <v>900000</v>
      </c>
      <c r="C68" s="245">
        <f>'2024.gada budzeta plans_apvieno'!AG230</f>
        <v>803750.23</v>
      </c>
      <c r="D68" s="246">
        <f>C68/B68</f>
        <v>0.8930558111111111</v>
      </c>
      <c r="E68" s="602">
        <f t="shared" si="2"/>
        <v>-96249.770000000019</v>
      </c>
      <c r="F68" s="254"/>
    </row>
    <row r="69" spans="1:6" outlineLevel="1" x14ac:dyDescent="0.2">
      <c r="A69" s="244" t="s">
        <v>660</v>
      </c>
      <c r="B69" s="245">
        <f>'2024.gada budzeta plans_apvieno'!AA231</f>
        <v>2304801</v>
      </c>
      <c r="C69" s="245">
        <f>'2024.gada budzeta plans_apvieno'!AG231</f>
        <v>2125757.39</v>
      </c>
      <c r="D69" s="246">
        <f>C69/B69</f>
        <v>0.92231710676973855</v>
      </c>
      <c r="E69" s="602">
        <f t="shared" si="2"/>
        <v>-179043.60999999987</v>
      </c>
      <c r="F69" s="254"/>
    </row>
    <row r="70" spans="1:6" outlineLevel="1" x14ac:dyDescent="0.2">
      <c r="A70" s="244" t="s">
        <v>661</v>
      </c>
      <c r="B70" s="245">
        <f>'2024.gada budzeta plans_apvieno'!AA235</f>
        <v>1426087</v>
      </c>
      <c r="C70" s="245">
        <f>'2024.gada budzeta plans_apvieno'!AG235</f>
        <v>1305384.3099999998</v>
      </c>
      <c r="D70" s="246">
        <f>C70/B70</f>
        <v>0.91536092117802059</v>
      </c>
      <c r="E70" s="602">
        <f t="shared" si="2"/>
        <v>-120702.69000000018</v>
      </c>
      <c r="F70" s="254"/>
    </row>
    <row r="71" spans="1:6" outlineLevel="1" x14ac:dyDescent="0.2">
      <c r="A71" s="244" t="s">
        <v>662</v>
      </c>
      <c r="B71" s="245">
        <f>'2024.gada budzeta plans_apvieno'!AA239</f>
        <v>1599919</v>
      </c>
      <c r="C71" s="245">
        <f>'2024.gada budzeta plans_apvieno'!AG239</f>
        <v>1538020.51</v>
      </c>
      <c r="D71" s="246">
        <f>C71/B71</f>
        <v>0.96131148514393538</v>
      </c>
      <c r="E71" s="602">
        <f t="shared" si="2"/>
        <v>-61898.489999999991</v>
      </c>
      <c r="F71" s="254"/>
    </row>
    <row r="72" spans="1:6" outlineLevel="1" x14ac:dyDescent="0.2">
      <c r="A72" s="244" t="s">
        <v>663</v>
      </c>
      <c r="B72" s="245">
        <f>'2024.gada budzeta plans_apvieno'!AA243</f>
        <v>1485846</v>
      </c>
      <c r="C72" s="245">
        <f>'2024.gada budzeta plans_apvieno'!AG243</f>
        <v>1408466.52</v>
      </c>
      <c r="D72" s="246">
        <f t="shared" ref="D72:D79" si="4">C72/B72</f>
        <v>0.94792227458296485</v>
      </c>
      <c r="E72" s="602">
        <f t="shared" si="2"/>
        <v>-77379.479999999981</v>
      </c>
      <c r="F72" s="254"/>
    </row>
    <row r="73" spans="1:6" outlineLevel="1" x14ac:dyDescent="0.2">
      <c r="A73" s="244" t="s">
        <v>654</v>
      </c>
      <c r="B73" s="245">
        <f>'2024.gada budzeta plans_apvieno'!AA247</f>
        <v>3101350</v>
      </c>
      <c r="C73" s="245">
        <f>'2024.gada budzeta plans_apvieno'!AG247</f>
        <v>2914833.67</v>
      </c>
      <c r="D73" s="246">
        <f t="shared" si="4"/>
        <v>0.93985963209570023</v>
      </c>
      <c r="E73" s="602">
        <f t="shared" si="2"/>
        <v>-186516.33000000007</v>
      </c>
      <c r="F73" s="254"/>
    </row>
    <row r="74" spans="1:6" outlineLevel="1" x14ac:dyDescent="0.2">
      <c r="A74" s="244" t="s">
        <v>1018</v>
      </c>
      <c r="B74" s="245">
        <f>'2024.gada budzeta plans_apvieno'!AA251</f>
        <v>2426183</v>
      </c>
      <c r="C74" s="245">
        <f>'2024.gada budzeta plans_apvieno'!AG251</f>
        <v>2372880.2999999998</v>
      </c>
      <c r="D74" s="246">
        <f t="shared" si="4"/>
        <v>0.97803022278204066</v>
      </c>
      <c r="E74" s="602">
        <f t="shared" si="2"/>
        <v>-53302.700000000186</v>
      </c>
      <c r="F74" s="254"/>
    </row>
    <row r="75" spans="1:6" outlineLevel="1" x14ac:dyDescent="0.2">
      <c r="A75" s="244" t="s">
        <v>655</v>
      </c>
      <c r="B75" s="245">
        <f>'2024.gada budzeta plans_apvieno'!AA263</f>
        <v>8943586</v>
      </c>
      <c r="C75" s="245">
        <f>'2024.gada budzeta plans_apvieno'!AG263</f>
        <v>7792724.8500000015</v>
      </c>
      <c r="D75" s="246">
        <f t="shared" si="4"/>
        <v>0.87131994370043531</v>
      </c>
      <c r="E75" s="602">
        <f t="shared" si="2"/>
        <v>-1150861.1499999985</v>
      </c>
      <c r="F75" s="254"/>
    </row>
    <row r="76" spans="1:6" outlineLevel="1" x14ac:dyDescent="0.2">
      <c r="A76" s="244" t="s">
        <v>656</v>
      </c>
      <c r="B76" s="245">
        <f>'2024.gada budzeta plans_apvieno'!AA281</f>
        <v>1852110</v>
      </c>
      <c r="C76" s="245">
        <f>'2024.gada budzeta plans_apvieno'!AG281</f>
        <v>1800981.94</v>
      </c>
      <c r="D76" s="246">
        <f t="shared" si="4"/>
        <v>0.97239469577940829</v>
      </c>
      <c r="E76" s="602">
        <f t="shared" si="2"/>
        <v>-51128.060000000056</v>
      </c>
      <c r="F76" s="254"/>
    </row>
    <row r="77" spans="1:6" outlineLevel="1" x14ac:dyDescent="0.2">
      <c r="A77" s="244" t="s">
        <v>657</v>
      </c>
      <c r="B77" s="245">
        <f>'2024.gada budzeta plans_apvieno'!AA284</f>
        <v>744620</v>
      </c>
      <c r="C77" s="245">
        <f>'2024.gada budzeta plans_apvieno'!AG284</f>
        <v>694751.62999999989</v>
      </c>
      <c r="D77" s="246">
        <f t="shared" si="4"/>
        <v>0.93302843060890106</v>
      </c>
      <c r="E77" s="602">
        <f t="shared" si="2"/>
        <v>-49868.370000000112</v>
      </c>
      <c r="F77" s="254"/>
    </row>
    <row r="78" spans="1:6" outlineLevel="1" x14ac:dyDescent="0.2">
      <c r="A78" s="244" t="s">
        <v>658</v>
      </c>
      <c r="B78" s="245">
        <f>'2024.gada budzeta plans_apvieno'!AA287</f>
        <v>483589</v>
      </c>
      <c r="C78" s="245">
        <f>'2024.gada budzeta plans_apvieno'!AG287</f>
        <v>429273.97</v>
      </c>
      <c r="D78" s="246">
        <f t="shared" si="4"/>
        <v>0.8876834874242383</v>
      </c>
      <c r="E78" s="602">
        <f t="shared" si="2"/>
        <v>-54315.030000000028</v>
      </c>
      <c r="F78" s="254"/>
    </row>
    <row r="79" spans="1:6" outlineLevel="1" x14ac:dyDescent="0.2">
      <c r="A79" s="244" t="s">
        <v>659</v>
      </c>
      <c r="B79" s="245">
        <f>B67-SUM(B68:B78)</f>
        <v>789560</v>
      </c>
      <c r="C79" s="245">
        <f>C67-SUM(C68:C78)</f>
        <v>286753.55000000075</v>
      </c>
      <c r="D79" s="246">
        <f t="shared" si="4"/>
        <v>0.36318145549420022</v>
      </c>
      <c r="E79" s="602">
        <f t="shared" si="2"/>
        <v>-502806.44999999925</v>
      </c>
      <c r="F79" s="254"/>
    </row>
    <row r="80" spans="1:6" x14ac:dyDescent="0.2">
      <c r="A80" s="234" t="s">
        <v>620</v>
      </c>
      <c r="B80" s="242">
        <f>'2024.gada budzeta plans_apvieno'!AA300</f>
        <v>3757286</v>
      </c>
      <c r="C80" s="242">
        <f>'2024.gada budzeta plans_apvieno'!AG300</f>
        <v>3757218</v>
      </c>
      <c r="D80" s="243">
        <f t="shared" si="3"/>
        <v>0.99998190183020408</v>
      </c>
      <c r="E80" s="601">
        <f t="shared" si="2"/>
        <v>-68</v>
      </c>
      <c r="F80" s="254"/>
    </row>
    <row r="81" spans="1:18" x14ac:dyDescent="0.2">
      <c r="B81" s="242"/>
      <c r="C81" s="242"/>
    </row>
    <row r="82" spans="1:18" x14ac:dyDescent="0.2">
      <c r="B82" s="242">
        <f>B51-'2024.gada budzeta plans_apvieno'!AA301</f>
        <v>0</v>
      </c>
      <c r="C82" s="234">
        <f>C51-'2024.gada budzeta plans_apvieno'!AG301</f>
        <v>0</v>
      </c>
    </row>
    <row r="86" spans="1:18" x14ac:dyDescent="0.2">
      <c r="B86" s="242"/>
      <c r="C86" s="242"/>
    </row>
    <row r="87" spans="1:18" s="267" customFormat="1" outlineLevel="1" x14ac:dyDescent="0.2">
      <c r="A87" s="494" t="s">
        <v>3</v>
      </c>
      <c r="B87" s="490"/>
      <c r="C87" s="491"/>
      <c r="D87" s="490"/>
      <c r="E87" s="490"/>
      <c r="F87" s="490"/>
      <c r="G87" s="490"/>
      <c r="H87" s="490"/>
      <c r="I87" s="490"/>
      <c r="J87" s="490"/>
      <c r="K87" s="490"/>
      <c r="L87" s="490"/>
      <c r="M87" s="490"/>
      <c r="N87" s="490"/>
      <c r="O87" s="490"/>
      <c r="P87" s="490"/>
      <c r="Q87" s="490"/>
      <c r="R87" s="490"/>
    </row>
    <row r="88" spans="1:18" s="267" customFormat="1" ht="17.45" customHeight="1" outlineLevel="1" x14ac:dyDescent="0.2">
      <c r="A88" s="631" t="s">
        <v>811</v>
      </c>
      <c r="B88" s="631"/>
      <c r="C88" s="631"/>
      <c r="D88" s="631"/>
      <c r="E88" s="631"/>
      <c r="F88" s="631"/>
      <c r="G88" s="631"/>
      <c r="H88" s="631"/>
      <c r="I88" s="631"/>
      <c r="J88" s="631"/>
      <c r="K88" s="631"/>
      <c r="L88" s="631"/>
      <c r="M88" s="631"/>
      <c r="N88" s="631"/>
      <c r="O88" s="631"/>
      <c r="P88" s="631"/>
      <c r="Q88" s="631"/>
      <c r="R88" s="631"/>
    </row>
    <row r="89" spans="1:18" s="244" customFormat="1" outlineLevel="1" x14ac:dyDescent="0.2">
      <c r="A89" s="248" t="s">
        <v>1006</v>
      </c>
      <c r="B89" s="492"/>
      <c r="C89" s="560"/>
      <c r="D89" s="492"/>
      <c r="E89" s="492"/>
      <c r="F89" s="492"/>
      <c r="G89" s="492"/>
      <c r="H89" s="492"/>
      <c r="I89" s="492"/>
      <c r="J89" s="492"/>
      <c r="K89" s="492"/>
      <c r="L89" s="492"/>
      <c r="M89" s="492"/>
      <c r="N89" s="492"/>
      <c r="O89" s="492"/>
      <c r="P89" s="492"/>
      <c r="Q89" s="492"/>
      <c r="R89" s="492"/>
    </row>
    <row r="90" spans="1:18" s="244" customFormat="1" outlineLevel="1" x14ac:dyDescent="0.2">
      <c r="A90" s="248" t="s">
        <v>812</v>
      </c>
      <c r="B90" s="492"/>
      <c r="C90" s="560"/>
      <c r="D90" s="492"/>
      <c r="E90" s="492"/>
      <c r="F90" s="492"/>
      <c r="G90" s="492"/>
      <c r="H90" s="492"/>
      <c r="I90" s="492"/>
      <c r="J90" s="492"/>
      <c r="K90" s="492"/>
      <c r="L90" s="492"/>
      <c r="M90" s="492"/>
      <c r="N90" s="492"/>
      <c r="O90" s="492"/>
      <c r="P90" s="492"/>
      <c r="Q90" s="492"/>
      <c r="R90" s="492"/>
    </row>
    <row r="91" spans="1:18" s="244" customFormat="1" outlineLevel="1" x14ac:dyDescent="0.2">
      <c r="A91" s="248" t="s">
        <v>1007</v>
      </c>
      <c r="B91" s="492"/>
      <c r="C91" s="560"/>
      <c r="D91" s="492"/>
      <c r="E91" s="492"/>
      <c r="F91" s="492"/>
      <c r="G91" s="492"/>
      <c r="H91" s="492"/>
      <c r="I91" s="492"/>
      <c r="J91" s="492"/>
      <c r="K91" s="492"/>
      <c r="L91" s="492"/>
      <c r="M91" s="492"/>
      <c r="N91" s="492"/>
      <c r="O91" s="492"/>
      <c r="P91" s="492"/>
      <c r="Q91" s="492"/>
      <c r="R91" s="492"/>
    </row>
    <row r="92" spans="1:18" s="267" customFormat="1" outlineLevel="1" x14ac:dyDescent="0.2">
      <c r="A92" s="561" t="s">
        <v>1008</v>
      </c>
      <c r="B92" s="490"/>
      <c r="C92" s="491"/>
      <c r="D92" s="490"/>
      <c r="E92" s="490"/>
      <c r="F92" s="490"/>
      <c r="G92" s="490"/>
      <c r="H92" s="490"/>
      <c r="I92" s="490"/>
      <c r="J92" s="490"/>
      <c r="K92" s="490"/>
      <c r="L92" s="490"/>
      <c r="M92" s="490"/>
      <c r="N92" s="490"/>
      <c r="O92" s="490"/>
      <c r="P92" s="490"/>
      <c r="Q92" s="490"/>
      <c r="R92" s="490"/>
    </row>
    <row r="93" spans="1:18" s="267" customFormat="1" outlineLevel="1" x14ac:dyDescent="0.2">
      <c r="A93" s="561" t="s">
        <v>1009</v>
      </c>
      <c r="B93" s="490"/>
      <c r="C93" s="491"/>
      <c r="D93" s="490"/>
      <c r="E93" s="490"/>
      <c r="F93" s="490"/>
      <c r="G93" s="490"/>
      <c r="H93" s="490"/>
      <c r="I93" s="490"/>
      <c r="J93" s="490"/>
      <c r="K93" s="490"/>
      <c r="L93" s="490"/>
      <c r="M93" s="490"/>
      <c r="N93" s="490"/>
      <c r="O93" s="490"/>
      <c r="P93" s="490"/>
      <c r="Q93" s="490"/>
      <c r="R93" s="490"/>
    </row>
    <row r="94" spans="1:18" s="267" customFormat="1" outlineLevel="1" x14ac:dyDescent="0.2">
      <c r="A94" s="561" t="s">
        <v>813</v>
      </c>
      <c r="B94" s="490"/>
      <c r="C94" s="491"/>
      <c r="D94" s="490"/>
      <c r="E94" s="490"/>
      <c r="F94" s="490"/>
      <c r="G94" s="490"/>
      <c r="H94" s="490"/>
      <c r="I94" s="490"/>
      <c r="J94" s="490"/>
      <c r="K94" s="490"/>
      <c r="L94" s="490"/>
      <c r="M94" s="490"/>
      <c r="N94" s="490"/>
      <c r="O94" s="490"/>
      <c r="P94" s="490"/>
      <c r="Q94" s="490"/>
      <c r="R94" s="490"/>
    </row>
    <row r="95" spans="1:18" s="267" customFormat="1" outlineLevel="1" x14ac:dyDescent="0.2">
      <c r="A95" s="561" t="s">
        <v>666</v>
      </c>
      <c r="B95" s="490"/>
      <c r="C95" s="491"/>
      <c r="D95" s="490"/>
      <c r="E95" s="490"/>
      <c r="F95" s="490"/>
      <c r="G95" s="490"/>
      <c r="H95" s="490"/>
      <c r="I95" s="490"/>
      <c r="J95" s="490"/>
      <c r="K95" s="490"/>
      <c r="L95" s="490"/>
      <c r="M95" s="490"/>
      <c r="N95" s="490"/>
      <c r="O95" s="490"/>
      <c r="P95" s="490"/>
      <c r="Q95" s="490"/>
      <c r="R95" s="490"/>
    </row>
    <row r="96" spans="1:18" s="267" customFormat="1" outlineLevel="1" x14ac:dyDescent="0.2">
      <c r="A96" s="561" t="s">
        <v>1010</v>
      </c>
      <c r="B96" s="561"/>
      <c r="C96" s="562"/>
      <c r="D96" s="561"/>
      <c r="E96" s="561"/>
      <c r="F96" s="561"/>
      <c r="G96" s="561"/>
      <c r="H96" s="561"/>
      <c r="I96" s="561"/>
      <c r="J96" s="561"/>
      <c r="K96" s="561"/>
      <c r="L96" s="561"/>
      <c r="M96" s="561"/>
      <c r="N96" s="561"/>
      <c r="O96" s="561"/>
      <c r="P96" s="561"/>
      <c r="Q96" s="561"/>
      <c r="R96" s="561"/>
    </row>
    <row r="97" spans="1:18" s="267" customFormat="1" ht="15" customHeight="1" outlineLevel="1" x14ac:dyDescent="0.2">
      <c r="A97" s="630" t="s">
        <v>1011</v>
      </c>
      <c r="B97" s="630"/>
      <c r="C97" s="630"/>
      <c r="D97" s="630"/>
      <c r="E97" s="630"/>
      <c r="F97" s="630"/>
      <c r="G97" s="630"/>
      <c r="H97" s="630"/>
      <c r="I97" s="630"/>
      <c r="J97" s="630"/>
      <c r="K97" s="630"/>
      <c r="L97" s="630"/>
      <c r="M97" s="630"/>
      <c r="N97" s="630"/>
      <c r="O97" s="630"/>
      <c r="P97" s="630"/>
      <c r="Q97" s="630"/>
      <c r="R97" s="630"/>
    </row>
    <row r="98" spans="1:18" s="267" customFormat="1" outlineLevel="1" x14ac:dyDescent="0.2">
      <c r="A98" s="248" t="s">
        <v>652</v>
      </c>
      <c r="B98" s="490"/>
      <c r="C98" s="490"/>
      <c r="D98" s="490"/>
      <c r="E98" s="490"/>
      <c r="F98" s="490"/>
      <c r="G98" s="490"/>
      <c r="H98" s="490"/>
      <c r="I98" s="490"/>
      <c r="J98" s="490"/>
      <c r="K98" s="490"/>
      <c r="L98" s="490"/>
      <c r="M98" s="490"/>
      <c r="N98" s="490"/>
      <c r="O98" s="490"/>
      <c r="P98" s="490"/>
      <c r="Q98" s="490"/>
      <c r="R98" s="490"/>
    </row>
    <row r="99" spans="1:18" s="267" customFormat="1" outlineLevel="1" x14ac:dyDescent="0.2">
      <c r="A99" s="248" t="s">
        <v>814</v>
      </c>
      <c r="B99" s="490"/>
      <c r="C99" s="490"/>
      <c r="D99" s="490"/>
      <c r="E99" s="490"/>
      <c r="F99" s="490"/>
      <c r="G99" s="490"/>
      <c r="H99" s="490"/>
      <c r="I99" s="490"/>
      <c r="J99" s="490"/>
      <c r="K99" s="490"/>
      <c r="L99" s="490"/>
      <c r="M99" s="490"/>
      <c r="N99" s="490"/>
      <c r="O99" s="490"/>
      <c r="P99" s="490"/>
      <c r="Q99" s="490"/>
      <c r="R99" s="490"/>
    </row>
    <row r="100" spans="1:18" s="267" customFormat="1" outlineLevel="1" x14ac:dyDescent="0.2">
      <c r="A100" s="248" t="s">
        <v>653</v>
      </c>
      <c r="B100" s="490"/>
      <c r="C100" s="490"/>
      <c r="D100" s="490"/>
      <c r="E100" s="490"/>
      <c r="F100" s="490"/>
      <c r="G100" s="490"/>
      <c r="H100" s="490"/>
      <c r="I100" s="490"/>
      <c r="J100" s="490"/>
      <c r="K100" s="490"/>
      <c r="L100" s="490"/>
      <c r="M100" s="490"/>
      <c r="N100" s="490"/>
      <c r="O100" s="490"/>
      <c r="P100" s="490"/>
      <c r="Q100" s="490"/>
      <c r="R100" s="490"/>
    </row>
    <row r="101" spans="1:18" s="267" customFormat="1" ht="15" customHeight="1" outlineLevel="1" x14ac:dyDescent="0.2">
      <c r="A101" s="629" t="s">
        <v>1012</v>
      </c>
      <c r="B101" s="629"/>
      <c r="C101" s="629"/>
      <c r="D101" s="629"/>
      <c r="E101" s="629"/>
      <c r="F101" s="629"/>
      <c r="G101" s="629"/>
      <c r="H101" s="629"/>
      <c r="I101" s="629"/>
      <c r="J101" s="629"/>
      <c r="K101" s="629"/>
      <c r="L101" s="629"/>
      <c r="M101" s="490"/>
      <c r="N101" s="490"/>
      <c r="O101" s="490"/>
      <c r="P101" s="490"/>
      <c r="Q101" s="490"/>
      <c r="R101" s="490"/>
    </row>
    <row r="102" spans="1:18" s="267" customFormat="1" ht="43.5" customHeight="1" outlineLevel="1" x14ac:dyDescent="0.2">
      <c r="A102" s="629" t="s">
        <v>1013</v>
      </c>
      <c r="B102" s="632"/>
      <c r="C102" s="632"/>
      <c r="D102" s="632"/>
      <c r="E102" s="632"/>
      <c r="F102" s="632"/>
      <c r="G102" s="632"/>
      <c r="H102" s="632"/>
      <c r="I102" s="632"/>
      <c r="J102" s="632"/>
      <c r="K102" s="632"/>
      <c r="L102" s="632"/>
      <c r="M102" s="490"/>
      <c r="N102" s="490"/>
      <c r="O102" s="490"/>
      <c r="P102" s="490"/>
      <c r="Q102" s="490"/>
      <c r="R102" s="490"/>
    </row>
    <row r="103" spans="1:18" s="267" customFormat="1" outlineLevel="1" x14ac:dyDescent="0.2">
      <c r="A103" s="561" t="s">
        <v>1014</v>
      </c>
      <c r="B103" s="490"/>
      <c r="C103" s="490"/>
      <c r="D103" s="490"/>
      <c r="E103" s="490"/>
      <c r="F103" s="490"/>
      <c r="G103" s="490"/>
      <c r="H103" s="490"/>
      <c r="I103" s="490"/>
      <c r="J103" s="490"/>
      <c r="K103" s="490"/>
      <c r="L103" s="490"/>
      <c r="M103" s="490"/>
      <c r="N103" s="490"/>
      <c r="O103" s="490"/>
      <c r="P103" s="490"/>
      <c r="Q103" s="490"/>
      <c r="R103" s="490"/>
    </row>
    <row r="104" spans="1:18" s="244" customFormat="1" ht="12.75" customHeight="1" outlineLevel="1" x14ac:dyDescent="0.2">
      <c r="A104" s="629" t="s">
        <v>1015</v>
      </c>
      <c r="B104" s="629"/>
      <c r="C104" s="629"/>
      <c r="D104" s="629"/>
      <c r="E104" s="629"/>
      <c r="F104" s="629"/>
      <c r="G104" s="629"/>
      <c r="H104" s="629"/>
      <c r="I104" s="629"/>
      <c r="J104" s="629"/>
      <c r="K104" s="629"/>
      <c r="L104" s="629"/>
      <c r="M104" s="490"/>
      <c r="N104" s="490"/>
      <c r="O104" s="490"/>
      <c r="P104" s="490"/>
      <c r="Q104" s="490"/>
      <c r="R104" s="490"/>
    </row>
    <row r="105" spans="1:18" s="244" customFormat="1" outlineLevel="1" x14ac:dyDescent="0.2">
      <c r="A105" s="248" t="s">
        <v>1016</v>
      </c>
      <c r="B105" s="490"/>
      <c r="C105" s="490"/>
      <c r="D105" s="490"/>
      <c r="E105" s="490"/>
      <c r="F105" s="490"/>
      <c r="G105" s="490"/>
      <c r="H105" s="490"/>
      <c r="I105" s="490"/>
      <c r="J105" s="490"/>
      <c r="K105" s="490"/>
      <c r="L105" s="490"/>
      <c r="M105" s="490"/>
      <c r="N105" s="490"/>
      <c r="O105" s="490"/>
      <c r="P105" s="490"/>
      <c r="Q105" s="490"/>
      <c r="R105" s="490"/>
    </row>
    <row r="106" spans="1:18" s="244" customFormat="1" outlineLevel="1" x14ac:dyDescent="0.2">
      <c r="A106" s="248" t="s">
        <v>1017</v>
      </c>
      <c r="B106" s="490"/>
      <c r="C106" s="490"/>
      <c r="D106" s="490"/>
      <c r="E106" s="490"/>
      <c r="F106" s="490"/>
      <c r="G106" s="490"/>
      <c r="H106" s="490"/>
      <c r="I106" s="490"/>
      <c r="J106" s="490"/>
      <c r="K106" s="490"/>
      <c r="L106" s="490"/>
      <c r="M106" s="490"/>
      <c r="N106" s="490"/>
      <c r="O106" s="490"/>
      <c r="P106" s="490"/>
      <c r="Q106" s="490"/>
      <c r="R106" s="490"/>
    </row>
    <row r="107" spans="1:18" s="244" customFormat="1" outlineLevel="1" x14ac:dyDescent="0.2">
      <c r="A107" s="248" t="s">
        <v>1019</v>
      </c>
      <c r="B107" s="490"/>
      <c r="C107" s="490"/>
      <c r="D107" s="490"/>
      <c r="E107" s="490"/>
      <c r="F107" s="490"/>
      <c r="G107" s="490"/>
      <c r="H107" s="490"/>
      <c r="I107" s="490"/>
      <c r="J107" s="490"/>
      <c r="K107" s="490"/>
      <c r="L107" s="490"/>
      <c r="M107" s="490"/>
      <c r="N107" s="490"/>
      <c r="O107" s="490"/>
      <c r="P107" s="490"/>
      <c r="Q107" s="490"/>
      <c r="R107" s="490"/>
    </row>
    <row r="108" spans="1:18" s="267" customFormat="1" ht="28.5" customHeight="1" outlineLevel="1" x14ac:dyDescent="0.2">
      <c r="A108" s="629" t="s">
        <v>1020</v>
      </c>
      <c r="B108" s="629"/>
      <c r="C108" s="629"/>
      <c r="D108" s="629"/>
      <c r="E108" s="629"/>
      <c r="F108" s="629"/>
      <c r="G108" s="629"/>
      <c r="H108" s="629"/>
      <c r="I108" s="629"/>
      <c r="J108" s="629"/>
      <c r="K108" s="629"/>
      <c r="L108" s="629"/>
      <c r="M108" s="492"/>
      <c r="N108" s="492"/>
      <c r="O108" s="492"/>
      <c r="P108" s="492"/>
      <c r="Q108" s="492"/>
      <c r="R108" s="492"/>
    </row>
    <row r="109" spans="1:18" s="267" customFormat="1" outlineLevel="1" x14ac:dyDescent="0.2">
      <c r="A109" s="248" t="s">
        <v>1021</v>
      </c>
      <c r="B109" s="492"/>
      <c r="C109" s="492"/>
      <c r="D109" s="492"/>
      <c r="E109" s="492"/>
      <c r="F109" s="492"/>
      <c r="G109" s="492"/>
      <c r="H109" s="492"/>
      <c r="I109" s="492"/>
      <c r="J109" s="492"/>
      <c r="K109" s="492"/>
      <c r="L109" s="492"/>
      <c r="M109" s="492"/>
      <c r="N109" s="492"/>
      <c r="O109" s="492"/>
      <c r="P109" s="492"/>
      <c r="Q109" s="492"/>
      <c r="R109" s="492"/>
    </row>
    <row r="110" spans="1:18" s="267" customFormat="1" outlineLevel="1" x14ac:dyDescent="0.2">
      <c r="A110" s="248" t="s">
        <v>1022</v>
      </c>
      <c r="B110" s="492"/>
      <c r="C110" s="492"/>
      <c r="D110" s="492"/>
      <c r="E110" s="492"/>
      <c r="F110" s="492"/>
      <c r="G110" s="492"/>
      <c r="H110" s="492"/>
      <c r="I110" s="492"/>
      <c r="J110" s="492"/>
      <c r="K110" s="492"/>
      <c r="L110" s="492"/>
      <c r="M110" s="492"/>
      <c r="N110" s="492"/>
      <c r="O110" s="492"/>
      <c r="P110" s="492"/>
      <c r="Q110" s="492"/>
      <c r="R110" s="492"/>
    </row>
    <row r="111" spans="1:18" s="267" customFormat="1" ht="12.75" customHeight="1" outlineLevel="1" x14ac:dyDescent="0.2">
      <c r="A111" s="629" t="s">
        <v>1023</v>
      </c>
      <c r="B111" s="629"/>
      <c r="C111" s="629"/>
      <c r="D111" s="629"/>
      <c r="E111" s="629"/>
      <c r="F111" s="629"/>
      <c r="G111" s="629"/>
      <c r="H111" s="629"/>
      <c r="I111" s="629"/>
      <c r="J111" s="629"/>
      <c r="K111" s="629"/>
      <c r="L111" s="629"/>
      <c r="M111" s="492"/>
      <c r="N111" s="492"/>
      <c r="O111" s="492"/>
      <c r="P111" s="492"/>
      <c r="Q111" s="492"/>
      <c r="R111" s="492"/>
    </row>
    <row r="112" spans="1:18" s="267" customFormat="1" outlineLevel="1" x14ac:dyDescent="0.2">
      <c r="A112" s="561" t="s">
        <v>1024</v>
      </c>
      <c r="B112" s="561"/>
      <c r="C112" s="561"/>
      <c r="D112" s="561"/>
      <c r="E112" s="561"/>
      <c r="F112" s="561"/>
      <c r="G112" s="561"/>
      <c r="H112" s="561"/>
      <c r="I112" s="561"/>
      <c r="J112" s="561"/>
      <c r="K112" s="561"/>
      <c r="L112" s="561"/>
      <c r="M112" s="490"/>
      <c r="N112" s="490"/>
      <c r="O112" s="490"/>
      <c r="P112" s="490"/>
      <c r="Q112" s="490"/>
      <c r="R112" s="490"/>
    </row>
    <row r="113" spans="1:6" s="267" customFormat="1" outlineLevel="1" x14ac:dyDescent="0.2"/>
    <row r="115" spans="1:6" ht="15.6" customHeight="1" x14ac:dyDescent="0.2"/>
    <row r="116" spans="1:6" hidden="1" outlineLevel="1" x14ac:dyDescent="0.2">
      <c r="A116" s="493" t="s">
        <v>665</v>
      </c>
      <c r="B116" s="255"/>
      <c r="C116" s="255"/>
      <c r="D116" s="255"/>
      <c r="E116" s="255"/>
    </row>
    <row r="117" spans="1:6" hidden="1" outlineLevel="1" x14ac:dyDescent="0.2">
      <c r="A117" s="234" t="s">
        <v>646</v>
      </c>
    </row>
    <row r="118" spans="1:6" ht="51" hidden="1" outlineLevel="1" x14ac:dyDescent="0.2">
      <c r="A118" s="238" t="s">
        <v>638</v>
      </c>
      <c r="B118" s="239" t="str">
        <f>B5</f>
        <v>27.12.2024. grozījumi</v>
      </c>
      <c r="C118" s="239" t="str">
        <f>"Izpilde"&amp;" "&amp;$C$2</f>
        <v>Izpilde 2024.g. 4 ceturkšņi</v>
      </c>
      <c r="D118" s="239" t="str">
        <f>"Izdevumu izpilde, %,"&amp;" "&amp;$C$2</f>
        <v>Izdevumu izpilde, %, 2024.g. 4 ceturkšņi</v>
      </c>
      <c r="E118" s="239" t="s">
        <v>649</v>
      </c>
      <c r="F118" s="256"/>
    </row>
    <row r="119" spans="1:6" hidden="1" outlineLevel="1" x14ac:dyDescent="0.2">
      <c r="A119" s="234" t="s">
        <v>634</v>
      </c>
      <c r="B119" s="257">
        <f t="shared" ref="B119:C122" si="5">SUM(B127,B137)</f>
        <v>1174756</v>
      </c>
      <c r="C119" s="257">
        <f t="shared" si="5"/>
        <v>622639</v>
      </c>
      <c r="D119" s="243">
        <f>C119/B119</f>
        <v>0.53001559472775628</v>
      </c>
      <c r="E119" s="257">
        <f>B119/2-C119</f>
        <v>-35261</v>
      </c>
      <c r="F119" s="256"/>
    </row>
    <row r="120" spans="1:6" hidden="1" outlineLevel="1" x14ac:dyDescent="0.2">
      <c r="A120" s="234" t="s">
        <v>635</v>
      </c>
      <c r="B120" s="257">
        <f t="shared" si="5"/>
        <v>102082</v>
      </c>
      <c r="C120" s="257">
        <f t="shared" si="5"/>
        <v>33481</v>
      </c>
      <c r="D120" s="243">
        <f>C120/B120</f>
        <v>0.32798142669618541</v>
      </c>
      <c r="E120" s="257">
        <f>B120/2-C120</f>
        <v>17560</v>
      </c>
      <c r="F120" s="256"/>
    </row>
    <row r="121" spans="1:6" hidden="1" outlineLevel="1" x14ac:dyDescent="0.2">
      <c r="A121" s="234" t="s">
        <v>636</v>
      </c>
      <c r="B121" s="257">
        <f t="shared" si="5"/>
        <v>1301493</v>
      </c>
      <c r="C121" s="257">
        <f t="shared" si="5"/>
        <v>382252</v>
      </c>
      <c r="D121" s="243">
        <f>C121/B121</f>
        <v>0.2937026937524827</v>
      </c>
      <c r="E121" s="257">
        <f>B121/2-C121</f>
        <v>268494.5</v>
      </c>
      <c r="F121" s="256"/>
    </row>
    <row r="122" spans="1:6" hidden="1" outlineLevel="1" x14ac:dyDescent="0.2">
      <c r="A122" s="258" t="s">
        <v>637</v>
      </c>
      <c r="B122" s="259">
        <f t="shared" si="5"/>
        <v>294260</v>
      </c>
      <c r="C122" s="259">
        <f t="shared" si="5"/>
        <v>118198</v>
      </c>
      <c r="D122" s="260">
        <f>C122/B122</f>
        <v>0.40167878746686603</v>
      </c>
      <c r="E122" s="259">
        <f>B122/2-C122</f>
        <v>28932</v>
      </c>
      <c r="F122" s="256"/>
    </row>
    <row r="123" spans="1:6" hidden="1" outlineLevel="1" x14ac:dyDescent="0.2">
      <c r="E123" s="261">
        <f>SUM(E119:E122)</f>
        <v>279725.5</v>
      </c>
    </row>
    <row r="124" spans="1:6" collapsed="1" x14ac:dyDescent="0.2">
      <c r="B124" s="257"/>
      <c r="C124" s="257"/>
      <c r="D124" s="257"/>
      <c r="E124" s="257"/>
    </row>
    <row r="125" spans="1:6" hidden="1" outlineLevel="1" x14ac:dyDescent="0.2">
      <c r="A125" s="268" t="s">
        <v>645</v>
      </c>
      <c r="B125" s="271"/>
      <c r="C125" s="272"/>
      <c r="D125" s="272"/>
      <c r="E125" s="272"/>
      <c r="F125" s="256"/>
    </row>
    <row r="126" spans="1:6" ht="51" hidden="1" outlineLevel="1" x14ac:dyDescent="0.2">
      <c r="A126" s="238" t="s">
        <v>638</v>
      </c>
      <c r="B126" s="251" t="str">
        <f>B5</f>
        <v>27.12.2024. grozījumi</v>
      </c>
      <c r="C126" s="251" t="str">
        <f>"Izpilde"&amp;" "&amp;$C$2</f>
        <v>Izpilde 2024.g. 4 ceturkšņi</v>
      </c>
      <c r="D126" s="251" t="str">
        <f>"Izdevumu izpilde, %,"&amp;" "&amp;$C$2</f>
        <v>Izdevumu izpilde, %, 2024.g. 4 ceturkšņi</v>
      </c>
      <c r="E126" s="239" t="s">
        <v>649</v>
      </c>
      <c r="F126" s="256"/>
    </row>
    <row r="127" spans="1:6" hidden="1" outlineLevel="1" x14ac:dyDescent="0.2">
      <c r="A127" s="234" t="s">
        <v>634</v>
      </c>
      <c r="B127" s="257">
        <f>197984+653972</f>
        <v>851956</v>
      </c>
      <c r="C127" s="257">
        <f>161486+360491</f>
        <v>521977</v>
      </c>
      <c r="D127" s="243">
        <f>C127/B127</f>
        <v>0.61268070182028178</v>
      </c>
      <c r="E127" s="257">
        <f>B127/2-C127</f>
        <v>-95999</v>
      </c>
      <c r="F127" s="256"/>
    </row>
    <row r="128" spans="1:6" hidden="1" outlineLevel="1" x14ac:dyDescent="0.2">
      <c r="A128" s="234" t="s">
        <v>635</v>
      </c>
      <c r="B128" s="257">
        <v>88817</v>
      </c>
      <c r="C128" s="257">
        <v>29787</v>
      </c>
      <c r="D128" s="243">
        <f>C128/B128</f>
        <v>0.33537498451872955</v>
      </c>
      <c r="E128" s="257">
        <f>B128/2-C128</f>
        <v>14621.5</v>
      </c>
      <c r="F128" s="256"/>
    </row>
    <row r="129" spans="1:6" hidden="1" outlineLevel="1" x14ac:dyDescent="0.2">
      <c r="A129" s="234" t="s">
        <v>636</v>
      </c>
      <c r="B129" s="257">
        <v>621252</v>
      </c>
      <c r="C129" s="257">
        <f>231149</f>
        <v>231149</v>
      </c>
      <c r="D129" s="243">
        <f>C129/B129</f>
        <v>0.37206962714003333</v>
      </c>
      <c r="E129" s="257">
        <f>B129/2-C129</f>
        <v>79477</v>
      </c>
      <c r="F129" s="256"/>
    </row>
    <row r="130" spans="1:6" hidden="1" outlineLevel="1" x14ac:dyDescent="0.2">
      <c r="A130" s="234" t="s">
        <v>637</v>
      </c>
      <c r="B130" s="257">
        <v>99905</v>
      </c>
      <c r="C130" s="257">
        <v>25107</v>
      </c>
      <c r="D130" s="243">
        <f>C130/B130</f>
        <v>0.25130874330614084</v>
      </c>
      <c r="E130" s="257">
        <f>B130/2-C130</f>
        <v>24845.5</v>
      </c>
      <c r="F130" s="256"/>
    </row>
    <row r="131" spans="1:6" hidden="1" outlineLevel="1" x14ac:dyDescent="0.2">
      <c r="B131" s="257"/>
      <c r="C131" s="257"/>
      <c r="D131" s="257"/>
      <c r="E131" s="262">
        <f>SUM(E127:E130)</f>
        <v>22945</v>
      </c>
      <c r="F131" s="256"/>
    </row>
    <row r="132" spans="1:6" hidden="1" outlineLevel="1" x14ac:dyDescent="0.2">
      <c r="B132" s="257"/>
      <c r="C132" s="257"/>
      <c r="D132" s="257"/>
      <c r="E132" s="257"/>
      <c r="F132" s="256"/>
    </row>
    <row r="133" spans="1:6" hidden="1" outlineLevel="1" x14ac:dyDescent="0.2"/>
    <row r="134" spans="1:6" hidden="1" outlineLevel="1" x14ac:dyDescent="0.2"/>
    <row r="135" spans="1:6" hidden="1" outlineLevel="1" x14ac:dyDescent="0.2">
      <c r="A135" s="273" t="s">
        <v>648</v>
      </c>
      <c r="B135" s="274"/>
      <c r="C135" s="274"/>
      <c r="D135" s="274"/>
      <c r="E135" s="267"/>
    </row>
    <row r="136" spans="1:6" ht="38.25" hidden="1" outlineLevel="1" x14ac:dyDescent="0.2">
      <c r="A136" s="238" t="s">
        <v>639</v>
      </c>
      <c r="B136" s="251" t="s">
        <v>640</v>
      </c>
      <c r="C136" s="251" t="s">
        <v>641</v>
      </c>
      <c r="D136" s="251" t="s">
        <v>642</v>
      </c>
      <c r="E136" s="239" t="s">
        <v>649</v>
      </c>
    </row>
    <row r="137" spans="1:6" hidden="1" outlineLevel="1" x14ac:dyDescent="0.2">
      <c r="A137" s="234" t="s">
        <v>643</v>
      </c>
      <c r="B137" s="257">
        <f>283800+39000</f>
        <v>322800</v>
      </c>
      <c r="C137" s="257">
        <f>85227+15435</f>
        <v>100662</v>
      </c>
      <c r="D137" s="243">
        <f>C137/B137</f>
        <v>0.31184014869888477</v>
      </c>
      <c r="E137" s="257">
        <f>B137/2-C137</f>
        <v>60738</v>
      </c>
    </row>
    <row r="138" spans="1:6" hidden="1" outlineLevel="1" x14ac:dyDescent="0.2">
      <c r="A138" s="234" t="s">
        <v>644</v>
      </c>
      <c r="B138" s="257">
        <v>13265</v>
      </c>
      <c r="C138" s="257">
        <f>3694</f>
        <v>3694</v>
      </c>
      <c r="D138" s="243">
        <f>C138/B138</f>
        <v>0.27847719562759138</v>
      </c>
      <c r="E138" s="257">
        <f>B138/2-C138</f>
        <v>2938.5</v>
      </c>
    </row>
    <row r="139" spans="1:6" hidden="1" outlineLevel="1" x14ac:dyDescent="0.2">
      <c r="A139" s="234" t="s">
        <v>636</v>
      </c>
      <c r="B139" s="257">
        <v>680241</v>
      </c>
      <c r="C139" s="257">
        <f>151103</f>
        <v>151103</v>
      </c>
      <c r="D139" s="243">
        <f>C139/B139</f>
        <v>0.22213156807660814</v>
      </c>
      <c r="E139" s="257">
        <f>B139/2-C139</f>
        <v>189017.5</v>
      </c>
    </row>
    <row r="140" spans="1:6" hidden="1" outlineLevel="1" x14ac:dyDescent="0.2">
      <c r="A140" s="234" t="s">
        <v>637</v>
      </c>
      <c r="B140" s="257">
        <f>190405+3950</f>
        <v>194355</v>
      </c>
      <c r="C140" s="257">
        <f>92141+950</f>
        <v>93091</v>
      </c>
      <c r="D140" s="243">
        <f>C140/B140</f>
        <v>0.47897404234519309</v>
      </c>
      <c r="E140" s="257">
        <f>B140/2-C140</f>
        <v>4086.5</v>
      </c>
    </row>
    <row r="141" spans="1:6" hidden="1" outlineLevel="1" x14ac:dyDescent="0.2">
      <c r="B141" s="257"/>
      <c r="C141" s="257"/>
      <c r="D141" s="257"/>
      <c r="E141" s="262">
        <f>SUM(E137:E140)</f>
        <v>256780.5</v>
      </c>
    </row>
    <row r="142" spans="1:6" collapsed="1" x14ac:dyDescent="0.2"/>
    <row r="146" spans="1:5" ht="25.5" hidden="1" outlineLevel="2" x14ac:dyDescent="0.2">
      <c r="A146" s="258"/>
      <c r="B146" s="251" t="str">
        <f>B5</f>
        <v>27.12.2024. grozījumi</v>
      </c>
      <c r="C146" s="251" t="str">
        <f>"Izpilde"&amp;" "&amp;$C$2</f>
        <v>Izpilde 2024.g. 4 ceturkšņi</v>
      </c>
    </row>
    <row r="147" spans="1:5" hidden="1" outlineLevel="2" x14ac:dyDescent="0.2">
      <c r="A147" s="234" t="s">
        <v>222</v>
      </c>
      <c r="B147" s="263">
        <f>B6</f>
        <v>52719115</v>
      </c>
      <c r="C147" s="263">
        <f>C6</f>
        <v>54564511.169999994</v>
      </c>
      <c r="D147" s="254"/>
      <c r="E147" s="242"/>
    </row>
    <row r="148" spans="1:5" hidden="1" outlineLevel="2" x14ac:dyDescent="0.2">
      <c r="A148" s="234" t="s">
        <v>134</v>
      </c>
      <c r="B148" s="263">
        <v>7741521</v>
      </c>
      <c r="C148" s="263">
        <v>7741521</v>
      </c>
      <c r="D148" s="254"/>
    </row>
    <row r="149" spans="1:5" hidden="1" outlineLevel="2" x14ac:dyDescent="0.2">
      <c r="A149" s="234" t="s">
        <v>140</v>
      </c>
      <c r="B149" s="263">
        <f>B159</f>
        <v>1941929</v>
      </c>
      <c r="C149" s="263">
        <f>C159</f>
        <v>644371.21</v>
      </c>
      <c r="D149" s="254"/>
    </row>
    <row r="150" spans="1:5" hidden="1" outlineLevel="2" x14ac:dyDescent="0.2">
      <c r="A150" s="234" t="s">
        <v>232</v>
      </c>
      <c r="B150" s="263">
        <f>B51-B80</f>
        <v>60490989</v>
      </c>
      <c r="C150" s="263">
        <f>C51-C80</f>
        <v>54471388.060000002</v>
      </c>
      <c r="D150" s="254"/>
    </row>
    <row r="151" spans="1:5" hidden="1" outlineLevel="2" x14ac:dyDescent="0.2">
      <c r="A151" s="258" t="s">
        <v>201</v>
      </c>
      <c r="B151" s="264">
        <f>B80</f>
        <v>3757286</v>
      </c>
      <c r="C151" s="264">
        <f>C80</f>
        <v>3757218</v>
      </c>
      <c r="D151" s="254"/>
    </row>
    <row r="152" spans="1:5" hidden="1" outlineLevel="2" x14ac:dyDescent="0.2">
      <c r="A152" s="233" t="s">
        <v>626</v>
      </c>
      <c r="B152" s="265">
        <f>B147+B148+B149-B150-B151</f>
        <v>-1845710</v>
      </c>
      <c r="C152" s="265">
        <f>C147+C148+C149-C150-C151</f>
        <v>4721797.3199999928</v>
      </c>
      <c r="D152" s="254"/>
    </row>
    <row r="153" spans="1:5" hidden="1" outlineLevel="2" x14ac:dyDescent="0.2"/>
    <row r="154" spans="1:5" hidden="1" outlineLevel="2" x14ac:dyDescent="0.2">
      <c r="B154" s="266">
        <f>B152-'2024.gada budzeta plans_apvieno'!L302</f>
        <v>-1903723.8</v>
      </c>
      <c r="C154" s="266">
        <f>C152-'2024.gada budzeta plans_apvieno'!AG302</f>
        <v>-2013546.2400000123</v>
      </c>
    </row>
    <row r="155" spans="1:5" collapsed="1" x14ac:dyDescent="0.2"/>
    <row r="158" spans="1:5" ht="36" hidden="1" customHeight="1" outlineLevel="1" x14ac:dyDescent="0.2">
      <c r="A158" s="563" t="s">
        <v>594</v>
      </c>
      <c r="B158" s="251" t="str">
        <f>B5</f>
        <v>27.12.2024. grozījumi</v>
      </c>
      <c r="C158" s="251" t="str">
        <f>"Izpilde"&amp;" "&amp;$C$2</f>
        <v>Izpilde 2024.g. 4 ceturkšņi</v>
      </c>
      <c r="D158" s="251" t="str">
        <f>"Izpilde, %,"&amp;" "&amp;$C$2</f>
        <v>Izpilde, %, 2024.g. 4 ceturkšņi</v>
      </c>
    </row>
    <row r="159" spans="1:5" s="233" customFormat="1" hidden="1" outlineLevel="1" x14ac:dyDescent="0.2">
      <c r="A159" s="564" t="s">
        <v>595</v>
      </c>
      <c r="B159" s="252">
        <f>SUM(B160:B172)</f>
        <v>1941929</v>
      </c>
      <c r="C159" s="252">
        <f>SUM(C160:C172)</f>
        <v>644371.21</v>
      </c>
      <c r="D159" s="253">
        <f>C159/B159</f>
        <v>0.33182016953245974</v>
      </c>
    </row>
    <row r="160" spans="1:5" hidden="1" outlineLevel="1" x14ac:dyDescent="0.2">
      <c r="A160" s="565" t="s">
        <v>596</v>
      </c>
      <c r="B160" s="242">
        <f>'2024.gada budzeta plans_apvieno'!L112</f>
        <v>0</v>
      </c>
      <c r="C160" s="242">
        <f>'2024.gada budzeta plans_apvieno'!AG112</f>
        <v>0</v>
      </c>
      <c r="D160" s="254" t="e">
        <f>C160/B160</f>
        <v>#DIV/0!</v>
      </c>
    </row>
    <row r="161" spans="1:4" hidden="1" outlineLevel="1" x14ac:dyDescent="0.2">
      <c r="A161" s="565" t="s">
        <v>597</v>
      </c>
      <c r="B161" s="242">
        <f>'2024.gada budzeta plans_apvieno'!L113</f>
        <v>0</v>
      </c>
      <c r="C161" s="242">
        <f>'2024.gada budzeta plans_apvieno'!AG113</f>
        <v>0</v>
      </c>
      <c r="D161" s="254" t="e">
        <f t="shared" ref="D161:D172" si="6">C161/B161</f>
        <v>#DIV/0!</v>
      </c>
    </row>
    <row r="162" spans="1:4" hidden="1" outlineLevel="1" x14ac:dyDescent="0.2">
      <c r="A162" s="565" t="s">
        <v>598</v>
      </c>
      <c r="B162" s="242">
        <f>'2024.gada budzeta plans_apvieno'!L114</f>
        <v>541742</v>
      </c>
      <c r="C162" s="242">
        <f>'2024.gada budzeta plans_apvieno'!AG114</f>
        <v>0</v>
      </c>
      <c r="D162" s="254">
        <f t="shared" si="6"/>
        <v>0</v>
      </c>
    </row>
    <row r="163" spans="1:4" hidden="1" outlineLevel="1" x14ac:dyDescent="0.2">
      <c r="A163" s="565" t="s">
        <v>599</v>
      </c>
      <c r="B163" s="242">
        <f>'2024.gada budzeta plans_apvieno'!L115</f>
        <v>349985</v>
      </c>
      <c r="C163" s="242">
        <f>'2024.gada budzeta plans_apvieno'!AG115</f>
        <v>195403.72</v>
      </c>
      <c r="D163" s="254">
        <f t="shared" si="6"/>
        <v>0.55832027086875147</v>
      </c>
    </row>
    <row r="164" spans="1:4" hidden="1" outlineLevel="1" x14ac:dyDescent="0.2">
      <c r="A164" s="565" t="s">
        <v>600</v>
      </c>
      <c r="B164" s="242">
        <f>'2024.gada budzeta plans_apvieno'!L116</f>
        <v>0</v>
      </c>
      <c r="C164" s="242">
        <f>'2024.gada budzeta plans_apvieno'!AG116</f>
        <v>0</v>
      </c>
      <c r="D164" s="254" t="e">
        <f t="shared" si="6"/>
        <v>#DIV/0!</v>
      </c>
    </row>
    <row r="165" spans="1:4" hidden="1" outlineLevel="1" x14ac:dyDescent="0.2">
      <c r="A165" s="565" t="s">
        <v>601</v>
      </c>
      <c r="B165" s="242">
        <f>'2024.gada budzeta plans_apvieno'!L117</f>
        <v>0</v>
      </c>
      <c r="C165" s="242">
        <f>'2024.gada budzeta plans_apvieno'!AG117</f>
        <v>0</v>
      </c>
      <c r="D165" s="254" t="e">
        <f t="shared" si="6"/>
        <v>#DIV/0!</v>
      </c>
    </row>
    <row r="166" spans="1:4" hidden="1" outlineLevel="1" x14ac:dyDescent="0.2">
      <c r="A166" s="565" t="s">
        <v>602</v>
      </c>
      <c r="B166" s="242">
        <f>'2024.gada budzeta plans_apvieno'!L118</f>
        <v>79023</v>
      </c>
      <c r="C166" s="242">
        <f>'2024.gada budzeta plans_apvieno'!AG118</f>
        <v>70310.559999999998</v>
      </c>
      <c r="D166" s="254">
        <f t="shared" si="6"/>
        <v>0.88974804803664753</v>
      </c>
    </row>
    <row r="167" spans="1:4" hidden="1" outlineLevel="1" x14ac:dyDescent="0.2">
      <c r="A167" s="565" t="s">
        <v>603</v>
      </c>
      <c r="B167" s="242">
        <f>'2024.gada budzeta plans_apvieno'!L119</f>
        <v>783000</v>
      </c>
      <c r="C167" s="242">
        <f>'2024.gada budzeta plans_apvieno'!AG119</f>
        <v>255277</v>
      </c>
      <c r="D167" s="254">
        <f t="shared" si="6"/>
        <v>0.32602426564495529</v>
      </c>
    </row>
    <row r="168" spans="1:4" hidden="1" outlineLevel="1" x14ac:dyDescent="0.2">
      <c r="A168" s="565" t="s">
        <v>604</v>
      </c>
      <c r="B168" s="242">
        <f>'2024.gada budzeta plans_apvieno'!L120</f>
        <v>188179</v>
      </c>
      <c r="C168" s="242">
        <f>'2024.gada budzeta plans_apvieno'!AG120</f>
        <v>123379.93</v>
      </c>
      <c r="D168" s="254">
        <f t="shared" si="6"/>
        <v>0.65565195903900009</v>
      </c>
    </row>
    <row r="169" spans="1:4" hidden="1" outlineLevel="1" x14ac:dyDescent="0.2">
      <c r="A169" s="565" t="s">
        <v>605</v>
      </c>
      <c r="B169" s="242">
        <f>'2024.gada budzeta plans_apvieno'!L121</f>
        <v>0</v>
      </c>
      <c r="C169" s="242">
        <f>'2024.gada budzeta plans_apvieno'!AG121</f>
        <v>0</v>
      </c>
      <c r="D169" s="254" t="e">
        <f t="shared" si="6"/>
        <v>#DIV/0!</v>
      </c>
    </row>
    <row r="170" spans="1:4" hidden="1" outlineLevel="1" x14ac:dyDescent="0.2">
      <c r="A170" s="565" t="s">
        <v>606</v>
      </c>
      <c r="B170" s="242">
        <f>'2024.gada budzeta plans_apvieno'!L122</f>
        <v>0</v>
      </c>
      <c r="C170" s="242">
        <f>'2024.gada budzeta plans_apvieno'!AG122</f>
        <v>0</v>
      </c>
      <c r="D170" s="254" t="e">
        <f t="shared" si="6"/>
        <v>#DIV/0!</v>
      </c>
    </row>
    <row r="171" spans="1:4" hidden="1" outlineLevel="1" x14ac:dyDescent="0.2">
      <c r="A171" s="565" t="s">
        <v>607</v>
      </c>
      <c r="B171" s="242">
        <f>'2024.gada budzeta plans_apvieno'!L123</f>
        <v>0</v>
      </c>
      <c r="C171" s="242">
        <f>'2024.gada budzeta plans_apvieno'!AG123</f>
        <v>0</v>
      </c>
      <c r="D171" s="254" t="e">
        <f t="shared" si="6"/>
        <v>#DIV/0!</v>
      </c>
    </row>
    <row r="172" spans="1:4" hidden="1" outlineLevel="1" x14ac:dyDescent="0.2">
      <c r="A172" s="565" t="s">
        <v>608</v>
      </c>
      <c r="B172" s="242"/>
      <c r="C172" s="242"/>
      <c r="D172" s="254" t="e">
        <f t="shared" si="6"/>
        <v>#DIV/0!</v>
      </c>
    </row>
    <row r="173" spans="1:4" hidden="1" outlineLevel="1" x14ac:dyDescent="0.2"/>
    <row r="174" spans="1:4" hidden="1" outlineLevel="1" x14ac:dyDescent="0.2">
      <c r="B174" s="242">
        <f>B159-'2024.gada budzeta plans_apvieno'!L111</f>
        <v>0</v>
      </c>
      <c r="C174" s="242">
        <f>C159-'2024.gada budzeta plans_apvieno'!AG111</f>
        <v>0</v>
      </c>
    </row>
    <row r="175" spans="1:4" collapsed="1" x14ac:dyDescent="0.2"/>
  </sheetData>
  <mergeCells count="7">
    <mergeCell ref="A111:L111"/>
    <mergeCell ref="A97:R97"/>
    <mergeCell ref="A88:R88"/>
    <mergeCell ref="A101:L101"/>
    <mergeCell ref="A102:L102"/>
    <mergeCell ref="A104:L104"/>
    <mergeCell ref="A108:L108"/>
  </mergeCells>
  <conditionalFormatting sqref="B25:C25">
    <cfRule type="expression" dxfId="1" priority="2">
      <formula>$B$25=0</formula>
    </cfRule>
  </conditionalFormatting>
  <conditionalFormatting sqref="B82:C82">
    <cfRule type="expression" dxfId="0" priority="1">
      <formula>$B$82=0</formula>
    </cfRule>
  </conditionalFormatting>
  <pageMargins left="0.7" right="0.7" top="0.75" bottom="0.75" header="0.3" footer="0.3"/>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2024.gada budzeta plans_apvieno</vt:lpstr>
      <vt:lpstr>Grafiki_budžeta_izpilde</vt:lpstr>
      <vt:lpstr>'2024.gada budzeta plans_apvieno'!Print_Area</vt:lpstr>
      <vt:lpstr>'2024.gada budzeta plans_apvieno'!Print_Titles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cp:lastPrinted>2024-12-16T14:53:54Z</cp:lastPrinted>
  <dcterms:created xsi:type="dcterms:W3CDTF">2015-07-17T07:55:13Z</dcterms:created>
  <dcterms:modified xsi:type="dcterms:W3CDTF">2025-02-07T08:53:34Z</dcterms:modified>
</cp:coreProperties>
</file>