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Sarmite.Muze\Nextcloud\Finansu nodala kopmape\2024\12_2024\"/>
    </mc:Choice>
  </mc:AlternateContent>
  <xr:revisionPtr revIDLastSave="0" documentId="8_{CC8C16F8-81DD-4F8A-86C1-5AE673335464}" xr6:coauthVersionLast="47" xr6:coauthVersionMax="47" xr10:uidLastSave="{00000000-0000-0000-0000-000000000000}"/>
  <bookViews>
    <workbookView xWindow="-120" yWindow="-120" windowWidth="29040" windowHeight="15720" xr2:uid="{57D6770B-BFC6-4331-8F76-973A65EC1CB2}"/>
  </bookViews>
  <sheets>
    <sheet name="2024.gada budzeta plans_apvieno" sheetId="1" r:id="rId1"/>
  </sheets>
  <externalReferences>
    <externalReference r:id="rId2"/>
  </externalReferences>
  <definedNames>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plans_apvieno'!$A$1:$AC$302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0" i="1" l="1"/>
  <c r="I300" i="1" s="1"/>
  <c r="O298" i="1"/>
  <c r="M298" i="1"/>
  <c r="J298" i="1"/>
  <c r="G298" i="1"/>
  <c r="O297" i="1"/>
  <c r="R297" i="1" s="1"/>
  <c r="U297" i="1" s="1"/>
  <c r="M297" i="1"/>
  <c r="J297" i="1"/>
  <c r="G297" i="1"/>
  <c r="L296" i="1"/>
  <c r="I296" i="1"/>
  <c r="G296" i="1"/>
  <c r="F296" i="1"/>
  <c r="F295" i="1"/>
  <c r="G295" i="1" s="1"/>
  <c r="F294" i="1"/>
  <c r="G294" i="1" s="1"/>
  <c r="F292" i="1"/>
  <c r="I292" i="1" s="1"/>
  <c r="F291" i="1"/>
  <c r="G291" i="1" s="1"/>
  <c r="F290" i="1"/>
  <c r="G290" i="1" s="1"/>
  <c r="F289" i="1"/>
  <c r="F288" i="1"/>
  <c r="F287" i="1"/>
  <c r="G287" i="1" s="1"/>
  <c r="F286" i="1"/>
  <c r="I286" i="1" s="1"/>
  <c r="J286" i="1" s="1"/>
  <c r="F285" i="1"/>
  <c r="G285" i="1" s="1"/>
  <c r="F283" i="1"/>
  <c r="I283" i="1" s="1"/>
  <c r="J283" i="1" s="1"/>
  <c r="F282" i="1"/>
  <c r="I280" i="1"/>
  <c r="L280" i="1" s="1"/>
  <c r="M280" i="1" s="1"/>
  <c r="G280" i="1"/>
  <c r="F279" i="1"/>
  <c r="F278" i="1"/>
  <c r="G278" i="1" s="1"/>
  <c r="F276" i="1"/>
  <c r="I275" i="1"/>
  <c r="J275" i="1" s="1"/>
  <c r="G275" i="1"/>
  <c r="F274" i="1"/>
  <c r="G274" i="1" s="1"/>
  <c r="F273" i="1"/>
  <c r="G273" i="1" s="1"/>
  <c r="F272" i="1"/>
  <c r="G272" i="1" s="1"/>
  <c r="F271" i="1"/>
  <c r="I271" i="1" s="1"/>
  <c r="L271" i="1" s="1"/>
  <c r="F270" i="1"/>
  <c r="G270" i="1" s="1"/>
  <c r="I269" i="1"/>
  <c r="L269" i="1" s="1"/>
  <c r="G269" i="1"/>
  <c r="F268" i="1"/>
  <c r="I268" i="1" s="1"/>
  <c r="J268" i="1" s="1"/>
  <c r="F267" i="1"/>
  <c r="G267" i="1" s="1"/>
  <c r="F266" i="1"/>
  <c r="I266" i="1" s="1"/>
  <c r="F265" i="1"/>
  <c r="G265" i="1" s="1"/>
  <c r="H263" i="1"/>
  <c r="F262" i="1"/>
  <c r="G262" i="1" s="1"/>
  <c r="F261" i="1"/>
  <c r="F260" i="1"/>
  <c r="I260" i="1" s="1"/>
  <c r="L260" i="1" s="1"/>
  <c r="M260" i="1" s="1"/>
  <c r="F259" i="1"/>
  <c r="G259" i="1" s="1"/>
  <c r="F258" i="1"/>
  <c r="G258" i="1" s="1"/>
  <c r="F257" i="1"/>
  <c r="I257" i="1" s="1"/>
  <c r="F256" i="1"/>
  <c r="G256" i="1" s="1"/>
  <c r="I255" i="1"/>
  <c r="L255" i="1" s="1"/>
  <c r="G255" i="1"/>
  <c r="F254" i="1"/>
  <c r="I254" i="1" s="1"/>
  <c r="F253" i="1"/>
  <c r="F250" i="1"/>
  <c r="I250" i="1" s="1"/>
  <c r="F249" i="1"/>
  <c r="I249" i="1" s="1"/>
  <c r="L249" i="1" s="1"/>
  <c r="F248" i="1"/>
  <c r="F246" i="1"/>
  <c r="I246" i="1" s="1"/>
  <c r="J246" i="1" s="1"/>
  <c r="F245" i="1"/>
  <c r="G245" i="1" s="1"/>
  <c r="F244" i="1"/>
  <c r="I244" i="1" s="1"/>
  <c r="F242" i="1"/>
  <c r="I242" i="1" s="1"/>
  <c r="L242" i="1" s="1"/>
  <c r="M242" i="1" s="1"/>
  <c r="F241" i="1"/>
  <c r="F240" i="1"/>
  <c r="I240" i="1" s="1"/>
  <c r="I238" i="1"/>
  <c r="G238" i="1"/>
  <c r="F237" i="1"/>
  <c r="F236" i="1"/>
  <c r="G236" i="1" s="1"/>
  <c r="I234" i="1"/>
  <c r="J234" i="1" s="1"/>
  <c r="G234" i="1"/>
  <c r="F233" i="1"/>
  <c r="G233" i="1" s="1"/>
  <c r="F232" i="1"/>
  <c r="F230" i="1"/>
  <c r="G230" i="1" s="1"/>
  <c r="F228" i="1"/>
  <c r="I228" i="1" s="1"/>
  <c r="F227" i="1"/>
  <c r="I227" i="1" s="1"/>
  <c r="L227" i="1" s="1"/>
  <c r="R226" i="1"/>
  <c r="U226" i="1" s="1"/>
  <c r="P226" i="1"/>
  <c r="F225" i="1"/>
  <c r="I225" i="1" s="1"/>
  <c r="F224" i="1"/>
  <c r="I224" i="1" s="1"/>
  <c r="L224" i="1" s="1"/>
  <c r="F223" i="1"/>
  <c r="G223" i="1" s="1"/>
  <c r="F222" i="1"/>
  <c r="G222" i="1" s="1"/>
  <c r="F221" i="1"/>
  <c r="G221" i="1" s="1"/>
  <c r="AB220" i="1"/>
  <c r="AA220" i="1"/>
  <c r="X220" i="1"/>
  <c r="U220" i="1"/>
  <c r="R220" i="1"/>
  <c r="O220" i="1"/>
  <c r="P220" i="1" s="1"/>
  <c r="F219" i="1"/>
  <c r="I219" i="1" s="1"/>
  <c r="J219" i="1" s="1"/>
  <c r="F217" i="1"/>
  <c r="G217" i="1" s="1"/>
  <c r="F216" i="1"/>
  <c r="I216" i="1" s="1"/>
  <c r="L216" i="1" s="1"/>
  <c r="F214" i="1"/>
  <c r="I214" i="1" s="1"/>
  <c r="L214" i="1" s="1"/>
  <c r="AA213" i="1"/>
  <c r="X213" i="1"/>
  <c r="U213" i="1"/>
  <c r="R213" i="1"/>
  <c r="O213" i="1"/>
  <c r="P213" i="1" s="1"/>
  <c r="F212" i="1"/>
  <c r="G212" i="1" s="1"/>
  <c r="F211" i="1"/>
  <c r="I211" i="1" s="1"/>
  <c r="L211" i="1" s="1"/>
  <c r="F210" i="1"/>
  <c r="I210" i="1" s="1"/>
  <c r="L210" i="1" s="1"/>
  <c r="F209" i="1"/>
  <c r="I209" i="1" s="1"/>
  <c r="J209" i="1" s="1"/>
  <c r="K208" i="1"/>
  <c r="K207" i="1" s="1"/>
  <c r="H207" i="1"/>
  <c r="H299" i="1" s="1"/>
  <c r="F206" i="1"/>
  <c r="G206" i="1" s="1"/>
  <c r="F205" i="1"/>
  <c r="G205" i="1" s="1"/>
  <c r="I204" i="1"/>
  <c r="J204" i="1" s="1"/>
  <c r="G204" i="1"/>
  <c r="F203" i="1"/>
  <c r="F202" i="1" s="1"/>
  <c r="G202" i="1" s="1"/>
  <c r="F201" i="1"/>
  <c r="I201" i="1" s="1"/>
  <c r="J201" i="1" s="1"/>
  <c r="F200" i="1"/>
  <c r="G200" i="1" s="1"/>
  <c r="F199" i="1"/>
  <c r="I199" i="1" s="1"/>
  <c r="F198" i="1"/>
  <c r="F197" i="1"/>
  <c r="I197" i="1" s="1"/>
  <c r="F196" i="1"/>
  <c r="I196" i="1" s="1"/>
  <c r="J196" i="1" s="1"/>
  <c r="F195" i="1"/>
  <c r="G195" i="1" s="1"/>
  <c r="F194" i="1"/>
  <c r="G194" i="1" s="1"/>
  <c r="H193" i="1"/>
  <c r="F191" i="1"/>
  <c r="I191" i="1" s="1"/>
  <c r="F190" i="1"/>
  <c r="I190" i="1" s="1"/>
  <c r="J190" i="1" s="1"/>
  <c r="F189" i="1"/>
  <c r="G189" i="1" s="1"/>
  <c r="F188" i="1"/>
  <c r="F187" i="1"/>
  <c r="G187" i="1" s="1"/>
  <c r="F186" i="1"/>
  <c r="I186" i="1" s="1"/>
  <c r="F185" i="1"/>
  <c r="L184" i="1"/>
  <c r="M184" i="1" s="1"/>
  <c r="J184" i="1"/>
  <c r="F183" i="1"/>
  <c r="I183" i="1" s="1"/>
  <c r="F182" i="1"/>
  <c r="G182" i="1" s="1"/>
  <c r="F181" i="1"/>
  <c r="F180" i="1"/>
  <c r="I180" i="1" s="1"/>
  <c r="L180" i="1" s="1"/>
  <c r="F179" i="1"/>
  <c r="I179" i="1" s="1"/>
  <c r="F177" i="1"/>
  <c r="G177" i="1" s="1"/>
  <c r="AB176" i="1"/>
  <c r="Y176" i="1"/>
  <c r="V176" i="1"/>
  <c r="S176" i="1"/>
  <c r="F175" i="1"/>
  <c r="G175" i="1" s="1"/>
  <c r="F174" i="1"/>
  <c r="I174" i="1" s="1"/>
  <c r="F173" i="1"/>
  <c r="I173" i="1" s="1"/>
  <c r="O171" i="1"/>
  <c r="P171" i="1" s="1"/>
  <c r="M171" i="1"/>
  <c r="F171" i="1"/>
  <c r="G171" i="1" s="1"/>
  <c r="O170" i="1"/>
  <c r="R170" i="1" s="1"/>
  <c r="M170" i="1"/>
  <c r="F170" i="1"/>
  <c r="J170" i="1" s="1"/>
  <c r="O169" i="1"/>
  <c r="P169" i="1" s="1"/>
  <c r="M169" i="1"/>
  <c r="F169" i="1"/>
  <c r="F168" i="1"/>
  <c r="G168" i="1" s="1"/>
  <c r="F167" i="1"/>
  <c r="G167" i="1" s="1"/>
  <c r="F166" i="1"/>
  <c r="I166" i="1" s="1"/>
  <c r="F165" i="1"/>
  <c r="I165" i="1" s="1"/>
  <c r="F164" i="1"/>
  <c r="G164" i="1" s="1"/>
  <c r="F163" i="1"/>
  <c r="I163" i="1" s="1"/>
  <c r="F162" i="1"/>
  <c r="I162" i="1" s="1"/>
  <c r="F161" i="1"/>
  <c r="I161" i="1" s="1"/>
  <c r="L161" i="1" s="1"/>
  <c r="O161" i="1" s="1"/>
  <c r="R161" i="1" s="1"/>
  <c r="U161" i="1" s="1"/>
  <c r="F160" i="1"/>
  <c r="G160" i="1" s="1"/>
  <c r="F159" i="1"/>
  <c r="G159" i="1" s="1"/>
  <c r="F158" i="1"/>
  <c r="G158" i="1" s="1"/>
  <c r="F157" i="1"/>
  <c r="G157" i="1" s="1"/>
  <c r="F156" i="1"/>
  <c r="I156" i="1" s="1"/>
  <c r="F155" i="1"/>
  <c r="F153" i="1"/>
  <c r="F152" i="1"/>
  <c r="G152" i="1" s="1"/>
  <c r="F151" i="1"/>
  <c r="G151" i="1" s="1"/>
  <c r="F149" i="1"/>
  <c r="G149" i="1" s="1"/>
  <c r="F148" i="1"/>
  <c r="G148" i="1" s="1"/>
  <c r="F147" i="1"/>
  <c r="G147" i="1" s="1"/>
  <c r="F146" i="1"/>
  <c r="I146" i="1" s="1"/>
  <c r="L146" i="1" s="1"/>
  <c r="O146" i="1" s="1"/>
  <c r="R146" i="1" s="1"/>
  <c r="U146" i="1" s="1"/>
  <c r="F145" i="1"/>
  <c r="F142" i="1"/>
  <c r="I142" i="1" s="1"/>
  <c r="F141" i="1"/>
  <c r="G141" i="1" s="1"/>
  <c r="F140" i="1"/>
  <c r="G140" i="1" s="1"/>
  <c r="F139" i="1"/>
  <c r="I139" i="1" s="1"/>
  <c r="F138" i="1"/>
  <c r="G138" i="1" s="1"/>
  <c r="F137" i="1"/>
  <c r="G137" i="1" s="1"/>
  <c r="F136" i="1"/>
  <c r="I136" i="1" s="1"/>
  <c r="F135" i="1"/>
  <c r="I135" i="1" s="1"/>
  <c r="F134" i="1"/>
  <c r="G134" i="1" s="1"/>
  <c r="F133" i="1"/>
  <c r="I133" i="1" s="1"/>
  <c r="F132" i="1"/>
  <c r="I132" i="1" s="1"/>
  <c r="F131" i="1"/>
  <c r="I131" i="1" s="1"/>
  <c r="AB129" i="1"/>
  <c r="AA129" i="1"/>
  <c r="Y129" i="1"/>
  <c r="X129" i="1"/>
  <c r="V129" i="1"/>
  <c r="U129" i="1"/>
  <c r="S129" i="1"/>
  <c r="R129" i="1"/>
  <c r="F123" i="1"/>
  <c r="I123" i="1" s="1"/>
  <c r="O122" i="1"/>
  <c r="P122" i="1" s="1"/>
  <c r="F122" i="1"/>
  <c r="G122" i="1" s="1"/>
  <c r="F121" i="1"/>
  <c r="I121" i="1" s="1"/>
  <c r="F120" i="1"/>
  <c r="I120" i="1" s="1"/>
  <c r="F119" i="1"/>
  <c r="I119" i="1" s="1"/>
  <c r="F118" i="1"/>
  <c r="I118" i="1" s="1"/>
  <c r="F117" i="1"/>
  <c r="G117" i="1" s="1"/>
  <c r="F116" i="1"/>
  <c r="I116" i="1" s="1"/>
  <c r="F115" i="1"/>
  <c r="G115" i="1" s="1"/>
  <c r="F114" i="1"/>
  <c r="I114" i="1" s="1"/>
  <c r="F113" i="1"/>
  <c r="I113" i="1" s="1"/>
  <c r="F112" i="1"/>
  <c r="G112" i="1" s="1"/>
  <c r="F109" i="1"/>
  <c r="F110" i="1" s="1"/>
  <c r="F106" i="1"/>
  <c r="I106" i="1" s="1"/>
  <c r="F105" i="1"/>
  <c r="F104" i="1"/>
  <c r="G104" i="1" s="1"/>
  <c r="F103" i="1"/>
  <c r="I103" i="1" s="1"/>
  <c r="L103" i="1" s="1"/>
  <c r="F101" i="1"/>
  <c r="F100" i="1"/>
  <c r="G100" i="1" s="1"/>
  <c r="F99" i="1"/>
  <c r="I99" i="1" s="1"/>
  <c r="J99" i="1" s="1"/>
  <c r="F97" i="1"/>
  <c r="I97" i="1" s="1"/>
  <c r="L97" i="1" s="1"/>
  <c r="AB96" i="1"/>
  <c r="Y96" i="1"/>
  <c r="V96" i="1"/>
  <c r="S96" i="1"/>
  <c r="P96" i="1"/>
  <c r="M96" i="1"/>
  <c r="J96" i="1"/>
  <c r="G96" i="1"/>
  <c r="F94" i="1"/>
  <c r="I94" i="1" s="1"/>
  <c r="J94" i="1" s="1"/>
  <c r="F93" i="1"/>
  <c r="F90" i="1"/>
  <c r="I90" i="1" s="1"/>
  <c r="F89" i="1"/>
  <c r="F88" i="1" s="1"/>
  <c r="G88" i="1" s="1"/>
  <c r="F87" i="1"/>
  <c r="I87" i="1" s="1"/>
  <c r="J87" i="1" s="1"/>
  <c r="F86" i="1"/>
  <c r="F85" i="1"/>
  <c r="G85" i="1" s="1"/>
  <c r="F84" i="1"/>
  <c r="I84" i="1" s="1"/>
  <c r="F83" i="1"/>
  <c r="G83" i="1" s="1"/>
  <c r="F82" i="1"/>
  <c r="I82" i="1" s="1"/>
  <c r="F81" i="1"/>
  <c r="F80" i="1"/>
  <c r="I80" i="1" s="1"/>
  <c r="F79" i="1"/>
  <c r="I79" i="1" s="1"/>
  <c r="F78" i="1"/>
  <c r="I78" i="1" s="1"/>
  <c r="J78" i="1" s="1"/>
  <c r="F77" i="1"/>
  <c r="I77" i="1" s="1"/>
  <c r="F76" i="1"/>
  <c r="G76" i="1" s="1"/>
  <c r="F75" i="1"/>
  <c r="I75" i="1" s="1"/>
  <c r="F74" i="1"/>
  <c r="G74" i="1" s="1"/>
  <c r="F73" i="1"/>
  <c r="I73" i="1" s="1"/>
  <c r="F72" i="1"/>
  <c r="I72" i="1" s="1"/>
  <c r="F71" i="1"/>
  <c r="I71" i="1" s="1"/>
  <c r="F70" i="1"/>
  <c r="I70" i="1" s="1"/>
  <c r="F69" i="1"/>
  <c r="G69" i="1" s="1"/>
  <c r="F68" i="1"/>
  <c r="I68" i="1" s="1"/>
  <c r="F67" i="1"/>
  <c r="G67" i="1" s="1"/>
  <c r="F65" i="1"/>
  <c r="I65" i="1" s="1"/>
  <c r="F64" i="1"/>
  <c r="G64" i="1" s="1"/>
  <c r="F63" i="1"/>
  <c r="I63" i="1" s="1"/>
  <c r="F62" i="1"/>
  <c r="I62" i="1" s="1"/>
  <c r="F61" i="1"/>
  <c r="I61" i="1" s="1"/>
  <c r="J61" i="1" s="1"/>
  <c r="F60" i="1"/>
  <c r="I60" i="1" s="1"/>
  <c r="AB59" i="1"/>
  <c r="Y59" i="1"/>
  <c r="V59" i="1"/>
  <c r="S59" i="1"/>
  <c r="P59" i="1"/>
  <c r="M59" i="1"/>
  <c r="J59" i="1"/>
  <c r="G59" i="1"/>
  <c r="F58" i="1"/>
  <c r="G58" i="1" s="1"/>
  <c r="F57" i="1"/>
  <c r="I57" i="1" s="1"/>
  <c r="F56" i="1"/>
  <c r="G56" i="1" s="1"/>
  <c r="F55" i="1"/>
  <c r="I55" i="1" s="1"/>
  <c r="F54" i="1"/>
  <c r="G54" i="1" s="1"/>
  <c r="F53" i="1"/>
  <c r="I53" i="1" s="1"/>
  <c r="F52" i="1"/>
  <c r="G52" i="1" s="1"/>
  <c r="F51" i="1"/>
  <c r="AB49" i="1"/>
  <c r="Y49" i="1"/>
  <c r="V49" i="1"/>
  <c r="S49" i="1"/>
  <c r="L49" i="1"/>
  <c r="P49" i="1" s="1"/>
  <c r="J49" i="1"/>
  <c r="G49" i="1"/>
  <c r="I48" i="1"/>
  <c r="L48" i="1" s="1"/>
  <c r="M48" i="1" s="1"/>
  <c r="G48" i="1"/>
  <c r="I47" i="1"/>
  <c r="F47" i="1"/>
  <c r="F46" i="1"/>
  <c r="G46" i="1" s="1"/>
  <c r="F45" i="1"/>
  <c r="I45" i="1" s="1"/>
  <c r="F44" i="1"/>
  <c r="G44" i="1" s="1"/>
  <c r="F41" i="1"/>
  <c r="I41" i="1" s="1"/>
  <c r="J41" i="1" s="1"/>
  <c r="F40" i="1"/>
  <c r="I40" i="1" s="1"/>
  <c r="F39" i="1"/>
  <c r="G39" i="1" s="1"/>
  <c r="F38" i="1"/>
  <c r="I38" i="1" s="1"/>
  <c r="L38" i="1" s="1"/>
  <c r="F36" i="1"/>
  <c r="I36" i="1" s="1"/>
  <c r="L36" i="1" s="1"/>
  <c r="F35" i="1"/>
  <c r="I35" i="1" s="1"/>
  <c r="F33" i="1"/>
  <c r="G33" i="1" s="1"/>
  <c r="F32" i="1"/>
  <c r="I32" i="1" s="1"/>
  <c r="F31" i="1"/>
  <c r="I31" i="1" s="1"/>
  <c r="L31" i="1" s="1"/>
  <c r="F30" i="1"/>
  <c r="I30" i="1" s="1"/>
  <c r="F29" i="1"/>
  <c r="I29" i="1" s="1"/>
  <c r="L29" i="1" s="1"/>
  <c r="F28" i="1"/>
  <c r="F26" i="1"/>
  <c r="I26" i="1" s="1"/>
  <c r="F25" i="1"/>
  <c r="F24" i="1"/>
  <c r="I24" i="1" s="1"/>
  <c r="F21" i="1"/>
  <c r="I21" i="1" s="1"/>
  <c r="F20" i="1"/>
  <c r="F19" i="1" s="1"/>
  <c r="G19" i="1" s="1"/>
  <c r="F18" i="1"/>
  <c r="I18" i="1" s="1"/>
  <c r="F17" i="1"/>
  <c r="I17" i="1" s="1"/>
  <c r="J17" i="1" s="1"/>
  <c r="F15" i="1"/>
  <c r="I15" i="1" s="1"/>
  <c r="L15" i="1" s="1"/>
  <c r="F14" i="1"/>
  <c r="I14" i="1" s="1"/>
  <c r="F12" i="1"/>
  <c r="I12" i="1" s="1"/>
  <c r="F11" i="1"/>
  <c r="I11" i="1" s="1"/>
  <c r="F8" i="1"/>
  <c r="G8" i="1" s="1"/>
  <c r="F7" i="1"/>
  <c r="AB213" i="1" l="1"/>
  <c r="I272" i="1"/>
  <c r="I8" i="1"/>
  <c r="I7" i="1" s="1"/>
  <c r="J7" i="1" s="1"/>
  <c r="I152" i="1"/>
  <c r="L152" i="1" s="1"/>
  <c r="O152" i="1" s="1"/>
  <c r="R152" i="1" s="1"/>
  <c r="S152" i="1" s="1"/>
  <c r="G70" i="1"/>
  <c r="G203" i="1"/>
  <c r="I259" i="1"/>
  <c r="L259" i="1" s="1"/>
  <c r="O259" i="1" s="1"/>
  <c r="P259" i="1" s="1"/>
  <c r="L41" i="1"/>
  <c r="M41" i="1" s="1"/>
  <c r="I76" i="1"/>
  <c r="L76" i="1" s="1"/>
  <c r="M76" i="1" s="1"/>
  <c r="I159" i="1"/>
  <c r="L159" i="1" s="1"/>
  <c r="V220" i="1"/>
  <c r="M296" i="1"/>
  <c r="I149" i="1"/>
  <c r="L149" i="1" s="1"/>
  <c r="L148" i="1" s="1"/>
  <c r="O184" i="1"/>
  <c r="R184" i="1" s="1"/>
  <c r="S184" i="1" s="1"/>
  <c r="I194" i="1"/>
  <c r="L204" i="1"/>
  <c r="O204" i="1" s="1"/>
  <c r="G266" i="1"/>
  <c r="G99" i="1"/>
  <c r="I230" i="1"/>
  <c r="L230" i="1" s="1"/>
  <c r="O230" i="1" s="1"/>
  <c r="F34" i="1"/>
  <c r="G34" i="1" s="1"/>
  <c r="I290" i="1"/>
  <c r="J290" i="1" s="1"/>
  <c r="G179" i="1"/>
  <c r="I187" i="1"/>
  <c r="J187" i="1" s="1"/>
  <c r="G119" i="1"/>
  <c r="I217" i="1"/>
  <c r="I215" i="1" s="1"/>
  <c r="L234" i="1"/>
  <c r="O234" i="1" s="1"/>
  <c r="P234" i="1" s="1"/>
  <c r="O280" i="1"/>
  <c r="R280" i="1" s="1"/>
  <c r="F218" i="1"/>
  <c r="I85" i="1"/>
  <c r="J85" i="1" s="1"/>
  <c r="I157" i="1"/>
  <c r="J157" i="1" s="1"/>
  <c r="I167" i="1"/>
  <c r="L167" i="1" s="1"/>
  <c r="O167" i="1" s="1"/>
  <c r="R167" i="1" s="1"/>
  <c r="U167" i="1" s="1"/>
  <c r="V167" i="1" s="1"/>
  <c r="I182" i="1"/>
  <c r="L182" i="1" s="1"/>
  <c r="L190" i="1"/>
  <c r="M190" i="1" s="1"/>
  <c r="G211" i="1"/>
  <c r="I236" i="1"/>
  <c r="J236" i="1" s="1"/>
  <c r="J106" i="1"/>
  <c r="L106" i="1"/>
  <c r="M106" i="1" s="1"/>
  <c r="V226" i="1"/>
  <c r="X226" i="1"/>
  <c r="U170" i="1"/>
  <c r="S170" i="1"/>
  <c r="O269" i="1"/>
  <c r="R269" i="1" s="1"/>
  <c r="M269" i="1"/>
  <c r="L186" i="1"/>
  <c r="O186" i="1" s="1"/>
  <c r="J186" i="1"/>
  <c r="G15" i="1"/>
  <c r="P170" i="1"/>
  <c r="I175" i="1"/>
  <c r="L175" i="1" s="1"/>
  <c r="F215" i="1"/>
  <c r="G215" i="1" s="1"/>
  <c r="G254" i="1"/>
  <c r="J15" i="1"/>
  <c r="G35" i="1"/>
  <c r="M49" i="1"/>
  <c r="G55" i="1"/>
  <c r="I100" i="1"/>
  <c r="L100" i="1" s="1"/>
  <c r="O100" i="1" s="1"/>
  <c r="G186" i="1"/>
  <c r="F193" i="1"/>
  <c r="F192" i="1" s="1"/>
  <c r="I205" i="1"/>
  <c r="L205" i="1" s="1"/>
  <c r="O205" i="1" s="1"/>
  <c r="R205" i="1" s="1"/>
  <c r="G216" i="1"/>
  <c r="S226" i="1"/>
  <c r="I270" i="1"/>
  <c r="P297" i="1"/>
  <c r="F27" i="1"/>
  <c r="G27" i="1" s="1"/>
  <c r="F98" i="1"/>
  <c r="G98" i="1" s="1"/>
  <c r="I151" i="1"/>
  <c r="L151" i="1" s="1"/>
  <c r="M151" i="1" s="1"/>
  <c r="L201" i="1"/>
  <c r="O201" i="1" s="1"/>
  <c r="J216" i="1"/>
  <c r="Y220" i="1"/>
  <c r="G246" i="1"/>
  <c r="J255" i="1"/>
  <c r="G260" i="1"/>
  <c r="I267" i="1"/>
  <c r="J267" i="1" s="1"/>
  <c r="L275" i="1"/>
  <c r="J47" i="1"/>
  <c r="G57" i="1"/>
  <c r="I89" i="1"/>
  <c r="I88" i="1" s="1"/>
  <c r="J88" i="1" s="1"/>
  <c r="V213" i="1"/>
  <c r="G268" i="1"/>
  <c r="J296" i="1"/>
  <c r="O296" i="1"/>
  <c r="P296" i="1" s="1"/>
  <c r="Y213" i="1"/>
  <c r="M234" i="1"/>
  <c r="I256" i="1"/>
  <c r="F13" i="1"/>
  <c r="G13" i="1" s="1"/>
  <c r="I20" i="1"/>
  <c r="J20" i="1" s="1"/>
  <c r="I137" i="1"/>
  <c r="L137" i="1" s="1"/>
  <c r="M137" i="1" s="1"/>
  <c r="I177" i="1"/>
  <c r="L177" i="1" s="1"/>
  <c r="G209" i="1"/>
  <c r="G242" i="1"/>
  <c r="I273" i="1"/>
  <c r="L273" i="1" s="1"/>
  <c r="O273" i="1" s="1"/>
  <c r="R273" i="1" s="1"/>
  <c r="J31" i="1"/>
  <c r="M152" i="1"/>
  <c r="G106" i="1"/>
  <c r="R122" i="1"/>
  <c r="U122" i="1" s="1"/>
  <c r="X122" i="1" s="1"/>
  <c r="I147" i="1"/>
  <c r="J147" i="1" s="1"/>
  <c r="L196" i="1"/>
  <c r="M196" i="1" s="1"/>
  <c r="L219" i="1"/>
  <c r="O219" i="1" s="1"/>
  <c r="P219" i="1" s="1"/>
  <c r="J242" i="1"/>
  <c r="J269" i="1"/>
  <c r="G20" i="1"/>
  <c r="S146" i="1"/>
  <c r="R171" i="1"/>
  <c r="S171" i="1" s="1"/>
  <c r="I33" i="1"/>
  <c r="L33" i="1" s="1"/>
  <c r="I138" i="1"/>
  <c r="J138" i="1" s="1"/>
  <c r="I164" i="1"/>
  <c r="L164" i="1" s="1"/>
  <c r="O164" i="1" s="1"/>
  <c r="R164" i="1" s="1"/>
  <c r="G190" i="1"/>
  <c r="J280" i="1"/>
  <c r="J123" i="1"/>
  <c r="L123" i="1"/>
  <c r="O123" i="1" s="1"/>
  <c r="R123" i="1" s="1"/>
  <c r="L228" i="1"/>
  <c r="O228" i="1" s="1"/>
  <c r="P228" i="1" s="1"/>
  <c r="J228" i="1"/>
  <c r="J250" i="1"/>
  <c r="L250" i="1"/>
  <c r="M250" i="1" s="1"/>
  <c r="J121" i="1"/>
  <c r="L121" i="1"/>
  <c r="O121" i="1" s="1"/>
  <c r="R121" i="1" s="1"/>
  <c r="J225" i="1"/>
  <c r="L225" i="1"/>
  <c r="O225" i="1" s="1"/>
  <c r="J166" i="1"/>
  <c r="L166" i="1"/>
  <c r="L71" i="1"/>
  <c r="J71" i="1"/>
  <c r="L191" i="1"/>
  <c r="O191" i="1" s="1"/>
  <c r="R191" i="1" s="1"/>
  <c r="J191" i="1"/>
  <c r="J118" i="1"/>
  <c r="L118" i="1"/>
  <c r="O118" i="1" s="1"/>
  <c r="R118" i="1" s="1"/>
  <c r="L163" i="1"/>
  <c r="J163" i="1"/>
  <c r="J116" i="1"/>
  <c r="L116" i="1"/>
  <c r="O116" i="1" s="1"/>
  <c r="P116" i="1" s="1"/>
  <c r="I110" i="1"/>
  <c r="G110" i="1"/>
  <c r="L90" i="1"/>
  <c r="J90" i="1"/>
  <c r="J119" i="1"/>
  <c r="L119" i="1"/>
  <c r="O119" i="1" s="1"/>
  <c r="R119" i="1" s="1"/>
  <c r="L240" i="1"/>
  <c r="O240" i="1" s="1"/>
  <c r="P240" i="1" s="1"/>
  <c r="J240" i="1"/>
  <c r="I39" i="1"/>
  <c r="L39" i="1" s="1"/>
  <c r="O39" i="1" s="1"/>
  <c r="G53" i="1"/>
  <c r="I69" i="1"/>
  <c r="F92" i="1"/>
  <c r="G92" i="1" s="1"/>
  <c r="F108" i="1"/>
  <c r="G108" i="1" s="1"/>
  <c r="J260" i="1"/>
  <c r="L268" i="1"/>
  <c r="G286" i="1"/>
  <c r="G89" i="1"/>
  <c r="G103" i="1"/>
  <c r="I117" i="1"/>
  <c r="L117" i="1" s="1"/>
  <c r="G139" i="1"/>
  <c r="M146" i="1"/>
  <c r="G162" i="1"/>
  <c r="I206" i="1"/>
  <c r="I222" i="1"/>
  <c r="O260" i="1"/>
  <c r="R260" i="1" s="1"/>
  <c r="I291" i="1"/>
  <c r="L291" i="1" s="1"/>
  <c r="O291" i="1" s="1"/>
  <c r="I294" i="1"/>
  <c r="G244" i="1"/>
  <c r="G249" i="1"/>
  <c r="F10" i="1"/>
  <c r="I44" i="1"/>
  <c r="J44" i="1" s="1"/>
  <c r="I58" i="1"/>
  <c r="I64" i="1"/>
  <c r="L64" i="1" s="1"/>
  <c r="O64" i="1" s="1"/>
  <c r="I101" i="1"/>
  <c r="O106" i="1"/>
  <c r="R106" i="1" s="1"/>
  <c r="U106" i="1" s="1"/>
  <c r="G109" i="1"/>
  <c r="G118" i="1"/>
  <c r="I141" i="1"/>
  <c r="J141" i="1" s="1"/>
  <c r="I160" i="1"/>
  <c r="G163" i="1"/>
  <c r="L209" i="1"/>
  <c r="O209" i="1" s="1"/>
  <c r="G214" i="1"/>
  <c r="O242" i="1"/>
  <c r="R242" i="1" s="1"/>
  <c r="J249" i="1"/>
  <c r="F66" i="1"/>
  <c r="G66" i="1" s="1"/>
  <c r="G94" i="1"/>
  <c r="G101" i="1"/>
  <c r="I200" i="1"/>
  <c r="J200" i="1" s="1"/>
  <c r="I67" i="1"/>
  <c r="I104" i="1"/>
  <c r="I109" i="1"/>
  <c r="I115" i="1"/>
  <c r="L115" i="1" s="1"/>
  <c r="G121" i="1"/>
  <c r="G123" i="1"/>
  <c r="G225" i="1"/>
  <c r="G240" i="1"/>
  <c r="G80" i="1"/>
  <c r="L157" i="1"/>
  <c r="G165" i="1"/>
  <c r="J171" i="1"/>
  <c r="I212" i="1"/>
  <c r="L212" i="1" s="1"/>
  <c r="L208" i="1" s="1"/>
  <c r="I223" i="1"/>
  <c r="G227" i="1"/>
  <c r="I54" i="1"/>
  <c r="G11" i="1"/>
  <c r="G65" i="1"/>
  <c r="G68" i="1"/>
  <c r="G71" i="1"/>
  <c r="I74" i="1"/>
  <c r="L74" i="1" s="1"/>
  <c r="O74" i="1" s="1"/>
  <c r="G77" i="1"/>
  <c r="G90" i="1"/>
  <c r="I112" i="1"/>
  <c r="J112" i="1" s="1"/>
  <c r="G116" i="1"/>
  <c r="G142" i="1"/>
  <c r="I158" i="1"/>
  <c r="L158" i="1" s="1"/>
  <c r="G161" i="1"/>
  <c r="G170" i="1"/>
  <c r="G180" i="1"/>
  <c r="G191" i="1"/>
  <c r="I203" i="1"/>
  <c r="G228" i="1"/>
  <c r="G250" i="1"/>
  <c r="I287" i="1"/>
  <c r="I46" i="1"/>
  <c r="L46" i="1" s="1"/>
  <c r="O46" i="1" s="1"/>
  <c r="I52" i="1"/>
  <c r="J52" i="1" s="1"/>
  <c r="L61" i="1"/>
  <c r="M61" i="1" s="1"/>
  <c r="G166" i="1"/>
  <c r="F178" i="1"/>
  <c r="G178" i="1" s="1"/>
  <c r="J180" i="1"/>
  <c r="L283" i="1"/>
  <c r="F16" i="1"/>
  <c r="G16" i="1" s="1"/>
  <c r="I56" i="1"/>
  <c r="J56" i="1" s="1"/>
  <c r="L87" i="1"/>
  <c r="M87" i="1" s="1"/>
  <c r="F231" i="1"/>
  <c r="G231" i="1" s="1"/>
  <c r="G12" i="1"/>
  <c r="I122" i="1"/>
  <c r="J122" i="1" s="1"/>
  <c r="I134" i="1"/>
  <c r="L134" i="1" s="1"/>
  <c r="O134" i="1" s="1"/>
  <c r="I140" i="1"/>
  <c r="L140" i="1" s="1"/>
  <c r="O140" i="1" s="1"/>
  <c r="R140" i="1" s="1"/>
  <c r="S140" i="1" s="1"/>
  <c r="J152" i="1"/>
  <c r="G156" i="1"/>
  <c r="G199" i="1"/>
  <c r="F208" i="1"/>
  <c r="F207" i="1" s="1"/>
  <c r="J210" i="1"/>
  <c r="G257" i="1"/>
  <c r="F284" i="1"/>
  <c r="G284" i="1" s="1"/>
  <c r="L26" i="1"/>
  <c r="J26" i="1"/>
  <c r="L40" i="1"/>
  <c r="J40" i="1"/>
  <c r="M36" i="1"/>
  <c r="O36" i="1"/>
  <c r="L32" i="1"/>
  <c r="J32" i="1"/>
  <c r="L21" i="1"/>
  <c r="J21" i="1"/>
  <c r="M29" i="1"/>
  <c r="O29" i="1"/>
  <c r="L18" i="1"/>
  <c r="J18" i="1"/>
  <c r="J29" i="1"/>
  <c r="I16" i="1"/>
  <c r="L17" i="1"/>
  <c r="I10" i="1"/>
  <c r="L11" i="1"/>
  <c r="J11" i="1"/>
  <c r="O15" i="1"/>
  <c r="M15" i="1"/>
  <c r="L24" i="1"/>
  <c r="J24" i="1"/>
  <c r="L30" i="1"/>
  <c r="J30" i="1"/>
  <c r="I13" i="1"/>
  <c r="L14" i="1"/>
  <c r="J14" i="1"/>
  <c r="I19" i="1"/>
  <c r="J19" i="1" s="1"/>
  <c r="J35" i="1"/>
  <c r="I34" i="1"/>
  <c r="J34" i="1" s="1"/>
  <c r="J12" i="1"/>
  <c r="L12" i="1"/>
  <c r="F23" i="1"/>
  <c r="I25" i="1"/>
  <c r="I23" i="1" s="1"/>
  <c r="G25" i="1"/>
  <c r="G10" i="1"/>
  <c r="M31" i="1"/>
  <c r="O31" i="1"/>
  <c r="L35" i="1"/>
  <c r="L72" i="1"/>
  <c r="J72" i="1"/>
  <c r="V146" i="1"/>
  <c r="X146" i="1"/>
  <c r="F50" i="1"/>
  <c r="I51" i="1"/>
  <c r="G51" i="1"/>
  <c r="L53" i="1"/>
  <c r="J53" i="1"/>
  <c r="G72" i="1"/>
  <c r="L80" i="1"/>
  <c r="J80" i="1"/>
  <c r="J97" i="1"/>
  <c r="I95" i="1"/>
  <c r="L55" i="1"/>
  <c r="J55" i="1"/>
  <c r="L62" i="1"/>
  <c r="J62" i="1"/>
  <c r="M64" i="1"/>
  <c r="L67" i="1"/>
  <c r="J67" i="1"/>
  <c r="O97" i="1"/>
  <c r="M97" i="1"/>
  <c r="G36" i="1"/>
  <c r="G47" i="1"/>
  <c r="L57" i="1"/>
  <c r="J57" i="1"/>
  <c r="G60" i="1"/>
  <c r="G62" i="1"/>
  <c r="L78" i="1"/>
  <c r="I86" i="1"/>
  <c r="G86" i="1"/>
  <c r="P118" i="1"/>
  <c r="G28" i="1"/>
  <c r="G30" i="1"/>
  <c r="J36" i="1"/>
  <c r="O76" i="1"/>
  <c r="L82" i="1"/>
  <c r="J82" i="1"/>
  <c r="L84" i="1"/>
  <c r="J84" i="1"/>
  <c r="L60" i="1"/>
  <c r="J60" i="1"/>
  <c r="G14" i="1"/>
  <c r="G18" i="1"/>
  <c r="L20" i="1"/>
  <c r="I28" i="1"/>
  <c r="G32" i="1"/>
  <c r="J38" i="1"/>
  <c r="L45" i="1"/>
  <c r="J45" i="1"/>
  <c r="L73" i="1"/>
  <c r="J73" i="1"/>
  <c r="L75" i="1"/>
  <c r="J75" i="1"/>
  <c r="G24" i="1"/>
  <c r="G26" i="1"/>
  <c r="M38" i="1"/>
  <c r="L68" i="1"/>
  <c r="J68" i="1"/>
  <c r="J79" i="1"/>
  <c r="L79" i="1"/>
  <c r="J113" i="1"/>
  <c r="L113" i="1"/>
  <c r="J8" i="1"/>
  <c r="G21" i="1"/>
  <c r="O38" i="1"/>
  <c r="L63" i="1"/>
  <c r="J63" i="1"/>
  <c r="L77" i="1"/>
  <c r="J77" i="1"/>
  <c r="G79" i="1"/>
  <c r="I81" i="1"/>
  <c r="G81" i="1"/>
  <c r="L65" i="1"/>
  <c r="J65" i="1"/>
  <c r="L70" i="1"/>
  <c r="J70" i="1"/>
  <c r="G7" i="1"/>
  <c r="G17" i="1"/>
  <c r="G29" i="1"/>
  <c r="G31" i="1"/>
  <c r="O41" i="1"/>
  <c r="L47" i="1"/>
  <c r="M47" i="1" s="1"/>
  <c r="O48" i="1"/>
  <c r="I83" i="1"/>
  <c r="L104" i="1"/>
  <c r="J104" i="1"/>
  <c r="G40" i="1"/>
  <c r="F37" i="1"/>
  <c r="G37" i="1" s="1"/>
  <c r="L95" i="1"/>
  <c r="G97" i="1"/>
  <c r="F95" i="1"/>
  <c r="L131" i="1"/>
  <c r="J131" i="1"/>
  <c r="L136" i="1"/>
  <c r="J136" i="1"/>
  <c r="L114" i="1"/>
  <c r="J114" i="1"/>
  <c r="L132" i="1"/>
  <c r="J132" i="1"/>
  <c r="M103" i="1"/>
  <c r="J142" i="1"/>
  <c r="L142" i="1"/>
  <c r="G45" i="1"/>
  <c r="G75" i="1"/>
  <c r="G84" i="1"/>
  <c r="G93" i="1"/>
  <c r="L133" i="1"/>
  <c r="J133" i="1"/>
  <c r="I93" i="1"/>
  <c r="J103" i="1"/>
  <c r="P119" i="1"/>
  <c r="G63" i="1"/>
  <c r="G73" i="1"/>
  <c r="G82" i="1"/>
  <c r="L94" i="1"/>
  <c r="O103" i="1"/>
  <c r="I105" i="1"/>
  <c r="I102" i="1" s="1"/>
  <c r="G105" i="1"/>
  <c r="F102" i="1"/>
  <c r="G102" i="1" s="1"/>
  <c r="G41" i="1"/>
  <c r="G61" i="1"/>
  <c r="G78" i="1"/>
  <c r="G87" i="1"/>
  <c r="U140" i="1"/>
  <c r="G38" i="1"/>
  <c r="J48" i="1"/>
  <c r="L120" i="1"/>
  <c r="J120" i="1"/>
  <c r="V122" i="1"/>
  <c r="L139" i="1"/>
  <c r="J139" i="1"/>
  <c r="L99" i="1"/>
  <c r="L135" i="1"/>
  <c r="J135" i="1"/>
  <c r="L174" i="1"/>
  <c r="J174" i="1"/>
  <c r="G114" i="1"/>
  <c r="M119" i="1"/>
  <c r="F130" i="1"/>
  <c r="G133" i="1"/>
  <c r="P152" i="1"/>
  <c r="L162" i="1"/>
  <c r="J162" i="1"/>
  <c r="J169" i="1"/>
  <c r="G169" i="1"/>
  <c r="F111" i="1"/>
  <c r="G111" i="1" s="1"/>
  <c r="G120" i="1"/>
  <c r="G135" i="1"/>
  <c r="L165" i="1"/>
  <c r="J165" i="1"/>
  <c r="U171" i="1"/>
  <c r="I155" i="1"/>
  <c r="F154" i="1"/>
  <c r="G155" i="1"/>
  <c r="J158" i="1"/>
  <c r="R169" i="1"/>
  <c r="G173" i="1"/>
  <c r="F172" i="1"/>
  <c r="G172" i="1" s="1"/>
  <c r="O180" i="1"/>
  <c r="M180" i="1"/>
  <c r="G113" i="1"/>
  <c r="M118" i="1"/>
  <c r="G132" i="1"/>
  <c r="I153" i="1"/>
  <c r="G153" i="1"/>
  <c r="X161" i="1"/>
  <c r="V161" i="1"/>
  <c r="L173" i="1"/>
  <c r="J173" i="1"/>
  <c r="O182" i="1"/>
  <c r="M182" i="1"/>
  <c r="F144" i="1"/>
  <c r="F143" i="1" s="1"/>
  <c r="G143" i="1" s="1"/>
  <c r="G145" i="1"/>
  <c r="M149" i="1"/>
  <c r="M161" i="1"/>
  <c r="L200" i="1"/>
  <c r="I145" i="1"/>
  <c r="G146" i="1"/>
  <c r="P161" i="1"/>
  <c r="I168" i="1"/>
  <c r="J146" i="1"/>
  <c r="S161" i="1"/>
  <c r="J183" i="1"/>
  <c r="L183" i="1"/>
  <c r="G131" i="1"/>
  <c r="G136" i="1"/>
  <c r="U152" i="1"/>
  <c r="P146" i="1"/>
  <c r="L156" i="1"/>
  <c r="J156" i="1"/>
  <c r="I188" i="1"/>
  <c r="G188" i="1"/>
  <c r="I181" i="1"/>
  <c r="I178" i="1" s="1"/>
  <c r="G181" i="1"/>
  <c r="U184" i="1"/>
  <c r="G197" i="1"/>
  <c r="O211" i="1"/>
  <c r="M211" i="1"/>
  <c r="M230" i="1"/>
  <c r="R204" i="1"/>
  <c r="P204" i="1"/>
  <c r="J161" i="1"/>
  <c r="G174" i="1"/>
  <c r="J179" i="1"/>
  <c r="L199" i="1"/>
  <c r="J199" i="1"/>
  <c r="O210" i="1"/>
  <c r="M210" i="1"/>
  <c r="R234" i="1"/>
  <c r="X170" i="1"/>
  <c r="L179" i="1"/>
  <c r="G183" i="1"/>
  <c r="O214" i="1"/>
  <c r="M214" i="1"/>
  <c r="I185" i="1"/>
  <c r="G185" i="1"/>
  <c r="I198" i="1"/>
  <c r="G198" i="1"/>
  <c r="L194" i="1"/>
  <c r="J194" i="1"/>
  <c r="M216" i="1"/>
  <c r="O216" i="1"/>
  <c r="P184" i="1"/>
  <c r="I189" i="1"/>
  <c r="I195" i="1"/>
  <c r="L197" i="1"/>
  <c r="J197" i="1"/>
  <c r="I208" i="1"/>
  <c r="J211" i="1"/>
  <c r="J212" i="1"/>
  <c r="S213" i="1"/>
  <c r="J214" i="1"/>
  <c r="J217" i="1"/>
  <c r="I232" i="1"/>
  <c r="G232" i="1"/>
  <c r="I233" i="1"/>
  <c r="O250" i="1"/>
  <c r="G196" i="1"/>
  <c r="G201" i="1"/>
  <c r="J203" i="1"/>
  <c r="L217" i="1"/>
  <c r="L215" i="1" s="1"/>
  <c r="M215" i="1" s="1"/>
  <c r="J244" i="1"/>
  <c r="L244" i="1"/>
  <c r="O227" i="1"/>
  <c r="M227" i="1"/>
  <c r="R240" i="1"/>
  <c r="L257" i="1"/>
  <c r="J257" i="1"/>
  <c r="F281" i="1"/>
  <c r="G281" i="1" s="1"/>
  <c r="I282" i="1"/>
  <c r="G282" i="1"/>
  <c r="O249" i="1"/>
  <c r="M249" i="1"/>
  <c r="O255" i="1"/>
  <c r="M255" i="1"/>
  <c r="P280" i="1"/>
  <c r="O224" i="1"/>
  <c r="M224" i="1"/>
  <c r="J227" i="1"/>
  <c r="R259" i="1"/>
  <c r="I221" i="1"/>
  <c r="G224" i="1"/>
  <c r="F252" i="1"/>
  <c r="I253" i="1"/>
  <c r="G253" i="1"/>
  <c r="S220" i="1"/>
  <c r="J224" i="1"/>
  <c r="M259" i="1"/>
  <c r="J272" i="1"/>
  <c r="L272" i="1"/>
  <c r="I237" i="1"/>
  <c r="F235" i="1"/>
  <c r="G235" i="1" s="1"/>
  <c r="L238" i="1"/>
  <c r="J238" i="1"/>
  <c r="F239" i="1"/>
  <c r="G239" i="1" s="1"/>
  <c r="I241" i="1"/>
  <c r="G241" i="1"/>
  <c r="I245" i="1"/>
  <c r="I243" i="1" s="1"/>
  <c r="I274" i="1"/>
  <c r="G237" i="1"/>
  <c r="F243" i="1"/>
  <c r="G243" i="1" s="1"/>
  <c r="J254" i="1"/>
  <c r="L254" i="1"/>
  <c r="I258" i="1"/>
  <c r="I261" i="1"/>
  <c r="G261" i="1"/>
  <c r="L266" i="1"/>
  <c r="J266" i="1"/>
  <c r="M271" i="1"/>
  <c r="O271" i="1"/>
  <c r="G210" i="1"/>
  <c r="G219" i="1"/>
  <c r="G218" i="1" s="1"/>
  <c r="L246" i="1"/>
  <c r="G248" i="1"/>
  <c r="I248" i="1"/>
  <c r="G271" i="1"/>
  <c r="I288" i="1"/>
  <c r="G288" i="1"/>
  <c r="F293" i="1"/>
  <c r="G293" i="1" s="1"/>
  <c r="I295" i="1"/>
  <c r="S297" i="1"/>
  <c r="L300" i="1"/>
  <c r="J300" i="1"/>
  <c r="I265" i="1"/>
  <c r="F264" i="1"/>
  <c r="J271" i="1"/>
  <c r="I278" i="1"/>
  <c r="F277" i="1"/>
  <c r="G277" i="1" s="1"/>
  <c r="J292" i="1"/>
  <c r="L292" i="1"/>
  <c r="O275" i="1"/>
  <c r="M275" i="1"/>
  <c r="X297" i="1"/>
  <c r="V297" i="1"/>
  <c r="I289" i="1"/>
  <c r="G289" i="1"/>
  <c r="F247" i="1"/>
  <c r="G247" i="1" s="1"/>
  <c r="I276" i="1"/>
  <c r="G276" i="1"/>
  <c r="L267" i="1"/>
  <c r="I262" i="1"/>
  <c r="L286" i="1"/>
  <c r="J291" i="1"/>
  <c r="L290" i="1"/>
  <c r="G300" i="1"/>
  <c r="I285" i="1"/>
  <c r="P298" i="1"/>
  <c r="R298" i="1"/>
  <c r="R296" i="1" s="1"/>
  <c r="G292" i="1"/>
  <c r="I279" i="1"/>
  <c r="G279" i="1"/>
  <c r="G283" i="1"/>
  <c r="J178" i="1" l="1"/>
  <c r="M212" i="1"/>
  <c r="J259" i="1"/>
  <c r="O212" i="1"/>
  <c r="I148" i="1"/>
  <c r="J76" i="1"/>
  <c r="P164" i="1"/>
  <c r="O149" i="1"/>
  <c r="R149" i="1" s="1"/>
  <c r="J159" i="1"/>
  <c r="P205" i="1"/>
  <c r="M164" i="1"/>
  <c r="J182" i="1"/>
  <c r="X167" i="1"/>
  <c r="AA167" i="1" s="1"/>
  <c r="AB167" i="1" s="1"/>
  <c r="L8" i="1"/>
  <c r="J149" i="1"/>
  <c r="O190" i="1"/>
  <c r="S296" i="1"/>
  <c r="J164" i="1"/>
  <c r="S122" i="1"/>
  <c r="L138" i="1"/>
  <c r="M138" i="1" s="1"/>
  <c r="J64" i="1"/>
  <c r="S167" i="1"/>
  <c r="M209" i="1"/>
  <c r="L236" i="1"/>
  <c r="M236" i="1" s="1"/>
  <c r="J243" i="1"/>
  <c r="M205" i="1"/>
  <c r="L147" i="1"/>
  <c r="O147" i="1" s="1"/>
  <c r="J175" i="1"/>
  <c r="P140" i="1"/>
  <c r="J140" i="1"/>
  <c r="J102" i="1"/>
  <c r="L85" i="1"/>
  <c r="O85" i="1" s="1"/>
  <c r="J230" i="1"/>
  <c r="P260" i="1"/>
  <c r="J167" i="1"/>
  <c r="L187" i="1"/>
  <c r="M187" i="1" s="1"/>
  <c r="M204" i="1"/>
  <c r="P167" i="1"/>
  <c r="J117" i="1"/>
  <c r="O87" i="1"/>
  <c r="P87" i="1" s="1"/>
  <c r="M167" i="1"/>
  <c r="J205" i="1"/>
  <c r="M201" i="1"/>
  <c r="M140" i="1"/>
  <c r="J33" i="1"/>
  <c r="P100" i="1"/>
  <c r="R100" i="1"/>
  <c r="R186" i="1"/>
  <c r="U186" i="1" s="1"/>
  <c r="P186" i="1"/>
  <c r="J273" i="1"/>
  <c r="I98" i="1"/>
  <c r="J98" i="1" s="1"/>
  <c r="R228" i="1"/>
  <c r="S228" i="1" s="1"/>
  <c r="J39" i="1"/>
  <c r="O137" i="1"/>
  <c r="R137" i="1" s="1"/>
  <c r="R116" i="1"/>
  <c r="S116" i="1" s="1"/>
  <c r="M186" i="1"/>
  <c r="O151" i="1"/>
  <c r="R151" i="1" s="1"/>
  <c r="J215" i="1"/>
  <c r="J208" i="1"/>
  <c r="V170" i="1"/>
  <c r="I37" i="1"/>
  <c r="J74" i="1"/>
  <c r="M100" i="1"/>
  <c r="J89" i="1"/>
  <c r="P106" i="1"/>
  <c r="M39" i="1"/>
  <c r="J13" i="1"/>
  <c r="L89" i="1"/>
  <c r="M89" i="1" s="1"/>
  <c r="P273" i="1"/>
  <c r="M273" i="1"/>
  <c r="AA226" i="1"/>
  <c r="AB226" i="1" s="1"/>
  <c r="Y226" i="1"/>
  <c r="J177" i="1"/>
  <c r="J137" i="1"/>
  <c r="S106" i="1"/>
  <c r="L52" i="1"/>
  <c r="O52" i="1" s="1"/>
  <c r="M46" i="1"/>
  <c r="L270" i="1"/>
  <c r="J270" i="1"/>
  <c r="R219" i="1"/>
  <c r="S219" i="1" s="1"/>
  <c r="M116" i="1"/>
  <c r="M291" i="1"/>
  <c r="G208" i="1"/>
  <c r="G207" i="1" s="1"/>
  <c r="M191" i="1"/>
  <c r="P191" i="1"/>
  <c r="J151" i="1"/>
  <c r="J115" i="1"/>
  <c r="O61" i="1"/>
  <c r="P61" i="1" s="1"/>
  <c r="U164" i="1"/>
  <c r="S164" i="1"/>
  <c r="L256" i="1"/>
  <c r="J256" i="1"/>
  <c r="P269" i="1"/>
  <c r="M228" i="1"/>
  <c r="M240" i="1"/>
  <c r="J46" i="1"/>
  <c r="O196" i="1"/>
  <c r="P196" i="1" s="1"/>
  <c r="M219" i="1"/>
  <c r="U273" i="1"/>
  <c r="S273" i="1"/>
  <c r="G193" i="1"/>
  <c r="G192" i="1" s="1"/>
  <c r="J95" i="1"/>
  <c r="J100" i="1"/>
  <c r="O163" i="1"/>
  <c r="M163" i="1"/>
  <c r="J134" i="1"/>
  <c r="J54" i="1"/>
  <c r="L54" i="1"/>
  <c r="R196" i="1"/>
  <c r="M283" i="1"/>
  <c r="O283" i="1"/>
  <c r="J58" i="1"/>
  <c r="L58" i="1"/>
  <c r="J109" i="1"/>
  <c r="L109" i="1"/>
  <c r="I108" i="1"/>
  <c r="J108" i="1" s="1"/>
  <c r="J206" i="1"/>
  <c r="L206" i="1"/>
  <c r="L141" i="1"/>
  <c r="O141" i="1" s="1"/>
  <c r="M134" i="1"/>
  <c r="I111" i="1"/>
  <c r="J111" i="1" s="1"/>
  <c r="M74" i="1"/>
  <c r="L203" i="1"/>
  <c r="I202" i="1"/>
  <c r="J202" i="1" s="1"/>
  <c r="F9" i="1"/>
  <c r="G9" i="1" s="1"/>
  <c r="M268" i="1"/>
  <c r="O268" i="1"/>
  <c r="J37" i="1"/>
  <c r="L223" i="1"/>
  <c r="J223" i="1"/>
  <c r="L112" i="1"/>
  <c r="M112" i="1" s="1"/>
  <c r="J160" i="1"/>
  <c r="L160" i="1"/>
  <c r="M90" i="1"/>
  <c r="O90" i="1"/>
  <c r="L69" i="1"/>
  <c r="J69" i="1"/>
  <c r="M123" i="1"/>
  <c r="P123" i="1"/>
  <c r="I130" i="1"/>
  <c r="J130" i="1" s="1"/>
  <c r="J16" i="1"/>
  <c r="L44" i="1"/>
  <c r="O44" i="1" s="1"/>
  <c r="M121" i="1"/>
  <c r="M157" i="1"/>
  <c r="O157" i="1"/>
  <c r="J110" i="1"/>
  <c r="L110" i="1"/>
  <c r="P242" i="1"/>
  <c r="F150" i="1"/>
  <c r="P121" i="1"/>
  <c r="F6" i="1"/>
  <c r="G6" i="1" s="1"/>
  <c r="M71" i="1"/>
  <c r="O71" i="1"/>
  <c r="L222" i="1"/>
  <c r="J222" i="1"/>
  <c r="M225" i="1"/>
  <c r="O236" i="1"/>
  <c r="J101" i="1"/>
  <c r="L101" i="1"/>
  <c r="L98" i="1" s="1"/>
  <c r="J294" i="1"/>
  <c r="L294" i="1"/>
  <c r="O166" i="1"/>
  <c r="M166" i="1"/>
  <c r="L56" i="1"/>
  <c r="M56" i="1" s="1"/>
  <c r="L287" i="1"/>
  <c r="J287" i="1"/>
  <c r="L88" i="1"/>
  <c r="M88" i="1" s="1"/>
  <c r="Y297" i="1"/>
  <c r="AA297" i="1"/>
  <c r="L288" i="1"/>
  <c r="J288" i="1"/>
  <c r="O266" i="1"/>
  <c r="M266" i="1"/>
  <c r="I235" i="1"/>
  <c r="J235" i="1" s="1"/>
  <c r="L237" i="1"/>
  <c r="J237" i="1"/>
  <c r="R250" i="1"/>
  <c r="P250" i="1"/>
  <c r="R230" i="1"/>
  <c r="P230" i="1"/>
  <c r="P211" i="1"/>
  <c r="R211" i="1"/>
  <c r="L188" i="1"/>
  <c r="J188" i="1"/>
  <c r="S169" i="1"/>
  <c r="U169" i="1"/>
  <c r="L111" i="1"/>
  <c r="O112" i="1"/>
  <c r="R103" i="1"/>
  <c r="P103" i="1"/>
  <c r="X106" i="1"/>
  <c r="V106" i="1"/>
  <c r="M68" i="1"/>
  <c r="O68" i="1"/>
  <c r="L86" i="1"/>
  <c r="J86" i="1"/>
  <c r="I50" i="1"/>
  <c r="L51" i="1"/>
  <c r="J51" i="1"/>
  <c r="O18" i="1"/>
  <c r="M18" i="1"/>
  <c r="O32" i="1"/>
  <c r="M32" i="1"/>
  <c r="U298" i="1"/>
  <c r="S298" i="1"/>
  <c r="J262" i="1"/>
  <c r="L262" i="1"/>
  <c r="L276" i="1"/>
  <c r="J276" i="1"/>
  <c r="J274" i="1"/>
  <c r="L274" i="1"/>
  <c r="R227" i="1"/>
  <c r="P227" i="1"/>
  <c r="L185" i="1"/>
  <c r="J185" i="1"/>
  <c r="U234" i="1"/>
  <c r="S234" i="1"/>
  <c r="I172" i="1"/>
  <c r="J172" i="1" s="1"/>
  <c r="M173" i="1"/>
  <c r="O173" i="1"/>
  <c r="J155" i="1"/>
  <c r="I154" i="1"/>
  <c r="L155" i="1"/>
  <c r="G130" i="1"/>
  <c r="O94" i="1"/>
  <c r="M94" i="1"/>
  <c r="R41" i="1"/>
  <c r="P41" i="1"/>
  <c r="R76" i="1"/>
  <c r="P76" i="1"/>
  <c r="M78" i="1"/>
  <c r="O78" i="1"/>
  <c r="P97" i="1"/>
  <c r="R97" i="1"/>
  <c r="O95" i="1"/>
  <c r="P95" i="1" s="1"/>
  <c r="O55" i="1"/>
  <c r="M55" i="1"/>
  <c r="G50" i="1"/>
  <c r="F43" i="1"/>
  <c r="O33" i="1"/>
  <c r="M33" i="1"/>
  <c r="L10" i="1"/>
  <c r="O11" i="1"/>
  <c r="M11" i="1"/>
  <c r="R36" i="1"/>
  <c r="P36" i="1"/>
  <c r="P275" i="1"/>
  <c r="R275" i="1"/>
  <c r="L261" i="1"/>
  <c r="J261" i="1"/>
  <c r="L282" i="1"/>
  <c r="I281" i="1"/>
  <c r="J281" i="1" s="1"/>
  <c r="J282" i="1"/>
  <c r="L233" i="1"/>
  <c r="J233" i="1"/>
  <c r="R216" i="1"/>
  <c r="P216" i="1"/>
  <c r="U228" i="1"/>
  <c r="M99" i="1"/>
  <c r="O99" i="1"/>
  <c r="I92" i="1"/>
  <c r="L93" i="1"/>
  <c r="J93" i="1"/>
  <c r="O136" i="1"/>
  <c r="M136" i="1"/>
  <c r="O70" i="1"/>
  <c r="M70" i="1"/>
  <c r="O77" i="1"/>
  <c r="M77" i="1"/>
  <c r="R74" i="1"/>
  <c r="P74" i="1"/>
  <c r="J23" i="1"/>
  <c r="J10" i="1"/>
  <c r="I9" i="1"/>
  <c r="L285" i="1"/>
  <c r="J285" i="1"/>
  <c r="I284" i="1"/>
  <c r="J284" i="1" s="1"/>
  <c r="M292" i="1"/>
  <c r="O292" i="1"/>
  <c r="I247" i="1"/>
  <c r="J247" i="1" s="1"/>
  <c r="J248" i="1"/>
  <c r="L248" i="1"/>
  <c r="S280" i="1"/>
  <c r="U280" i="1"/>
  <c r="X184" i="1"/>
  <c r="V184" i="1"/>
  <c r="O156" i="1"/>
  <c r="M156" i="1"/>
  <c r="AA161" i="1"/>
  <c r="AB161" i="1" s="1"/>
  <c r="Y161" i="1"/>
  <c r="M159" i="1"/>
  <c r="O159" i="1"/>
  <c r="M142" i="1"/>
  <c r="O142" i="1"/>
  <c r="P39" i="1"/>
  <c r="R39" i="1"/>
  <c r="O14" i="1"/>
  <c r="M14" i="1"/>
  <c r="L13" i="1"/>
  <c r="M13" i="1" s="1"/>
  <c r="O300" i="1"/>
  <c r="M300" i="1"/>
  <c r="J258" i="1"/>
  <c r="L258" i="1"/>
  <c r="L245" i="1"/>
  <c r="L243" i="1" s="1"/>
  <c r="M243" i="1" s="1"/>
  <c r="J245" i="1"/>
  <c r="O272" i="1"/>
  <c r="M272" i="1"/>
  <c r="U259" i="1"/>
  <c r="S259" i="1"/>
  <c r="J232" i="1"/>
  <c r="L232" i="1"/>
  <c r="I231" i="1"/>
  <c r="R225" i="1"/>
  <c r="P225" i="1"/>
  <c r="O183" i="1"/>
  <c r="M183" i="1"/>
  <c r="V171" i="1"/>
  <c r="X171" i="1"/>
  <c r="X140" i="1"/>
  <c r="V140" i="1"/>
  <c r="O132" i="1"/>
  <c r="M132" i="1"/>
  <c r="L130" i="1"/>
  <c r="O131" i="1"/>
  <c r="M131" i="1"/>
  <c r="O104" i="1"/>
  <c r="M104" i="1"/>
  <c r="O65" i="1"/>
  <c r="M65" i="1"/>
  <c r="O72" i="1"/>
  <c r="M72" i="1"/>
  <c r="M24" i="1"/>
  <c r="O24" i="1"/>
  <c r="L16" i="1"/>
  <c r="M16" i="1" s="1"/>
  <c r="O17" i="1"/>
  <c r="M17" i="1"/>
  <c r="R29" i="1"/>
  <c r="P29" i="1"/>
  <c r="O267" i="1"/>
  <c r="M267" i="1"/>
  <c r="M246" i="1"/>
  <c r="O246" i="1"/>
  <c r="O254" i="1"/>
  <c r="M254" i="1"/>
  <c r="L253" i="1"/>
  <c r="I252" i="1"/>
  <c r="J253" i="1"/>
  <c r="O257" i="1"/>
  <c r="M257" i="1"/>
  <c r="U269" i="1"/>
  <c r="S269" i="1"/>
  <c r="M208" i="1"/>
  <c r="L198" i="1"/>
  <c r="J198" i="1"/>
  <c r="L181" i="1"/>
  <c r="L178" i="1" s="1"/>
  <c r="M178" i="1" s="1"/>
  <c r="J181" i="1"/>
  <c r="J145" i="1"/>
  <c r="L145" i="1"/>
  <c r="I144" i="1"/>
  <c r="G144" i="1"/>
  <c r="O133" i="1"/>
  <c r="M133" i="1"/>
  <c r="O113" i="1"/>
  <c r="M113" i="1"/>
  <c r="O60" i="1"/>
  <c r="M60" i="1"/>
  <c r="J241" i="1"/>
  <c r="I239" i="1"/>
  <c r="J239" i="1" s="1"/>
  <c r="L241" i="1"/>
  <c r="F251" i="1"/>
  <c r="G251" i="1" s="1"/>
  <c r="G252" i="1"/>
  <c r="P255" i="1"/>
  <c r="R255" i="1"/>
  <c r="R209" i="1"/>
  <c r="O208" i="1"/>
  <c r="P209" i="1"/>
  <c r="P210" i="1"/>
  <c r="R210" i="1"/>
  <c r="U205" i="1"/>
  <c r="S205" i="1"/>
  <c r="O165" i="1"/>
  <c r="M165" i="1"/>
  <c r="O135" i="1"/>
  <c r="M135" i="1"/>
  <c r="O115" i="1"/>
  <c r="M115" i="1"/>
  <c r="P137" i="1"/>
  <c r="U123" i="1"/>
  <c r="S123" i="1"/>
  <c r="G95" i="1"/>
  <c r="F91" i="1"/>
  <c r="G91" i="1" s="1"/>
  <c r="M63" i="1"/>
  <c r="O63" i="1"/>
  <c r="O57" i="1"/>
  <c r="M57" i="1"/>
  <c r="O67" i="1"/>
  <c r="M67" i="1"/>
  <c r="M80" i="1"/>
  <c r="O80" i="1"/>
  <c r="AA146" i="1"/>
  <c r="AB146" i="1" s="1"/>
  <c r="Y146" i="1"/>
  <c r="O35" i="1"/>
  <c r="L34" i="1"/>
  <c r="M34" i="1" s="1"/>
  <c r="M35" i="1"/>
  <c r="L25" i="1"/>
  <c r="J25" i="1"/>
  <c r="O40" i="1"/>
  <c r="O37" i="1" s="1"/>
  <c r="M40" i="1"/>
  <c r="O290" i="1"/>
  <c r="M290" i="1"/>
  <c r="L289" i="1"/>
  <c r="J289" i="1"/>
  <c r="L278" i="1"/>
  <c r="I277" i="1"/>
  <c r="J277" i="1" s="1"/>
  <c r="J278" i="1"/>
  <c r="I293" i="1"/>
  <c r="J293" i="1" s="1"/>
  <c r="L295" i="1"/>
  <c r="J295" i="1"/>
  <c r="U260" i="1"/>
  <c r="S260" i="1"/>
  <c r="M217" i="1"/>
  <c r="O217" i="1"/>
  <c r="P214" i="1"/>
  <c r="R214" i="1"/>
  <c r="P212" i="1"/>
  <c r="R212" i="1"/>
  <c r="M177" i="1"/>
  <c r="O177" i="1"/>
  <c r="O175" i="1"/>
  <c r="M175" i="1"/>
  <c r="J153" i="1"/>
  <c r="L153" i="1"/>
  <c r="M148" i="1"/>
  <c r="J148" i="1"/>
  <c r="O162" i="1"/>
  <c r="M162" i="1"/>
  <c r="O139" i="1"/>
  <c r="M139" i="1"/>
  <c r="R134" i="1"/>
  <c r="P134" i="1"/>
  <c r="O117" i="1"/>
  <c r="M117" i="1"/>
  <c r="L83" i="1"/>
  <c r="J83" i="1"/>
  <c r="O8" i="1"/>
  <c r="M8" i="1"/>
  <c r="L7" i="1"/>
  <c r="M75" i="1"/>
  <c r="O75" i="1"/>
  <c r="I66" i="1"/>
  <c r="J66" i="1" s="1"/>
  <c r="R31" i="1"/>
  <c r="P31" i="1"/>
  <c r="F22" i="1"/>
  <c r="G23" i="1"/>
  <c r="R46" i="1"/>
  <c r="P46" i="1"/>
  <c r="O21" i="1"/>
  <c r="M21" i="1"/>
  <c r="R291" i="1"/>
  <c r="P291" i="1"/>
  <c r="R249" i="1"/>
  <c r="P249" i="1"/>
  <c r="S240" i="1"/>
  <c r="U240" i="1"/>
  <c r="M244" i="1"/>
  <c r="O244" i="1"/>
  <c r="R201" i="1"/>
  <c r="P201" i="1"/>
  <c r="L168" i="1"/>
  <c r="J168" i="1"/>
  <c r="M200" i="1"/>
  <c r="O200" i="1"/>
  <c r="R180" i="1"/>
  <c r="P180" i="1"/>
  <c r="U121" i="1"/>
  <c r="S121" i="1"/>
  <c r="M95" i="1"/>
  <c r="R61" i="1"/>
  <c r="M26" i="1"/>
  <c r="O26" i="1"/>
  <c r="J279" i="1"/>
  <c r="L279" i="1"/>
  <c r="G264" i="1"/>
  <c r="G263" i="1" s="1"/>
  <c r="F263" i="1"/>
  <c r="R271" i="1"/>
  <c r="P271" i="1"/>
  <c r="S242" i="1"/>
  <c r="U242" i="1"/>
  <c r="O197" i="1"/>
  <c r="M197" i="1"/>
  <c r="O199" i="1"/>
  <c r="M199" i="1"/>
  <c r="U204" i="1"/>
  <c r="S204" i="1"/>
  <c r="S186" i="1"/>
  <c r="AA122" i="1"/>
  <c r="AB122" i="1" s="1"/>
  <c r="Y122" i="1"/>
  <c r="M85" i="1"/>
  <c r="O56" i="1"/>
  <c r="U100" i="1"/>
  <c r="S100" i="1"/>
  <c r="O79" i="1"/>
  <c r="M79" i="1"/>
  <c r="M73" i="1"/>
  <c r="O73" i="1"/>
  <c r="I27" i="1"/>
  <c r="J27" i="1" s="1"/>
  <c r="L28" i="1"/>
  <c r="J28" i="1"/>
  <c r="M84" i="1"/>
  <c r="O84" i="1"/>
  <c r="U118" i="1"/>
  <c r="S118" i="1"/>
  <c r="R64" i="1"/>
  <c r="P64" i="1"/>
  <c r="M12" i="1"/>
  <c r="O12" i="1"/>
  <c r="O30" i="1"/>
  <c r="M30" i="1"/>
  <c r="R15" i="1"/>
  <c r="P15" i="1"/>
  <c r="L265" i="1"/>
  <c r="I264" i="1"/>
  <c r="J265" i="1"/>
  <c r="M238" i="1"/>
  <c r="O238" i="1"/>
  <c r="L221" i="1"/>
  <c r="J221" i="1"/>
  <c r="I218" i="1"/>
  <c r="J218" i="1" s="1"/>
  <c r="L195" i="1"/>
  <c r="J195" i="1"/>
  <c r="M194" i="1"/>
  <c r="O194" i="1"/>
  <c r="M179" i="1"/>
  <c r="O179" i="1"/>
  <c r="R182" i="1"/>
  <c r="P182" i="1"/>
  <c r="M158" i="1"/>
  <c r="O158" i="1"/>
  <c r="U119" i="1"/>
  <c r="S119" i="1"/>
  <c r="O114" i="1"/>
  <c r="M114" i="1"/>
  <c r="P38" i="1"/>
  <c r="R38" i="1"/>
  <c r="L19" i="1"/>
  <c r="M19" i="1" s="1"/>
  <c r="O20" i="1"/>
  <c r="M20" i="1"/>
  <c r="O53" i="1"/>
  <c r="M53" i="1"/>
  <c r="I6" i="1"/>
  <c r="L37" i="1"/>
  <c r="O286" i="1"/>
  <c r="M286" i="1"/>
  <c r="P224" i="1"/>
  <c r="R224" i="1"/>
  <c r="L189" i="1"/>
  <c r="J189" i="1"/>
  <c r="I193" i="1"/>
  <c r="AA170" i="1"/>
  <c r="AB170" i="1" s="1"/>
  <c r="Y170" i="1"/>
  <c r="U191" i="1"/>
  <c r="S191" i="1"/>
  <c r="X152" i="1"/>
  <c r="V152" i="1"/>
  <c r="G154" i="1"/>
  <c r="G150" i="1" s="1"/>
  <c r="O174" i="1"/>
  <c r="M174" i="1"/>
  <c r="O120" i="1"/>
  <c r="M120" i="1"/>
  <c r="L105" i="1"/>
  <c r="J105" i="1"/>
  <c r="O47" i="1"/>
  <c r="P47" i="1" s="1"/>
  <c r="R48" i="1"/>
  <c r="P48" i="1"/>
  <c r="L81" i="1"/>
  <c r="J81" i="1"/>
  <c r="O45" i="1"/>
  <c r="M45" i="1"/>
  <c r="M82" i="1"/>
  <c r="O82" i="1"/>
  <c r="O62" i="1"/>
  <c r="M62" i="1"/>
  <c r="U219" i="1" l="1"/>
  <c r="V219" i="1" s="1"/>
  <c r="O138" i="1"/>
  <c r="O130" i="1" s="1"/>
  <c r="M141" i="1"/>
  <c r="P149" i="1"/>
  <c r="O148" i="1"/>
  <c r="P148" i="1" s="1"/>
  <c r="O187" i="1"/>
  <c r="R187" i="1" s="1"/>
  <c r="R190" i="1"/>
  <c r="P190" i="1"/>
  <c r="M37" i="1"/>
  <c r="U116" i="1"/>
  <c r="V116" i="1" s="1"/>
  <c r="Y167" i="1"/>
  <c r="P37" i="1"/>
  <c r="M98" i="1"/>
  <c r="P187" i="1"/>
  <c r="M52" i="1"/>
  <c r="R87" i="1"/>
  <c r="U87" i="1" s="1"/>
  <c r="M147" i="1"/>
  <c r="O256" i="1"/>
  <c r="M256" i="1"/>
  <c r="O89" i="1"/>
  <c r="O88" i="1" s="1"/>
  <c r="P88" i="1" s="1"/>
  <c r="P151" i="1"/>
  <c r="M270" i="1"/>
  <c r="O270" i="1"/>
  <c r="X164" i="1"/>
  <c r="V164" i="1"/>
  <c r="M44" i="1"/>
  <c r="J6" i="1"/>
  <c r="J207" i="1"/>
  <c r="X273" i="1"/>
  <c r="V273" i="1"/>
  <c r="F229" i="1"/>
  <c r="G229" i="1" s="1"/>
  <c r="G299" i="1" s="1"/>
  <c r="O110" i="1"/>
  <c r="M110" i="1"/>
  <c r="P90" i="1"/>
  <c r="R90" i="1"/>
  <c r="O58" i="1"/>
  <c r="M58" i="1"/>
  <c r="R89" i="1"/>
  <c r="M160" i="1"/>
  <c r="O160" i="1"/>
  <c r="U196" i="1"/>
  <c r="S196" i="1"/>
  <c r="L202" i="1"/>
  <c r="M202" i="1" s="1"/>
  <c r="M203" i="1"/>
  <c r="O203" i="1"/>
  <c r="O287" i="1"/>
  <c r="M287" i="1"/>
  <c r="O222" i="1"/>
  <c r="M222" i="1"/>
  <c r="R236" i="1"/>
  <c r="P236" i="1"/>
  <c r="R71" i="1"/>
  <c r="P71" i="1"/>
  <c r="O54" i="1"/>
  <c r="M54" i="1"/>
  <c r="S151" i="1"/>
  <c r="U151" i="1"/>
  <c r="O206" i="1"/>
  <c r="M206" i="1"/>
  <c r="R157" i="1"/>
  <c r="P157" i="1"/>
  <c r="J9" i="1"/>
  <c r="M111" i="1"/>
  <c r="R166" i="1"/>
  <c r="P166" i="1"/>
  <c r="O223" i="1"/>
  <c r="M223" i="1"/>
  <c r="R283" i="1"/>
  <c r="P283" i="1"/>
  <c r="L66" i="1"/>
  <c r="M66" i="1" s="1"/>
  <c r="M294" i="1"/>
  <c r="O294" i="1"/>
  <c r="P268" i="1"/>
  <c r="R268" i="1"/>
  <c r="L108" i="1"/>
  <c r="M108" i="1" s="1"/>
  <c r="O109" i="1"/>
  <c r="M109" i="1"/>
  <c r="O101" i="1"/>
  <c r="O98" i="1" s="1"/>
  <c r="P98" i="1" s="1"/>
  <c r="M101" i="1"/>
  <c r="M69" i="1"/>
  <c r="O69" i="1"/>
  <c r="R163" i="1"/>
  <c r="P163" i="1"/>
  <c r="F299" i="1"/>
  <c r="F301" i="1" s="1"/>
  <c r="G301" i="1" s="1"/>
  <c r="S250" i="1"/>
  <c r="U250" i="1"/>
  <c r="AA152" i="1"/>
  <c r="AB152" i="1" s="1"/>
  <c r="Y152" i="1"/>
  <c r="S224" i="1"/>
  <c r="U224" i="1"/>
  <c r="P158" i="1"/>
  <c r="R158" i="1"/>
  <c r="X100" i="1"/>
  <c r="V100" i="1"/>
  <c r="X204" i="1"/>
  <c r="V204" i="1"/>
  <c r="S249" i="1"/>
  <c r="U249" i="1"/>
  <c r="O83" i="1"/>
  <c r="M83" i="1"/>
  <c r="P217" i="1"/>
  <c r="R217" i="1"/>
  <c r="R215" i="1" s="1"/>
  <c r="P80" i="1"/>
  <c r="R80" i="1"/>
  <c r="R165" i="1"/>
  <c r="P165" i="1"/>
  <c r="P208" i="1"/>
  <c r="R246" i="1"/>
  <c r="P246" i="1"/>
  <c r="AA171" i="1"/>
  <c r="AB171" i="1" s="1"/>
  <c r="Y171" i="1"/>
  <c r="I22" i="1"/>
  <c r="S216" i="1"/>
  <c r="U216" i="1"/>
  <c r="S275" i="1"/>
  <c r="U275" i="1"/>
  <c r="P55" i="1"/>
  <c r="R55" i="1"/>
  <c r="U41" i="1"/>
  <c r="S41" i="1"/>
  <c r="M155" i="1"/>
  <c r="L154" i="1"/>
  <c r="M154" i="1" s="1"/>
  <c r="O155" i="1"/>
  <c r="P32" i="1"/>
  <c r="R32" i="1"/>
  <c r="AB297" i="1"/>
  <c r="R62" i="1"/>
  <c r="P62" i="1"/>
  <c r="X191" i="1"/>
  <c r="V191" i="1"/>
  <c r="O195" i="1"/>
  <c r="O193" i="1" s="1"/>
  <c r="M195" i="1"/>
  <c r="L264" i="1"/>
  <c r="O265" i="1"/>
  <c r="M265" i="1"/>
  <c r="P84" i="1"/>
  <c r="R84" i="1"/>
  <c r="R56" i="1"/>
  <c r="P56" i="1"/>
  <c r="R141" i="1"/>
  <c r="P141" i="1"/>
  <c r="R199" i="1"/>
  <c r="P199" i="1"/>
  <c r="X121" i="1"/>
  <c r="V121" i="1"/>
  <c r="M168" i="1"/>
  <c r="O168" i="1"/>
  <c r="R117" i="1"/>
  <c r="P117" i="1"/>
  <c r="M130" i="1"/>
  <c r="X259" i="1"/>
  <c r="V259" i="1"/>
  <c r="U74" i="1"/>
  <c r="S74" i="1"/>
  <c r="I91" i="1"/>
  <c r="J91" i="1" s="1"/>
  <c r="J92" i="1"/>
  <c r="U97" i="1"/>
  <c r="S97" i="1"/>
  <c r="R95" i="1"/>
  <c r="S95" i="1" s="1"/>
  <c r="P94" i="1"/>
  <c r="R94" i="1"/>
  <c r="P18" i="1"/>
  <c r="R18" i="1"/>
  <c r="L231" i="1"/>
  <c r="O232" i="1"/>
  <c r="M232" i="1"/>
  <c r="R156" i="1"/>
  <c r="P156" i="1"/>
  <c r="R20" i="1"/>
  <c r="P20" i="1"/>
  <c r="O19" i="1"/>
  <c r="P19" i="1" s="1"/>
  <c r="P290" i="1"/>
  <c r="R290" i="1"/>
  <c r="O105" i="1"/>
  <c r="M105" i="1"/>
  <c r="P82" i="1"/>
  <c r="R82" i="1"/>
  <c r="U38" i="1"/>
  <c r="S38" i="1"/>
  <c r="U182" i="1"/>
  <c r="S182" i="1"/>
  <c r="U291" i="1"/>
  <c r="S291" i="1"/>
  <c r="P75" i="1"/>
  <c r="R75" i="1"/>
  <c r="V260" i="1"/>
  <c r="X260" i="1"/>
  <c r="R40" i="1"/>
  <c r="R37" i="1" s="1"/>
  <c r="S37" i="1" s="1"/>
  <c r="P40" i="1"/>
  <c r="J144" i="1"/>
  <c r="I143" i="1"/>
  <c r="P267" i="1"/>
  <c r="R267" i="1"/>
  <c r="R159" i="1"/>
  <c r="P159" i="1"/>
  <c r="R99" i="1"/>
  <c r="P99" i="1"/>
  <c r="O233" i="1"/>
  <c r="M233" i="1"/>
  <c r="U36" i="1"/>
  <c r="S36" i="1"/>
  <c r="R173" i="1"/>
  <c r="P173" i="1"/>
  <c r="O274" i="1"/>
  <c r="M274" i="1"/>
  <c r="O188" i="1"/>
  <c r="M188" i="1"/>
  <c r="M237" i="1"/>
  <c r="L235" i="1"/>
  <c r="M235" i="1" s="1"/>
  <c r="O237" i="1"/>
  <c r="U271" i="1"/>
  <c r="S271" i="1"/>
  <c r="M289" i="1"/>
  <c r="O289" i="1"/>
  <c r="X118" i="1"/>
  <c r="V118" i="1"/>
  <c r="R142" i="1"/>
  <c r="P142" i="1"/>
  <c r="O93" i="1"/>
  <c r="M93" i="1"/>
  <c r="L92" i="1"/>
  <c r="R120" i="1"/>
  <c r="P120" i="1"/>
  <c r="U15" i="1"/>
  <c r="S15" i="1"/>
  <c r="R85" i="1"/>
  <c r="P85" i="1"/>
  <c r="M279" i="1"/>
  <c r="O279" i="1"/>
  <c r="U201" i="1"/>
  <c r="S201" i="1"/>
  <c r="P175" i="1"/>
  <c r="R175" i="1"/>
  <c r="R67" i="1"/>
  <c r="P67" i="1"/>
  <c r="X123" i="1"/>
  <c r="V123" i="1"/>
  <c r="R60" i="1"/>
  <c r="P60" i="1"/>
  <c r="O145" i="1"/>
  <c r="M145" i="1"/>
  <c r="L144" i="1"/>
  <c r="X269" i="1"/>
  <c r="V269" i="1"/>
  <c r="R132" i="1"/>
  <c r="P132" i="1"/>
  <c r="U187" i="1"/>
  <c r="S187" i="1"/>
  <c r="R272" i="1"/>
  <c r="P272" i="1"/>
  <c r="R78" i="1"/>
  <c r="P78" i="1"/>
  <c r="L50" i="1"/>
  <c r="O51" i="1"/>
  <c r="M51" i="1"/>
  <c r="S103" i="1"/>
  <c r="U103" i="1"/>
  <c r="S211" i="1"/>
  <c r="U211" i="1"/>
  <c r="R194" i="1"/>
  <c r="P194" i="1"/>
  <c r="U31" i="1"/>
  <c r="S31" i="1"/>
  <c r="M261" i="1"/>
  <c r="O261" i="1"/>
  <c r="R131" i="1"/>
  <c r="P131" i="1"/>
  <c r="Y184" i="1"/>
  <c r="AA184" i="1"/>
  <c r="AB184" i="1" s="1"/>
  <c r="O28" i="1"/>
  <c r="M28" i="1"/>
  <c r="L27" i="1"/>
  <c r="M27" i="1" s="1"/>
  <c r="L102" i="1"/>
  <c r="M102" i="1" s="1"/>
  <c r="R197" i="1"/>
  <c r="P197" i="1"/>
  <c r="P21" i="1"/>
  <c r="R21" i="1"/>
  <c r="U134" i="1"/>
  <c r="S134" i="1"/>
  <c r="R177" i="1"/>
  <c r="P177" i="1"/>
  <c r="O295" i="1"/>
  <c r="M295" i="1"/>
  <c r="L293" i="1"/>
  <c r="M293" i="1" s="1"/>
  <c r="U137" i="1"/>
  <c r="S137" i="1"/>
  <c r="S255" i="1"/>
  <c r="U255" i="1"/>
  <c r="U29" i="1"/>
  <c r="S29" i="1"/>
  <c r="P14" i="1"/>
  <c r="O13" i="1"/>
  <c r="P13" i="1" s="1"/>
  <c r="R14" i="1"/>
  <c r="X219" i="1"/>
  <c r="L284" i="1"/>
  <c r="M284" i="1" s="1"/>
  <c r="M285" i="1"/>
  <c r="O285" i="1"/>
  <c r="O10" i="1"/>
  <c r="R11" i="1"/>
  <c r="P11" i="1"/>
  <c r="L172" i="1"/>
  <c r="M172" i="1" s="1"/>
  <c r="J50" i="1"/>
  <c r="I43" i="1"/>
  <c r="X119" i="1"/>
  <c r="V119" i="1"/>
  <c r="O198" i="1"/>
  <c r="M198" i="1"/>
  <c r="R133" i="1"/>
  <c r="P133" i="1"/>
  <c r="R292" i="1"/>
  <c r="P292" i="1"/>
  <c r="J154" i="1"/>
  <c r="I150" i="1"/>
  <c r="J150" i="1" s="1"/>
  <c r="R30" i="1"/>
  <c r="P30" i="1"/>
  <c r="R26" i="1"/>
  <c r="P26" i="1"/>
  <c r="R244" i="1"/>
  <c r="P244" i="1"/>
  <c r="R52" i="1"/>
  <c r="P52" i="1"/>
  <c r="O25" i="1"/>
  <c r="O23" i="1" s="1"/>
  <c r="M25" i="1"/>
  <c r="P57" i="1"/>
  <c r="R57" i="1"/>
  <c r="X205" i="1"/>
  <c r="V205" i="1"/>
  <c r="R113" i="1"/>
  <c r="P113" i="1"/>
  <c r="P257" i="1"/>
  <c r="R257" i="1"/>
  <c r="AA140" i="1"/>
  <c r="AB140" i="1" s="1"/>
  <c r="Y140" i="1"/>
  <c r="R183" i="1"/>
  <c r="P183" i="1"/>
  <c r="M245" i="1"/>
  <c r="O245" i="1"/>
  <c r="O243" i="1" s="1"/>
  <c r="P243" i="1" s="1"/>
  <c r="O282" i="1"/>
  <c r="M282" i="1"/>
  <c r="L281" i="1"/>
  <c r="M281" i="1" s="1"/>
  <c r="M10" i="1"/>
  <c r="L9" i="1"/>
  <c r="M9" i="1" s="1"/>
  <c r="O276" i="1"/>
  <c r="M276" i="1"/>
  <c r="R266" i="1"/>
  <c r="P266" i="1"/>
  <c r="R254" i="1"/>
  <c r="P254" i="1"/>
  <c r="R136" i="1"/>
  <c r="P136" i="1"/>
  <c r="J264" i="1"/>
  <c r="I263" i="1"/>
  <c r="J263" i="1" s="1"/>
  <c r="M153" i="1"/>
  <c r="L150" i="1"/>
  <c r="O153" i="1"/>
  <c r="R72" i="1"/>
  <c r="P72" i="1"/>
  <c r="S227" i="1"/>
  <c r="U227" i="1"/>
  <c r="R286" i="1"/>
  <c r="P286" i="1"/>
  <c r="P12" i="1"/>
  <c r="R12" i="1"/>
  <c r="P73" i="1"/>
  <c r="R73" i="1"/>
  <c r="U46" i="1"/>
  <c r="S46" i="1"/>
  <c r="R139" i="1"/>
  <c r="P139" i="1"/>
  <c r="U212" i="1"/>
  <c r="S212" i="1"/>
  <c r="P63" i="1"/>
  <c r="R63" i="1"/>
  <c r="U210" i="1"/>
  <c r="S210" i="1"/>
  <c r="R147" i="1"/>
  <c r="P147" i="1"/>
  <c r="O16" i="1"/>
  <c r="P16" i="1" s="1"/>
  <c r="R17" i="1"/>
  <c r="P17" i="1"/>
  <c r="M258" i="1"/>
  <c r="O258" i="1"/>
  <c r="S39" i="1"/>
  <c r="U39" i="1"/>
  <c r="S149" i="1"/>
  <c r="R148" i="1"/>
  <c r="S148" i="1" s="1"/>
  <c r="U149" i="1"/>
  <c r="R77" i="1"/>
  <c r="P77" i="1"/>
  <c r="U76" i="1"/>
  <c r="S76" i="1"/>
  <c r="O262" i="1"/>
  <c r="M262" i="1"/>
  <c r="M86" i="1"/>
  <c r="O86" i="1"/>
  <c r="R112" i="1"/>
  <c r="P112" i="1"/>
  <c r="O111" i="1"/>
  <c r="P111" i="1" s="1"/>
  <c r="R200" i="1"/>
  <c r="P200" i="1"/>
  <c r="R104" i="1"/>
  <c r="P104" i="1"/>
  <c r="AA106" i="1"/>
  <c r="AB106" i="1" s="1"/>
  <c r="Y106" i="1"/>
  <c r="R45" i="1"/>
  <c r="P45" i="1"/>
  <c r="O81" i="1"/>
  <c r="M81" i="1"/>
  <c r="I192" i="1"/>
  <c r="J192" i="1" s="1"/>
  <c r="J193" i="1"/>
  <c r="P179" i="1"/>
  <c r="R179" i="1"/>
  <c r="X242" i="1"/>
  <c r="V242" i="1"/>
  <c r="X240" i="1"/>
  <c r="V240" i="1"/>
  <c r="L6" i="1"/>
  <c r="M6" i="1" s="1"/>
  <c r="M7" i="1"/>
  <c r="R115" i="1"/>
  <c r="P115" i="1"/>
  <c r="J252" i="1"/>
  <c r="I251" i="1"/>
  <c r="J251" i="1" s="1"/>
  <c r="X280" i="1"/>
  <c r="V280" i="1"/>
  <c r="R33" i="1"/>
  <c r="P33" i="1"/>
  <c r="V234" i="1"/>
  <c r="X234" i="1"/>
  <c r="P68" i="1"/>
  <c r="R68" i="1"/>
  <c r="S230" i="1"/>
  <c r="U230" i="1"/>
  <c r="O288" i="1"/>
  <c r="M288" i="1"/>
  <c r="R114" i="1"/>
  <c r="P114" i="1"/>
  <c r="M221" i="1"/>
  <c r="O221" i="1"/>
  <c r="L218" i="1"/>
  <c r="R44" i="1"/>
  <c r="P44" i="1"/>
  <c r="G22" i="1"/>
  <c r="R162" i="1"/>
  <c r="P162" i="1"/>
  <c r="S214" i="1"/>
  <c r="U214" i="1"/>
  <c r="L277" i="1"/>
  <c r="M277" i="1" s="1"/>
  <c r="O278" i="1"/>
  <c r="M278" i="1"/>
  <c r="O34" i="1"/>
  <c r="P34" i="1" s="1"/>
  <c r="R35" i="1"/>
  <c r="P35" i="1"/>
  <c r="M241" i="1"/>
  <c r="O241" i="1"/>
  <c r="L239" i="1"/>
  <c r="M239" i="1" s="1"/>
  <c r="O181" i="1"/>
  <c r="O178" i="1" s="1"/>
  <c r="M181" i="1"/>
  <c r="M253" i="1"/>
  <c r="L252" i="1"/>
  <c r="O253" i="1"/>
  <c r="R24" i="1"/>
  <c r="P24" i="1"/>
  <c r="R65" i="1"/>
  <c r="P65" i="1"/>
  <c r="U225" i="1"/>
  <c r="S225" i="1"/>
  <c r="P70" i="1"/>
  <c r="R70" i="1"/>
  <c r="V228" i="1"/>
  <c r="X228" i="1"/>
  <c r="F42" i="1"/>
  <c r="G42" i="1" s="1"/>
  <c r="G43" i="1"/>
  <c r="X169" i="1"/>
  <c r="V169" i="1"/>
  <c r="I207" i="1"/>
  <c r="P53" i="1"/>
  <c r="R53" i="1"/>
  <c r="U61" i="1"/>
  <c r="S61" i="1"/>
  <c r="R208" i="1"/>
  <c r="U209" i="1"/>
  <c r="S209" i="1"/>
  <c r="R174" i="1"/>
  <c r="P174" i="1"/>
  <c r="R47" i="1"/>
  <c r="S47" i="1" s="1"/>
  <c r="U48" i="1"/>
  <c r="S48" i="1"/>
  <c r="O189" i="1"/>
  <c r="M189" i="1"/>
  <c r="L193" i="1"/>
  <c r="R238" i="1"/>
  <c r="P238" i="1"/>
  <c r="U64" i="1"/>
  <c r="S64" i="1"/>
  <c r="R79" i="1"/>
  <c r="P79" i="1"/>
  <c r="X186" i="1"/>
  <c r="V186" i="1"/>
  <c r="U180" i="1"/>
  <c r="S180" i="1"/>
  <c r="O7" i="1"/>
  <c r="R8" i="1"/>
  <c r="P8" i="1"/>
  <c r="R135" i="1"/>
  <c r="P135" i="1"/>
  <c r="L23" i="1"/>
  <c r="J231" i="1"/>
  <c r="R300" i="1"/>
  <c r="P300" i="1"/>
  <c r="L247" i="1"/>
  <c r="M247" i="1" s="1"/>
  <c r="O248" i="1"/>
  <c r="M248" i="1"/>
  <c r="O215" i="1"/>
  <c r="P215" i="1" s="1"/>
  <c r="O185" i="1"/>
  <c r="M185" i="1"/>
  <c r="X298" i="1"/>
  <c r="V298" i="1"/>
  <c r="U296" i="1"/>
  <c r="F107" i="1" l="1"/>
  <c r="G107" i="1" s="1"/>
  <c r="X116" i="1"/>
  <c r="P138" i="1"/>
  <c r="U190" i="1"/>
  <c r="S190" i="1"/>
  <c r="R138" i="1"/>
  <c r="P89" i="1"/>
  <c r="I229" i="1"/>
  <c r="J229" i="1" s="1"/>
  <c r="S87" i="1"/>
  <c r="AA164" i="1"/>
  <c r="AB164" i="1" s="1"/>
  <c r="Y164" i="1"/>
  <c r="R270" i="1"/>
  <c r="P270" i="1"/>
  <c r="M150" i="1"/>
  <c r="O66" i="1"/>
  <c r="P66" i="1" s="1"/>
  <c r="Y273" i="1"/>
  <c r="AA273" i="1"/>
  <c r="AB273" i="1" s="1"/>
  <c r="R256" i="1"/>
  <c r="P256" i="1"/>
  <c r="V196" i="1"/>
  <c r="X196" i="1"/>
  <c r="O108" i="1"/>
  <c r="P108" i="1" s="1"/>
  <c r="R109" i="1"/>
  <c r="P109" i="1"/>
  <c r="S166" i="1"/>
  <c r="U166" i="1"/>
  <c r="U71" i="1"/>
  <c r="S71" i="1"/>
  <c r="P160" i="1"/>
  <c r="R160" i="1"/>
  <c r="U89" i="1"/>
  <c r="R88" i="1"/>
  <c r="S88" i="1" s="1"/>
  <c r="S89" i="1"/>
  <c r="S236" i="1"/>
  <c r="U236" i="1"/>
  <c r="R294" i="1"/>
  <c r="P294" i="1"/>
  <c r="S157" i="1"/>
  <c r="U157" i="1"/>
  <c r="R222" i="1"/>
  <c r="P222" i="1"/>
  <c r="U268" i="1"/>
  <c r="S268" i="1"/>
  <c r="U163" i="1"/>
  <c r="S163" i="1"/>
  <c r="R206" i="1"/>
  <c r="P206" i="1"/>
  <c r="P287" i="1"/>
  <c r="R287" i="1"/>
  <c r="R58" i="1"/>
  <c r="P58" i="1"/>
  <c r="R69" i="1"/>
  <c r="P69" i="1"/>
  <c r="V151" i="1"/>
  <c r="X151" i="1"/>
  <c r="P203" i="1"/>
  <c r="R203" i="1"/>
  <c r="O202" i="1"/>
  <c r="P202" i="1" s="1"/>
  <c r="U90" i="1"/>
  <c r="S90" i="1"/>
  <c r="S283" i="1"/>
  <c r="U283" i="1"/>
  <c r="P101" i="1"/>
  <c r="R101" i="1"/>
  <c r="R98" i="1" s="1"/>
  <c r="S98" i="1" s="1"/>
  <c r="P223" i="1"/>
  <c r="R223" i="1"/>
  <c r="R54" i="1"/>
  <c r="P54" i="1"/>
  <c r="P110" i="1"/>
  <c r="R110" i="1"/>
  <c r="P178" i="1"/>
  <c r="O172" i="1"/>
  <c r="P172" i="1" s="1"/>
  <c r="R185" i="1"/>
  <c r="P185" i="1"/>
  <c r="U300" i="1"/>
  <c r="S300" i="1"/>
  <c r="R7" i="1"/>
  <c r="U8" i="1"/>
  <c r="S8" i="1"/>
  <c r="Y169" i="1"/>
  <c r="AA169" i="1"/>
  <c r="AB169" i="1" s="1"/>
  <c r="X225" i="1"/>
  <c r="V225" i="1"/>
  <c r="R241" i="1"/>
  <c r="P241" i="1"/>
  <c r="O239" i="1"/>
  <c r="P239" i="1" s="1"/>
  <c r="F124" i="1"/>
  <c r="U45" i="1"/>
  <c r="S45" i="1"/>
  <c r="R258" i="1"/>
  <c r="P258" i="1"/>
  <c r="U113" i="1"/>
  <c r="S113" i="1"/>
  <c r="U244" i="1"/>
  <c r="S244" i="1"/>
  <c r="P10" i="1"/>
  <c r="O9" i="1"/>
  <c r="P9" i="1" s="1"/>
  <c r="X29" i="1"/>
  <c r="V29" i="1"/>
  <c r="U21" i="1"/>
  <c r="S21" i="1"/>
  <c r="P130" i="1"/>
  <c r="X187" i="1"/>
  <c r="V187" i="1"/>
  <c r="S120" i="1"/>
  <c r="U120" i="1"/>
  <c r="X271" i="1"/>
  <c r="V271" i="1"/>
  <c r="U117" i="1"/>
  <c r="S117" i="1"/>
  <c r="S84" i="1"/>
  <c r="U84" i="1"/>
  <c r="AA191" i="1"/>
  <c r="AB191" i="1" s="1"/>
  <c r="Y191" i="1"/>
  <c r="V224" i="1"/>
  <c r="X224" i="1"/>
  <c r="P7" i="1"/>
  <c r="O6" i="1"/>
  <c r="P6" i="1" s="1"/>
  <c r="V64" i="1"/>
  <c r="X64" i="1"/>
  <c r="X209" i="1"/>
  <c r="V209" i="1"/>
  <c r="U208" i="1"/>
  <c r="U33" i="1"/>
  <c r="S33" i="1"/>
  <c r="R262" i="1"/>
  <c r="P262" i="1"/>
  <c r="U12" i="1"/>
  <c r="S12" i="1"/>
  <c r="V227" i="1"/>
  <c r="X227" i="1"/>
  <c r="U254" i="1"/>
  <c r="S254" i="1"/>
  <c r="U133" i="1"/>
  <c r="S133" i="1"/>
  <c r="R285" i="1"/>
  <c r="O284" i="1"/>
  <c r="P284" i="1" s="1"/>
  <c r="P285" i="1"/>
  <c r="V255" i="1"/>
  <c r="X255" i="1"/>
  <c r="P261" i="1"/>
  <c r="R261" i="1"/>
  <c r="X103" i="1"/>
  <c r="V103" i="1"/>
  <c r="S60" i="1"/>
  <c r="U60" i="1"/>
  <c r="X201" i="1"/>
  <c r="V201" i="1"/>
  <c r="M92" i="1"/>
  <c r="L91" i="1"/>
  <c r="M91" i="1" s="1"/>
  <c r="R237" i="1"/>
  <c r="P237" i="1"/>
  <c r="O235" i="1"/>
  <c r="P235" i="1" s="1"/>
  <c r="J143" i="1"/>
  <c r="I299" i="1"/>
  <c r="X291" i="1"/>
  <c r="V291" i="1"/>
  <c r="R105" i="1"/>
  <c r="P105" i="1"/>
  <c r="S18" i="1"/>
  <c r="U18" i="1"/>
  <c r="R168" i="1"/>
  <c r="P168" i="1"/>
  <c r="X41" i="1"/>
  <c r="V41" i="1"/>
  <c r="S246" i="1"/>
  <c r="U246" i="1"/>
  <c r="R83" i="1"/>
  <c r="P83" i="1"/>
  <c r="S208" i="1"/>
  <c r="U65" i="1"/>
  <c r="S65" i="1"/>
  <c r="U179" i="1"/>
  <c r="S179" i="1"/>
  <c r="X210" i="1"/>
  <c r="V210" i="1"/>
  <c r="O281" i="1"/>
  <c r="P281" i="1" s="1"/>
  <c r="R282" i="1"/>
  <c r="P282" i="1"/>
  <c r="U132" i="1"/>
  <c r="S132" i="1"/>
  <c r="X36" i="1"/>
  <c r="V36" i="1"/>
  <c r="U290" i="1"/>
  <c r="S290" i="1"/>
  <c r="AA259" i="1"/>
  <c r="AB259" i="1" s="1"/>
  <c r="Y259" i="1"/>
  <c r="S62" i="1"/>
  <c r="U62" i="1"/>
  <c r="S55" i="1"/>
  <c r="U55" i="1"/>
  <c r="V249" i="1"/>
  <c r="X249" i="1"/>
  <c r="M23" i="1"/>
  <c r="L22" i="1"/>
  <c r="X180" i="1"/>
  <c r="V180" i="1"/>
  <c r="U238" i="1"/>
  <c r="S238" i="1"/>
  <c r="R34" i="1"/>
  <c r="S34" i="1" s="1"/>
  <c r="U35" i="1"/>
  <c r="S35" i="1"/>
  <c r="U44" i="1"/>
  <c r="S44" i="1"/>
  <c r="R288" i="1"/>
  <c r="P288" i="1"/>
  <c r="AA240" i="1"/>
  <c r="Y240" i="1"/>
  <c r="U63" i="1"/>
  <c r="S63" i="1"/>
  <c r="R245" i="1"/>
  <c r="R243" i="1" s="1"/>
  <c r="S243" i="1" s="1"/>
  <c r="P245" i="1"/>
  <c r="R198" i="1"/>
  <c r="P198" i="1"/>
  <c r="U197" i="1"/>
  <c r="S197" i="1"/>
  <c r="R93" i="1"/>
  <c r="P93" i="1"/>
  <c r="O92" i="1"/>
  <c r="S94" i="1"/>
  <c r="U94" i="1"/>
  <c r="O264" i="1"/>
  <c r="R265" i="1"/>
  <c r="P265" i="1"/>
  <c r="M193" i="1"/>
  <c r="L192" i="1"/>
  <c r="M192" i="1" s="1"/>
  <c r="U24" i="1"/>
  <c r="S24" i="1"/>
  <c r="M218" i="1"/>
  <c r="L207" i="1"/>
  <c r="M207" i="1" s="1"/>
  <c r="X230" i="1"/>
  <c r="V230" i="1"/>
  <c r="AA280" i="1"/>
  <c r="AB280" i="1" s="1"/>
  <c r="Y280" i="1"/>
  <c r="S104" i="1"/>
  <c r="U104" i="1"/>
  <c r="X76" i="1"/>
  <c r="V76" i="1"/>
  <c r="S72" i="1"/>
  <c r="U72" i="1"/>
  <c r="S266" i="1"/>
  <c r="U266" i="1"/>
  <c r="AA205" i="1"/>
  <c r="Y205" i="1"/>
  <c r="U26" i="1"/>
  <c r="S26" i="1"/>
  <c r="X137" i="1"/>
  <c r="V137" i="1"/>
  <c r="X31" i="1"/>
  <c r="V31" i="1"/>
  <c r="AA116" i="1"/>
  <c r="AB116" i="1" s="1"/>
  <c r="Y116" i="1"/>
  <c r="R233" i="1"/>
  <c r="P233" i="1"/>
  <c r="M264" i="1"/>
  <c r="L263" i="1"/>
  <c r="M263" i="1" s="1"/>
  <c r="X275" i="1"/>
  <c r="V275" i="1"/>
  <c r="V250" i="1"/>
  <c r="X250" i="1"/>
  <c r="P23" i="1"/>
  <c r="P221" i="1"/>
  <c r="R221" i="1"/>
  <c r="O218" i="1"/>
  <c r="P218" i="1" s="1"/>
  <c r="R16" i="1"/>
  <c r="S16" i="1" s="1"/>
  <c r="U17" i="1"/>
  <c r="S17" i="1"/>
  <c r="P153" i="1"/>
  <c r="R153" i="1"/>
  <c r="S57" i="1"/>
  <c r="U57" i="1"/>
  <c r="R51" i="1"/>
  <c r="P51" i="1"/>
  <c r="O50" i="1"/>
  <c r="R279" i="1"/>
  <c r="P279" i="1"/>
  <c r="U142" i="1"/>
  <c r="S142" i="1"/>
  <c r="R188" i="1"/>
  <c r="P188" i="1"/>
  <c r="AA121" i="1"/>
  <c r="AB121" i="1" s="1"/>
  <c r="Y121" i="1"/>
  <c r="U165" i="1"/>
  <c r="S165" i="1"/>
  <c r="AA204" i="1"/>
  <c r="AB204" i="1" s="1"/>
  <c r="Y204" i="1"/>
  <c r="AA186" i="1"/>
  <c r="AB186" i="1" s="1"/>
  <c r="Y186" i="1"/>
  <c r="R189" i="1"/>
  <c r="P189" i="1"/>
  <c r="AA228" i="1"/>
  <c r="AB228" i="1" s="1"/>
  <c r="Y228" i="1"/>
  <c r="P253" i="1"/>
  <c r="O252" i="1"/>
  <c r="R253" i="1"/>
  <c r="R278" i="1"/>
  <c r="P278" i="1"/>
  <c r="O277" i="1"/>
  <c r="P277" i="1" s="1"/>
  <c r="S200" i="1"/>
  <c r="U200" i="1"/>
  <c r="U77" i="1"/>
  <c r="S77" i="1"/>
  <c r="X212" i="1"/>
  <c r="V212" i="1"/>
  <c r="P276" i="1"/>
  <c r="R276" i="1"/>
  <c r="U183" i="1"/>
  <c r="S183" i="1"/>
  <c r="AA119" i="1"/>
  <c r="AB119" i="1" s="1"/>
  <c r="Y119" i="1"/>
  <c r="AA219" i="1"/>
  <c r="Y219" i="1"/>
  <c r="S194" i="1"/>
  <c r="U194" i="1"/>
  <c r="L43" i="1"/>
  <c r="M50" i="1"/>
  <c r="AA123" i="1"/>
  <c r="AB123" i="1" s="1"/>
  <c r="Y123" i="1"/>
  <c r="U40" i="1"/>
  <c r="U37" i="1" s="1"/>
  <c r="S40" i="1"/>
  <c r="V182" i="1"/>
  <c r="X182" i="1"/>
  <c r="U20" i="1"/>
  <c r="S20" i="1"/>
  <c r="R19" i="1"/>
  <c r="S19" i="1" s="1"/>
  <c r="R195" i="1"/>
  <c r="P195" i="1"/>
  <c r="X216" i="1"/>
  <c r="V216" i="1"/>
  <c r="V296" i="1"/>
  <c r="R248" i="1"/>
  <c r="O247" i="1"/>
  <c r="P247" i="1" s="1"/>
  <c r="P248" i="1"/>
  <c r="S135" i="1"/>
  <c r="U135" i="1"/>
  <c r="X61" i="1"/>
  <c r="V61" i="1"/>
  <c r="M252" i="1"/>
  <c r="L251" i="1"/>
  <c r="M251" i="1" s="1"/>
  <c r="U68" i="1"/>
  <c r="S68" i="1"/>
  <c r="U148" i="1"/>
  <c r="V149" i="1"/>
  <c r="X149" i="1"/>
  <c r="S286" i="1"/>
  <c r="U286" i="1"/>
  <c r="U30" i="1"/>
  <c r="S30" i="1"/>
  <c r="J43" i="1"/>
  <c r="I42" i="1"/>
  <c r="J42" i="1" s="1"/>
  <c r="P295" i="1"/>
  <c r="R295" i="1"/>
  <c r="O293" i="1"/>
  <c r="P293" i="1" s="1"/>
  <c r="R28" i="1"/>
  <c r="P28" i="1"/>
  <c r="O27" i="1"/>
  <c r="P27" i="1" s="1"/>
  <c r="P193" i="1"/>
  <c r="O192" i="1"/>
  <c r="P274" i="1"/>
  <c r="R274" i="1"/>
  <c r="U99" i="1"/>
  <c r="S99" i="1"/>
  <c r="X97" i="1"/>
  <c r="V97" i="1"/>
  <c r="U95" i="1"/>
  <c r="U199" i="1"/>
  <c r="S199" i="1"/>
  <c r="U32" i="1"/>
  <c r="S32" i="1"/>
  <c r="S215" i="1"/>
  <c r="V87" i="1"/>
  <c r="X87" i="1"/>
  <c r="X48" i="1"/>
  <c r="V48" i="1"/>
  <c r="U47" i="1"/>
  <c r="S53" i="1"/>
  <c r="U53" i="1"/>
  <c r="X214" i="1"/>
  <c r="V214" i="1"/>
  <c r="U114" i="1"/>
  <c r="S114" i="1"/>
  <c r="U115" i="1"/>
  <c r="S115" i="1"/>
  <c r="U138" i="1"/>
  <c r="S138" i="1"/>
  <c r="U147" i="1"/>
  <c r="S147" i="1"/>
  <c r="U139" i="1"/>
  <c r="S139" i="1"/>
  <c r="R25" i="1"/>
  <c r="P25" i="1"/>
  <c r="R13" i="1"/>
  <c r="S13" i="1" s="1"/>
  <c r="S14" i="1"/>
  <c r="U14" i="1"/>
  <c r="U78" i="1"/>
  <c r="S78" i="1"/>
  <c r="Y269" i="1"/>
  <c r="AA269" i="1"/>
  <c r="AB269" i="1" s="1"/>
  <c r="U85" i="1"/>
  <c r="S85" i="1"/>
  <c r="AA118" i="1"/>
  <c r="AB118" i="1" s="1"/>
  <c r="Y118" i="1"/>
  <c r="Y260" i="1"/>
  <c r="AA260" i="1"/>
  <c r="AB260" i="1" s="1"/>
  <c r="X38" i="1"/>
  <c r="V38" i="1"/>
  <c r="U156" i="1"/>
  <c r="S156" i="1"/>
  <c r="S80" i="1"/>
  <c r="U80" i="1"/>
  <c r="AA100" i="1"/>
  <c r="AB100" i="1" s="1"/>
  <c r="Y100" i="1"/>
  <c r="AA298" i="1"/>
  <c r="Y298" i="1"/>
  <c r="X296" i="1"/>
  <c r="Y296" i="1" s="1"/>
  <c r="S70" i="1"/>
  <c r="U70" i="1"/>
  <c r="AA242" i="1"/>
  <c r="AB242" i="1" s="1"/>
  <c r="Y242" i="1"/>
  <c r="R111" i="1"/>
  <c r="S111" i="1" s="1"/>
  <c r="U112" i="1"/>
  <c r="S112" i="1"/>
  <c r="S257" i="1"/>
  <c r="U257" i="1"/>
  <c r="U177" i="1"/>
  <c r="S177" i="1"/>
  <c r="L143" i="1"/>
  <c r="M144" i="1"/>
  <c r="U67" i="1"/>
  <c r="S67" i="1"/>
  <c r="P289" i="1"/>
  <c r="R289" i="1"/>
  <c r="U141" i="1"/>
  <c r="S141" i="1"/>
  <c r="P155" i="1"/>
  <c r="O154" i="1"/>
  <c r="P154" i="1" s="1"/>
  <c r="R155" i="1"/>
  <c r="J22" i="1"/>
  <c r="R181" i="1"/>
  <c r="R178" i="1" s="1"/>
  <c r="P181" i="1"/>
  <c r="AA234" i="1"/>
  <c r="AB234" i="1" s="1"/>
  <c r="Y234" i="1"/>
  <c r="R81" i="1"/>
  <c r="P81" i="1"/>
  <c r="R86" i="1"/>
  <c r="P86" i="1"/>
  <c r="X39" i="1"/>
  <c r="V39" i="1"/>
  <c r="V46" i="1"/>
  <c r="X46" i="1"/>
  <c r="U52" i="1"/>
  <c r="S52" i="1"/>
  <c r="S272" i="1"/>
  <c r="U272" i="1"/>
  <c r="S175" i="1"/>
  <c r="U175" i="1"/>
  <c r="X15" i="1"/>
  <c r="V15" i="1"/>
  <c r="U173" i="1"/>
  <c r="S173" i="1"/>
  <c r="S159" i="1"/>
  <c r="U159" i="1"/>
  <c r="S75" i="1"/>
  <c r="U75" i="1"/>
  <c r="U82" i="1"/>
  <c r="S82" i="1"/>
  <c r="R232" i="1"/>
  <c r="P232" i="1"/>
  <c r="O231" i="1"/>
  <c r="U217" i="1"/>
  <c r="U215" i="1" s="1"/>
  <c r="S217" i="1"/>
  <c r="S158" i="1"/>
  <c r="U158" i="1"/>
  <c r="U79" i="1"/>
  <c r="S79" i="1"/>
  <c r="U174" i="1"/>
  <c r="S174" i="1"/>
  <c r="U162" i="1"/>
  <c r="S162" i="1"/>
  <c r="U73" i="1"/>
  <c r="S73" i="1"/>
  <c r="U136" i="1"/>
  <c r="S136" i="1"/>
  <c r="U292" i="1"/>
  <c r="S292" i="1"/>
  <c r="R10" i="1"/>
  <c r="U11" i="1"/>
  <c r="S11" i="1"/>
  <c r="X134" i="1"/>
  <c r="V134" i="1"/>
  <c r="R130" i="1"/>
  <c r="U131" i="1"/>
  <c r="S131" i="1"/>
  <c r="X211" i="1"/>
  <c r="V211" i="1"/>
  <c r="O144" i="1"/>
  <c r="P145" i="1"/>
  <c r="R145" i="1"/>
  <c r="U267" i="1"/>
  <c r="S267" i="1"/>
  <c r="M231" i="1"/>
  <c r="V74" i="1"/>
  <c r="X74" i="1"/>
  <c r="U56" i="1"/>
  <c r="S56" i="1"/>
  <c r="O102" i="1"/>
  <c r="P102" i="1" s="1"/>
  <c r="V190" i="1" l="1"/>
  <c r="X190" i="1"/>
  <c r="S256" i="1"/>
  <c r="U256" i="1"/>
  <c r="P192" i="1"/>
  <c r="U270" i="1"/>
  <c r="S270" i="1"/>
  <c r="U88" i="1"/>
  <c r="X89" i="1"/>
  <c r="V89" i="1"/>
  <c r="U101" i="1"/>
  <c r="U98" i="1" s="1"/>
  <c r="S101" i="1"/>
  <c r="S160" i="1"/>
  <c r="U160" i="1"/>
  <c r="X283" i="1"/>
  <c r="V283" i="1"/>
  <c r="U58" i="1"/>
  <c r="S58" i="1"/>
  <c r="S69" i="1"/>
  <c r="U69" i="1"/>
  <c r="S222" i="1"/>
  <c r="U222" i="1"/>
  <c r="X157" i="1"/>
  <c r="V157" i="1"/>
  <c r="U110" i="1"/>
  <c r="S110" i="1"/>
  <c r="U294" i="1"/>
  <c r="S294" i="1"/>
  <c r="X71" i="1"/>
  <c r="V71" i="1"/>
  <c r="X166" i="1"/>
  <c r="V166" i="1"/>
  <c r="I107" i="1"/>
  <c r="I124" i="1" s="1"/>
  <c r="R202" i="1"/>
  <c r="S202" i="1" s="1"/>
  <c r="U203" i="1"/>
  <c r="S203" i="1"/>
  <c r="U206" i="1"/>
  <c r="S206" i="1"/>
  <c r="X236" i="1"/>
  <c r="V236" i="1"/>
  <c r="R108" i="1"/>
  <c r="S108" i="1" s="1"/>
  <c r="U109" i="1"/>
  <c r="S109" i="1"/>
  <c r="U287" i="1"/>
  <c r="S287" i="1"/>
  <c r="V90" i="1"/>
  <c r="X90" i="1"/>
  <c r="U54" i="1"/>
  <c r="S54" i="1"/>
  <c r="AA151" i="1"/>
  <c r="AB151" i="1" s="1"/>
  <c r="Y151" i="1"/>
  <c r="V163" i="1"/>
  <c r="X163" i="1"/>
  <c r="L229" i="1"/>
  <c r="M229" i="1" s="1"/>
  <c r="S223" i="1"/>
  <c r="U223" i="1"/>
  <c r="AA196" i="1"/>
  <c r="AB196" i="1" s="1"/>
  <c r="Y196" i="1"/>
  <c r="V268" i="1"/>
  <c r="X268" i="1"/>
  <c r="V215" i="1"/>
  <c r="S178" i="1"/>
  <c r="R172" i="1"/>
  <c r="S172" i="1" s="1"/>
  <c r="X136" i="1"/>
  <c r="V136" i="1"/>
  <c r="X174" i="1"/>
  <c r="V174" i="1"/>
  <c r="X75" i="1"/>
  <c r="V75" i="1"/>
  <c r="V272" i="1"/>
  <c r="X272" i="1"/>
  <c r="S86" i="1"/>
  <c r="U86" i="1"/>
  <c r="X147" i="1"/>
  <c r="V147" i="1"/>
  <c r="X32" i="1"/>
  <c r="V32" i="1"/>
  <c r="U274" i="1"/>
  <c r="S274" i="1"/>
  <c r="AA216" i="1"/>
  <c r="Y216" i="1"/>
  <c r="S189" i="1"/>
  <c r="U189" i="1"/>
  <c r="V142" i="1"/>
  <c r="X142" i="1"/>
  <c r="U16" i="1"/>
  <c r="X17" i="1"/>
  <c r="V17" i="1"/>
  <c r="AA31" i="1"/>
  <c r="AB31" i="1" s="1"/>
  <c r="Y31" i="1"/>
  <c r="U265" i="1"/>
  <c r="S265" i="1"/>
  <c r="R264" i="1"/>
  <c r="V197" i="1"/>
  <c r="X197" i="1"/>
  <c r="M22" i="1"/>
  <c r="X254" i="1"/>
  <c r="V254" i="1"/>
  <c r="AA74" i="1"/>
  <c r="AB74" i="1" s="1"/>
  <c r="Y74" i="1"/>
  <c r="U130" i="1"/>
  <c r="X131" i="1"/>
  <c r="V131" i="1"/>
  <c r="U289" i="1"/>
  <c r="S289" i="1"/>
  <c r="AB298" i="1"/>
  <c r="AA296" i="1"/>
  <c r="AB296" i="1" s="1"/>
  <c r="X78" i="1"/>
  <c r="V78" i="1"/>
  <c r="V47" i="1"/>
  <c r="V30" i="1"/>
  <c r="X30" i="1"/>
  <c r="V40" i="1"/>
  <c r="X40" i="1"/>
  <c r="Y230" i="1"/>
  <c r="AA230" i="1"/>
  <c r="P264" i="1"/>
  <c r="O263" i="1"/>
  <c r="P263" i="1" s="1"/>
  <c r="X44" i="1"/>
  <c r="V44" i="1"/>
  <c r="X290" i="1"/>
  <c r="V290" i="1"/>
  <c r="S168" i="1"/>
  <c r="U168" i="1"/>
  <c r="S237" i="1"/>
  <c r="U237" i="1"/>
  <c r="R235" i="1"/>
  <c r="S235" i="1" s="1"/>
  <c r="U261" i="1"/>
  <c r="S261" i="1"/>
  <c r="AA227" i="1"/>
  <c r="AB227" i="1" s="1"/>
  <c r="Y227" i="1"/>
  <c r="AA209" i="1"/>
  <c r="Y209" i="1"/>
  <c r="X208" i="1"/>
  <c r="X84" i="1"/>
  <c r="V84" i="1"/>
  <c r="S130" i="1"/>
  <c r="X79" i="1"/>
  <c r="V79" i="1"/>
  <c r="V159" i="1"/>
  <c r="X159" i="1"/>
  <c r="U81" i="1"/>
  <c r="S81" i="1"/>
  <c r="AA38" i="1"/>
  <c r="Y38" i="1"/>
  <c r="U13" i="1"/>
  <c r="X14" i="1"/>
  <c r="V14" i="1"/>
  <c r="X138" i="1"/>
  <c r="V138" i="1"/>
  <c r="X199" i="1"/>
  <c r="V199" i="1"/>
  <c r="V286" i="1"/>
  <c r="X286" i="1"/>
  <c r="AA61" i="1"/>
  <c r="AB61" i="1" s="1"/>
  <c r="Y61" i="1"/>
  <c r="U279" i="1"/>
  <c r="S279" i="1"/>
  <c r="AA137" i="1"/>
  <c r="AB137" i="1" s="1"/>
  <c r="Y137" i="1"/>
  <c r="V94" i="1"/>
  <c r="X94" i="1"/>
  <c r="U198" i="1"/>
  <c r="S198" i="1"/>
  <c r="X18" i="1"/>
  <c r="V18" i="1"/>
  <c r="U7" i="1"/>
  <c r="X8" i="1"/>
  <c r="V8" i="1"/>
  <c r="X158" i="1"/>
  <c r="V158" i="1"/>
  <c r="R66" i="1"/>
  <c r="S66" i="1" s="1"/>
  <c r="V37" i="1"/>
  <c r="AA48" i="1"/>
  <c r="Y48" i="1"/>
  <c r="X47" i="1"/>
  <c r="Y47" i="1" s="1"/>
  <c r="X135" i="1"/>
  <c r="V135" i="1"/>
  <c r="V183" i="1"/>
  <c r="X183" i="1"/>
  <c r="O43" i="1"/>
  <c r="P50" i="1"/>
  <c r="U221" i="1"/>
  <c r="S221" i="1"/>
  <c r="R218" i="1"/>
  <c r="Y275" i="1"/>
  <c r="AA275" i="1"/>
  <c r="AB275" i="1" s="1"/>
  <c r="U34" i="1"/>
  <c r="X35" i="1"/>
  <c r="V35" i="1"/>
  <c r="Y249" i="1"/>
  <c r="AA249" i="1"/>
  <c r="AB249" i="1" s="1"/>
  <c r="Y255" i="1"/>
  <c r="AA255" i="1"/>
  <c r="AB255" i="1" s="1"/>
  <c r="AA64" i="1"/>
  <c r="AB64" i="1" s="1"/>
  <c r="Y64" i="1"/>
  <c r="Y187" i="1"/>
  <c r="AA187" i="1"/>
  <c r="AB187" i="1" s="1"/>
  <c r="X244" i="1"/>
  <c r="V244" i="1"/>
  <c r="S7" i="1"/>
  <c r="R6" i="1"/>
  <c r="S6" i="1" s="1"/>
  <c r="AA134" i="1"/>
  <c r="AB134" i="1" s="1"/>
  <c r="Y134" i="1"/>
  <c r="X52" i="1"/>
  <c r="V52" i="1"/>
  <c r="U155" i="1"/>
  <c r="S155" i="1"/>
  <c r="R154" i="1"/>
  <c r="S154" i="1" s="1"/>
  <c r="X115" i="1"/>
  <c r="V115" i="1"/>
  <c r="Y149" i="1"/>
  <c r="X148" i="1"/>
  <c r="Y148" i="1" s="1"/>
  <c r="AA149" i="1"/>
  <c r="U276" i="1"/>
  <c r="S276" i="1"/>
  <c r="U245" i="1"/>
  <c r="U243" i="1" s="1"/>
  <c r="S245" i="1"/>
  <c r="X117" i="1"/>
  <c r="V117" i="1"/>
  <c r="F302" i="1"/>
  <c r="G302" i="1" s="1"/>
  <c r="G124" i="1"/>
  <c r="X73" i="1"/>
  <c r="V73" i="1"/>
  <c r="Y46" i="1"/>
  <c r="AA46" i="1"/>
  <c r="AB46" i="1" s="1"/>
  <c r="V67" i="1"/>
  <c r="X67" i="1"/>
  <c r="X112" i="1"/>
  <c r="U111" i="1"/>
  <c r="V112" i="1"/>
  <c r="V95" i="1"/>
  <c r="U195" i="1"/>
  <c r="S195" i="1"/>
  <c r="M43" i="1"/>
  <c r="L42" i="1"/>
  <c r="M42" i="1" s="1"/>
  <c r="S278" i="1"/>
  <c r="R277" i="1"/>
  <c r="S277" i="1" s="1"/>
  <c r="U278" i="1"/>
  <c r="U51" i="1"/>
  <c r="R50" i="1"/>
  <c r="S51" i="1"/>
  <c r="O22" i="1"/>
  <c r="X26" i="1"/>
  <c r="V26" i="1"/>
  <c r="Y76" i="1"/>
  <c r="AA76" i="1"/>
  <c r="AB76" i="1" s="1"/>
  <c r="X24" i="1"/>
  <c r="V24" i="1"/>
  <c r="O207" i="1"/>
  <c r="P207" i="1" s="1"/>
  <c r="AA210" i="1"/>
  <c r="AB210" i="1" s="1"/>
  <c r="Y210" i="1"/>
  <c r="U105" i="1"/>
  <c r="S105" i="1"/>
  <c r="X12" i="1"/>
  <c r="V12" i="1"/>
  <c r="X113" i="1"/>
  <c r="V113" i="1"/>
  <c r="V300" i="1"/>
  <c r="X300" i="1"/>
  <c r="V267" i="1"/>
  <c r="X267" i="1"/>
  <c r="X217" i="1"/>
  <c r="X215" i="1" s="1"/>
  <c r="Y215" i="1" s="1"/>
  <c r="V217" i="1"/>
  <c r="V173" i="1"/>
  <c r="X173" i="1"/>
  <c r="X80" i="1"/>
  <c r="V80" i="1"/>
  <c r="U25" i="1"/>
  <c r="U23" i="1" s="1"/>
  <c r="S25" i="1"/>
  <c r="V114" i="1"/>
  <c r="X114" i="1"/>
  <c r="R27" i="1"/>
  <c r="S27" i="1" s="1"/>
  <c r="U28" i="1"/>
  <c r="S28" i="1"/>
  <c r="V148" i="1"/>
  <c r="V194" i="1"/>
  <c r="X194" i="1"/>
  <c r="R252" i="1"/>
  <c r="S253" i="1"/>
  <c r="U253" i="1"/>
  <c r="X165" i="1"/>
  <c r="V165" i="1"/>
  <c r="X57" i="1"/>
  <c r="V57" i="1"/>
  <c r="X104" i="1"/>
  <c r="V104" i="1"/>
  <c r="R23" i="1"/>
  <c r="O91" i="1"/>
  <c r="P91" i="1" s="1"/>
  <c r="P92" i="1"/>
  <c r="X63" i="1"/>
  <c r="V63" i="1"/>
  <c r="X55" i="1"/>
  <c r="V55" i="1"/>
  <c r="AA36" i="1"/>
  <c r="AB36" i="1" s="1"/>
  <c r="Y36" i="1"/>
  <c r="U83" i="1"/>
  <c r="S83" i="1"/>
  <c r="AA201" i="1"/>
  <c r="AB201" i="1" s="1"/>
  <c r="Y201" i="1"/>
  <c r="S145" i="1"/>
  <c r="R144" i="1"/>
  <c r="U145" i="1"/>
  <c r="X11" i="1"/>
  <c r="V11" i="1"/>
  <c r="U10" i="1"/>
  <c r="P231" i="1"/>
  <c r="M143" i="1"/>
  <c r="L299" i="1"/>
  <c r="Y97" i="1"/>
  <c r="X95" i="1"/>
  <c r="Y95" i="1" s="1"/>
  <c r="AA97" i="1"/>
  <c r="U248" i="1"/>
  <c r="S248" i="1"/>
  <c r="R247" i="1"/>
  <c r="S247" i="1" s="1"/>
  <c r="R193" i="1"/>
  <c r="O251" i="1"/>
  <c r="P251" i="1" s="1"/>
  <c r="P252" i="1"/>
  <c r="U233" i="1"/>
  <c r="S233" i="1"/>
  <c r="X246" i="1"/>
  <c r="V246" i="1"/>
  <c r="V60" i="1"/>
  <c r="X60" i="1"/>
  <c r="S262" i="1"/>
  <c r="U262" i="1"/>
  <c r="X21" i="1"/>
  <c r="V21" i="1"/>
  <c r="S241" i="1"/>
  <c r="U241" i="1"/>
  <c r="R239" i="1"/>
  <c r="S239" i="1" s="1"/>
  <c r="U185" i="1"/>
  <c r="S185" i="1"/>
  <c r="R9" i="1"/>
  <c r="S9" i="1" s="1"/>
  <c r="S10" i="1"/>
  <c r="U181" i="1"/>
  <c r="U178" i="1" s="1"/>
  <c r="S181" i="1"/>
  <c r="X141" i="1"/>
  <c r="V141" i="1"/>
  <c r="AA87" i="1"/>
  <c r="AB87" i="1" s="1"/>
  <c r="Y87" i="1"/>
  <c r="U295" i="1"/>
  <c r="S295" i="1"/>
  <c r="R293" i="1"/>
  <c r="S293" i="1" s="1"/>
  <c r="U19" i="1"/>
  <c r="X20" i="1"/>
  <c r="V20" i="1"/>
  <c r="Y212" i="1"/>
  <c r="AA212" i="1"/>
  <c r="AB212" i="1" s="1"/>
  <c r="O150" i="1"/>
  <c r="P150" i="1" s="1"/>
  <c r="AB205" i="1"/>
  <c r="U93" i="1"/>
  <c r="S93" i="1"/>
  <c r="R92" i="1"/>
  <c r="V238" i="1"/>
  <c r="X238" i="1"/>
  <c r="V62" i="1"/>
  <c r="X62" i="1"/>
  <c r="X132" i="1"/>
  <c r="V132" i="1"/>
  <c r="X179" i="1"/>
  <c r="V179" i="1"/>
  <c r="AA291" i="1"/>
  <c r="AB291" i="1" s="1"/>
  <c r="Y291" i="1"/>
  <c r="U285" i="1"/>
  <c r="R284" i="1"/>
  <c r="S284" i="1" s="1"/>
  <c r="S285" i="1"/>
  <c r="AA224" i="1"/>
  <c r="AB224" i="1" s="1"/>
  <c r="Y224" i="1"/>
  <c r="O143" i="1"/>
  <c r="P144" i="1"/>
  <c r="U232" i="1"/>
  <c r="S232" i="1"/>
  <c r="R231" i="1"/>
  <c r="AA15" i="1"/>
  <c r="AB15" i="1" s="1"/>
  <c r="Y15" i="1"/>
  <c r="X177" i="1"/>
  <c r="V177" i="1"/>
  <c r="V70" i="1"/>
  <c r="X70" i="1"/>
  <c r="V85" i="1"/>
  <c r="X85" i="1"/>
  <c r="AA214" i="1"/>
  <c r="AB214" i="1" s="1"/>
  <c r="Y214" i="1"/>
  <c r="V68" i="1"/>
  <c r="X68" i="1"/>
  <c r="S153" i="1"/>
  <c r="U153" i="1"/>
  <c r="X266" i="1"/>
  <c r="V266" i="1"/>
  <c r="AB240" i="1"/>
  <c r="J299" i="1"/>
  <c r="I301" i="1"/>
  <c r="J301" i="1" s="1"/>
  <c r="X33" i="1"/>
  <c r="V33" i="1"/>
  <c r="Y271" i="1"/>
  <c r="AA271" i="1"/>
  <c r="AB271" i="1" s="1"/>
  <c r="S258" i="1"/>
  <c r="U258" i="1"/>
  <c r="V292" i="1"/>
  <c r="X292" i="1"/>
  <c r="X162" i="1"/>
  <c r="V162" i="1"/>
  <c r="X175" i="1"/>
  <c r="V175" i="1"/>
  <c r="AA39" i="1"/>
  <c r="AB39" i="1" s="1"/>
  <c r="Y39" i="1"/>
  <c r="V257" i="1"/>
  <c r="X257" i="1"/>
  <c r="V139" i="1"/>
  <c r="X139" i="1"/>
  <c r="X53" i="1"/>
  <c r="V53" i="1"/>
  <c r="X99" i="1"/>
  <c r="V99" i="1"/>
  <c r="AA182" i="1"/>
  <c r="AB182" i="1" s="1"/>
  <c r="Y182" i="1"/>
  <c r="V77" i="1"/>
  <c r="X77" i="1"/>
  <c r="U188" i="1"/>
  <c r="S188" i="1"/>
  <c r="Y250" i="1"/>
  <c r="AA250" i="1"/>
  <c r="AB250" i="1" s="1"/>
  <c r="AA180" i="1"/>
  <c r="AB180" i="1" s="1"/>
  <c r="Y180" i="1"/>
  <c r="U282" i="1"/>
  <c r="S282" i="1"/>
  <c r="R281" i="1"/>
  <c r="S281" i="1" s="1"/>
  <c r="X65" i="1"/>
  <c r="V65" i="1"/>
  <c r="V133" i="1"/>
  <c r="X133" i="1"/>
  <c r="AA29" i="1"/>
  <c r="AB29" i="1" s="1"/>
  <c r="Y29" i="1"/>
  <c r="AA225" i="1"/>
  <c r="AB225" i="1" s="1"/>
  <c r="Y225" i="1"/>
  <c r="R102" i="1"/>
  <c r="S102" i="1" s="1"/>
  <c r="X56" i="1"/>
  <c r="V56" i="1"/>
  <c r="Y211" i="1"/>
  <c r="AA211" i="1"/>
  <c r="AB211" i="1" s="1"/>
  <c r="X82" i="1"/>
  <c r="V82" i="1"/>
  <c r="X156" i="1"/>
  <c r="V156" i="1"/>
  <c r="AB219" i="1"/>
  <c r="X200" i="1"/>
  <c r="V200" i="1"/>
  <c r="V72" i="1"/>
  <c r="X72" i="1"/>
  <c r="U288" i="1"/>
  <c r="S288" i="1"/>
  <c r="AA41" i="1"/>
  <c r="AB41" i="1" s="1"/>
  <c r="Y41" i="1"/>
  <c r="AA103" i="1"/>
  <c r="Y103" i="1"/>
  <c r="V208" i="1"/>
  <c r="X120" i="1"/>
  <c r="V120" i="1"/>
  <c r="X45" i="1"/>
  <c r="V45" i="1"/>
  <c r="AA190" i="1" l="1"/>
  <c r="AB190" i="1" s="1"/>
  <c r="Y190" i="1"/>
  <c r="U172" i="1"/>
  <c r="O229" i="1"/>
  <c r="P229" i="1" s="1"/>
  <c r="J107" i="1"/>
  <c r="X270" i="1"/>
  <c r="V270" i="1"/>
  <c r="X256" i="1"/>
  <c r="V256" i="1"/>
  <c r="AA268" i="1"/>
  <c r="AB268" i="1" s="1"/>
  <c r="Y268" i="1"/>
  <c r="AA236" i="1"/>
  <c r="AB236" i="1" s="1"/>
  <c r="Y236" i="1"/>
  <c r="AA71" i="1"/>
  <c r="AB71" i="1" s="1"/>
  <c r="Y71" i="1"/>
  <c r="X58" i="1"/>
  <c r="V58" i="1"/>
  <c r="X206" i="1"/>
  <c r="V206" i="1"/>
  <c r="V54" i="1"/>
  <c r="X54" i="1"/>
  <c r="AA283" i="1"/>
  <c r="AB283" i="1" s="1"/>
  <c r="Y283" i="1"/>
  <c r="X223" i="1"/>
  <c r="V223" i="1"/>
  <c r="X203" i="1"/>
  <c r="U202" i="1"/>
  <c r="V203" i="1"/>
  <c r="X110" i="1"/>
  <c r="V110" i="1"/>
  <c r="X160" i="1"/>
  <c r="V160" i="1"/>
  <c r="AA90" i="1"/>
  <c r="AB90" i="1" s="1"/>
  <c r="Y90" i="1"/>
  <c r="V287" i="1"/>
  <c r="X287" i="1"/>
  <c r="Y157" i="1"/>
  <c r="AA157" i="1"/>
  <c r="AB157" i="1" s="1"/>
  <c r="Y163" i="1"/>
  <c r="AA163" i="1"/>
  <c r="AB163" i="1" s="1"/>
  <c r="X222" i="1"/>
  <c r="V222" i="1"/>
  <c r="X101" i="1"/>
  <c r="X98" i="1" s="1"/>
  <c r="Y98" i="1" s="1"/>
  <c r="V101" i="1"/>
  <c r="R150" i="1"/>
  <c r="S150" i="1" s="1"/>
  <c r="U66" i="1"/>
  <c r="V66" i="1" s="1"/>
  <c r="X109" i="1"/>
  <c r="V109" i="1"/>
  <c r="U108" i="1"/>
  <c r="V294" i="1"/>
  <c r="X294" i="1"/>
  <c r="AA166" i="1"/>
  <c r="AB166" i="1" s="1"/>
  <c r="Y166" i="1"/>
  <c r="X69" i="1"/>
  <c r="V69" i="1"/>
  <c r="AA89" i="1"/>
  <c r="X88" i="1"/>
  <c r="Y88" i="1" s="1"/>
  <c r="Y89" i="1"/>
  <c r="V88" i="1"/>
  <c r="V243" i="1"/>
  <c r="X262" i="1"/>
  <c r="V262" i="1"/>
  <c r="AA80" i="1"/>
  <c r="AB80" i="1" s="1"/>
  <c r="Y80" i="1"/>
  <c r="AA148" i="1"/>
  <c r="AB148" i="1" s="1"/>
  <c r="AB149" i="1"/>
  <c r="Y52" i="1"/>
  <c r="AA52" i="1"/>
  <c r="AB52" i="1" s="1"/>
  <c r="V34" i="1"/>
  <c r="AA135" i="1"/>
  <c r="AB135" i="1" s="1"/>
  <c r="Y135" i="1"/>
  <c r="Y158" i="1"/>
  <c r="AA158" i="1"/>
  <c r="AB158" i="1" s="1"/>
  <c r="X198" i="1"/>
  <c r="V198" i="1"/>
  <c r="AA79" i="1"/>
  <c r="AB79" i="1" s="1"/>
  <c r="Y79" i="1"/>
  <c r="Y44" i="1"/>
  <c r="AA44" i="1"/>
  <c r="AB44" i="1" s="1"/>
  <c r="AA142" i="1"/>
  <c r="AB142" i="1" s="1"/>
  <c r="Y142" i="1"/>
  <c r="AA75" i="1"/>
  <c r="AB75" i="1" s="1"/>
  <c r="Y75" i="1"/>
  <c r="AB103" i="1"/>
  <c r="X258" i="1"/>
  <c r="V258" i="1"/>
  <c r="AA266" i="1"/>
  <c r="AB266" i="1" s="1"/>
  <c r="Y266" i="1"/>
  <c r="R91" i="1"/>
  <c r="S91" i="1" s="1"/>
  <c r="S92" i="1"/>
  <c r="AA55" i="1"/>
  <c r="AB55" i="1" s="1"/>
  <c r="Y55" i="1"/>
  <c r="AA57" i="1"/>
  <c r="AB57" i="1" s="1"/>
  <c r="Y57" i="1"/>
  <c r="Y300" i="1"/>
  <c r="AA300" i="1"/>
  <c r="AB300" i="1" s="1"/>
  <c r="R43" i="1"/>
  <c r="S50" i="1"/>
  <c r="AA94" i="1"/>
  <c r="AB94" i="1" s="1"/>
  <c r="Y94" i="1"/>
  <c r="AB38" i="1"/>
  <c r="X261" i="1"/>
  <c r="V261" i="1"/>
  <c r="AA131" i="1"/>
  <c r="Y131" i="1"/>
  <c r="X130" i="1"/>
  <c r="U281" i="1"/>
  <c r="X282" i="1"/>
  <c r="V282" i="1"/>
  <c r="U50" i="1"/>
  <c r="X51" i="1"/>
  <c r="V51" i="1"/>
  <c r="Y112" i="1"/>
  <c r="X111" i="1"/>
  <c r="Y111" i="1" s="1"/>
  <c r="AA112" i="1"/>
  <c r="AA45" i="1"/>
  <c r="AB45" i="1" s="1"/>
  <c r="Y45" i="1"/>
  <c r="AA70" i="1"/>
  <c r="AB70" i="1" s="1"/>
  <c r="Y70" i="1"/>
  <c r="P143" i="1"/>
  <c r="O299" i="1"/>
  <c r="AB97" i="1"/>
  <c r="AA95" i="1"/>
  <c r="AB95" i="1" s="1"/>
  <c r="S144" i="1"/>
  <c r="R143" i="1"/>
  <c r="AA63" i="1"/>
  <c r="AB63" i="1" s="1"/>
  <c r="Y63" i="1"/>
  <c r="U27" i="1"/>
  <c r="V28" i="1"/>
  <c r="X28" i="1"/>
  <c r="V23" i="1"/>
  <c r="Y67" i="1"/>
  <c r="AA67" i="1"/>
  <c r="Y117" i="1"/>
  <c r="AA117" i="1"/>
  <c r="AB117" i="1" s="1"/>
  <c r="AB48" i="1"/>
  <c r="AA47" i="1"/>
  <c r="AB47" i="1" s="1"/>
  <c r="AB230" i="1"/>
  <c r="U264" i="1"/>
  <c r="X265" i="1"/>
  <c r="V265" i="1"/>
  <c r="Y200" i="1"/>
  <c r="AA200" i="1"/>
  <c r="AB200" i="1" s="1"/>
  <c r="S231" i="1"/>
  <c r="AA179" i="1"/>
  <c r="Y179" i="1"/>
  <c r="AA60" i="1"/>
  <c r="AB60" i="1" s="1"/>
  <c r="Y60" i="1"/>
  <c r="X189" i="1"/>
  <c r="V189" i="1"/>
  <c r="AA174" i="1"/>
  <c r="AB174" i="1" s="1"/>
  <c r="Y174" i="1"/>
  <c r="AA156" i="1"/>
  <c r="AB156" i="1" s="1"/>
  <c r="Y156" i="1"/>
  <c r="AA99" i="1"/>
  <c r="Y99" i="1"/>
  <c r="Y175" i="1"/>
  <c r="AA175" i="1"/>
  <c r="AB175" i="1" s="1"/>
  <c r="AA132" i="1"/>
  <c r="AB132" i="1" s="1"/>
  <c r="Y132" i="1"/>
  <c r="X241" i="1"/>
  <c r="V241" i="1"/>
  <c r="U239" i="1"/>
  <c r="AA165" i="1"/>
  <c r="AB165" i="1" s="1"/>
  <c r="Y165" i="1"/>
  <c r="AA113" i="1"/>
  <c r="AB113" i="1" s="1"/>
  <c r="Y113" i="1"/>
  <c r="Y115" i="1"/>
  <c r="AA115" i="1"/>
  <c r="AB115" i="1" s="1"/>
  <c r="X221" i="1"/>
  <c r="V221" i="1"/>
  <c r="U218" i="1"/>
  <c r="X7" i="1"/>
  <c r="AA8" i="1"/>
  <c r="Y8" i="1"/>
  <c r="Y138" i="1"/>
  <c r="AA138" i="1"/>
  <c r="AB138" i="1" s="1"/>
  <c r="I302" i="1"/>
  <c r="J124" i="1"/>
  <c r="AA84" i="1"/>
  <c r="AB84" i="1" s="1"/>
  <c r="Y84" i="1"/>
  <c r="V168" i="1"/>
  <c r="X168" i="1"/>
  <c r="X295" i="1"/>
  <c r="V295" i="1"/>
  <c r="U293" i="1"/>
  <c r="AA78" i="1"/>
  <c r="AB78" i="1" s="1"/>
  <c r="Y78" i="1"/>
  <c r="V288" i="1"/>
  <c r="X288" i="1"/>
  <c r="AA133" i="1"/>
  <c r="AB133" i="1" s="1"/>
  <c r="Y133" i="1"/>
  <c r="V153" i="1"/>
  <c r="X153" i="1"/>
  <c r="U252" i="1"/>
  <c r="X253" i="1"/>
  <c r="V253" i="1"/>
  <c r="AA114" i="1"/>
  <c r="AB114" i="1" s="1"/>
  <c r="Y114" i="1"/>
  <c r="V7" i="1"/>
  <c r="U6" i="1"/>
  <c r="Y40" i="1"/>
  <c r="AA40" i="1"/>
  <c r="AB40" i="1" s="1"/>
  <c r="AB216" i="1"/>
  <c r="V86" i="1"/>
  <c r="X86" i="1"/>
  <c r="AA85" i="1"/>
  <c r="AB85" i="1" s="1"/>
  <c r="Y85" i="1"/>
  <c r="X10" i="1"/>
  <c r="AA11" i="1"/>
  <c r="Y11" i="1"/>
  <c r="V111" i="1"/>
  <c r="U92" i="1"/>
  <c r="X93" i="1"/>
  <c r="V93" i="1"/>
  <c r="AA72" i="1"/>
  <c r="AB72" i="1" s="1"/>
  <c r="Y72" i="1"/>
  <c r="AA53" i="1"/>
  <c r="AB53" i="1" s="1"/>
  <c r="Y53" i="1"/>
  <c r="Y33" i="1"/>
  <c r="AA33" i="1"/>
  <c r="AB33" i="1" s="1"/>
  <c r="AA62" i="1"/>
  <c r="AB62" i="1" s="1"/>
  <c r="Y62" i="1"/>
  <c r="AA141" i="1"/>
  <c r="AB141" i="1" s="1"/>
  <c r="Y141" i="1"/>
  <c r="AA246" i="1"/>
  <c r="AB246" i="1" s="1"/>
  <c r="Y246" i="1"/>
  <c r="L301" i="1"/>
  <c r="M301" i="1" s="1"/>
  <c r="M299" i="1"/>
  <c r="AA12" i="1"/>
  <c r="AB12" i="1" s="1"/>
  <c r="Y12" i="1"/>
  <c r="P43" i="1"/>
  <c r="O42" i="1"/>
  <c r="P42" i="1" s="1"/>
  <c r="V279" i="1"/>
  <c r="X279" i="1"/>
  <c r="X81" i="1"/>
  <c r="V81" i="1"/>
  <c r="Y208" i="1"/>
  <c r="AA254" i="1"/>
  <c r="AB254" i="1" s="1"/>
  <c r="Y254" i="1"/>
  <c r="AA136" i="1"/>
  <c r="AB136" i="1" s="1"/>
  <c r="Y136" i="1"/>
  <c r="V232" i="1"/>
  <c r="U231" i="1"/>
  <c r="X232" i="1"/>
  <c r="R263" i="1"/>
  <c r="S263" i="1" s="1"/>
  <c r="S264" i="1"/>
  <c r="V98" i="1"/>
  <c r="X185" i="1"/>
  <c r="V185" i="1"/>
  <c r="Y173" i="1"/>
  <c r="AA173" i="1"/>
  <c r="S218" i="1"/>
  <c r="R207" i="1"/>
  <c r="S207" i="1" s="1"/>
  <c r="AA120" i="1"/>
  <c r="AB120" i="1" s="1"/>
  <c r="Y120" i="1"/>
  <c r="AA82" i="1"/>
  <c r="AB82" i="1" s="1"/>
  <c r="Y82" i="1"/>
  <c r="X188" i="1"/>
  <c r="V188" i="1"/>
  <c r="AA68" i="1"/>
  <c r="AB68" i="1" s="1"/>
  <c r="Y68" i="1"/>
  <c r="AA21" i="1"/>
  <c r="AB21" i="1" s="1"/>
  <c r="Y21" i="1"/>
  <c r="S23" i="1"/>
  <c r="R22" i="1"/>
  <c r="S252" i="1"/>
  <c r="R251" i="1"/>
  <c r="S251" i="1" s="1"/>
  <c r="AA217" i="1"/>
  <c r="AB217" i="1" s="1"/>
  <c r="Y217" i="1"/>
  <c r="AA183" i="1"/>
  <c r="AB183" i="1" s="1"/>
  <c r="Y183" i="1"/>
  <c r="X13" i="1"/>
  <c r="Y13" i="1" s="1"/>
  <c r="AA14" i="1"/>
  <c r="Y14" i="1"/>
  <c r="Y159" i="1"/>
  <c r="AA159" i="1"/>
  <c r="AB159" i="1" s="1"/>
  <c r="AA290" i="1"/>
  <c r="AB290" i="1" s="1"/>
  <c r="Y290" i="1"/>
  <c r="V289" i="1"/>
  <c r="X289" i="1"/>
  <c r="X274" i="1"/>
  <c r="V274" i="1"/>
  <c r="Y272" i="1"/>
  <c r="AA272" i="1"/>
  <c r="AB272" i="1" s="1"/>
  <c r="Y257" i="1"/>
  <c r="AA257" i="1"/>
  <c r="AB257" i="1" s="1"/>
  <c r="S193" i="1"/>
  <c r="R192" i="1"/>
  <c r="S192" i="1" s="1"/>
  <c r="AA147" i="1"/>
  <c r="AB147" i="1" s="1"/>
  <c r="Y147" i="1"/>
  <c r="V178" i="1"/>
  <c r="U277" i="1"/>
  <c r="X278" i="1"/>
  <c r="V278" i="1"/>
  <c r="AA139" i="1"/>
  <c r="AB139" i="1" s="1"/>
  <c r="Y139" i="1"/>
  <c r="X285" i="1"/>
  <c r="V285" i="1"/>
  <c r="U284" i="1"/>
  <c r="X181" i="1"/>
  <c r="X178" i="1" s="1"/>
  <c r="V181" i="1"/>
  <c r="X233" i="1"/>
  <c r="V233" i="1"/>
  <c r="V83" i="1"/>
  <c r="X83" i="1"/>
  <c r="AA194" i="1"/>
  <c r="Y194" i="1"/>
  <c r="Y267" i="1"/>
  <c r="AA267" i="1"/>
  <c r="AB267" i="1" s="1"/>
  <c r="AA26" i="1"/>
  <c r="AB26" i="1" s="1"/>
  <c r="Y26" i="1"/>
  <c r="X195" i="1"/>
  <c r="X193" i="1" s="1"/>
  <c r="V195" i="1"/>
  <c r="V245" i="1"/>
  <c r="X245" i="1"/>
  <c r="X243" i="1" s="1"/>
  <c r="Y243" i="1" s="1"/>
  <c r="V155" i="1"/>
  <c r="U154" i="1"/>
  <c r="X155" i="1"/>
  <c r="Y244" i="1"/>
  <c r="AA244" i="1"/>
  <c r="AA18" i="1"/>
  <c r="AB18" i="1" s="1"/>
  <c r="Y18" i="1"/>
  <c r="V13" i="1"/>
  <c r="AB209" i="1"/>
  <c r="AA208" i="1"/>
  <c r="AA30" i="1"/>
  <c r="AB30" i="1" s="1"/>
  <c r="Y30" i="1"/>
  <c r="L107" i="1"/>
  <c r="AA17" i="1"/>
  <c r="Y17" i="1"/>
  <c r="X16" i="1"/>
  <c r="Y16" i="1" s="1"/>
  <c r="V130" i="1"/>
  <c r="U247" i="1"/>
  <c r="V248" i="1"/>
  <c r="X248" i="1"/>
  <c r="AA199" i="1"/>
  <c r="AB199" i="1" s="1"/>
  <c r="Y199" i="1"/>
  <c r="X237" i="1"/>
  <c r="V237" i="1"/>
  <c r="U235" i="1"/>
  <c r="AA77" i="1"/>
  <c r="AB77" i="1" s="1"/>
  <c r="Y77" i="1"/>
  <c r="AA177" i="1"/>
  <c r="AB177" i="1" s="1"/>
  <c r="Y177" i="1"/>
  <c r="AA65" i="1"/>
  <c r="AB65" i="1" s="1"/>
  <c r="Y65" i="1"/>
  <c r="AA292" i="1"/>
  <c r="AB292" i="1" s="1"/>
  <c r="Y292" i="1"/>
  <c r="AA238" i="1"/>
  <c r="AB238" i="1" s="1"/>
  <c r="Y238" i="1"/>
  <c r="X19" i="1"/>
  <c r="Y19" i="1" s="1"/>
  <c r="Y20" i="1"/>
  <c r="AA20" i="1"/>
  <c r="Y104" i="1"/>
  <c r="AA104" i="1"/>
  <c r="AB104" i="1" s="1"/>
  <c r="U193" i="1"/>
  <c r="V25" i="1"/>
  <c r="X25" i="1"/>
  <c r="V105" i="1"/>
  <c r="X105" i="1"/>
  <c r="U102" i="1"/>
  <c r="AA286" i="1"/>
  <c r="AB286" i="1" s="1"/>
  <c r="Y286" i="1"/>
  <c r="V16" i="1"/>
  <c r="AA32" i="1"/>
  <c r="AB32" i="1" s="1"/>
  <c r="Y32" i="1"/>
  <c r="Y56" i="1"/>
  <c r="AA56" i="1"/>
  <c r="AB56" i="1" s="1"/>
  <c r="V172" i="1"/>
  <c r="U144" i="1"/>
  <c r="X145" i="1"/>
  <c r="V145" i="1"/>
  <c r="AA24" i="1"/>
  <c r="Y24" i="1"/>
  <c r="AA162" i="1"/>
  <c r="AB162" i="1" s="1"/>
  <c r="Y162" i="1"/>
  <c r="V19" i="1"/>
  <c r="U9" i="1"/>
  <c r="V10" i="1"/>
  <c r="P22" i="1"/>
  <c r="O107" i="1"/>
  <c r="AA73" i="1"/>
  <c r="AB73" i="1" s="1"/>
  <c r="Y73" i="1"/>
  <c r="V276" i="1"/>
  <c r="X276" i="1"/>
  <c r="AA35" i="1"/>
  <c r="Y35" i="1"/>
  <c r="X34" i="1"/>
  <c r="Y34" i="1" s="1"/>
  <c r="X37" i="1"/>
  <c r="Y37" i="1" s="1"/>
  <c r="AA197" i="1"/>
  <c r="AB197" i="1" s="1"/>
  <c r="Y197" i="1"/>
  <c r="Y256" i="1" l="1"/>
  <c r="AA256" i="1"/>
  <c r="AB256" i="1" s="1"/>
  <c r="Y270" i="1"/>
  <c r="AA270" i="1"/>
  <c r="AB270" i="1" s="1"/>
  <c r="Y206" i="1"/>
  <c r="AA206" i="1"/>
  <c r="AB206" i="1" s="1"/>
  <c r="AA88" i="1"/>
  <c r="AB88" i="1" s="1"/>
  <c r="AB89" i="1"/>
  <c r="Y287" i="1"/>
  <c r="AA287" i="1"/>
  <c r="AB287" i="1" s="1"/>
  <c r="V202" i="1"/>
  <c r="X202" i="1"/>
  <c r="Y202" i="1" s="1"/>
  <c r="AA203" i="1"/>
  <c r="Y203" i="1"/>
  <c r="Y69" i="1"/>
  <c r="AA69" i="1"/>
  <c r="AB69" i="1" s="1"/>
  <c r="R229" i="1"/>
  <c r="S229" i="1" s="1"/>
  <c r="AA101" i="1"/>
  <c r="AB101" i="1" s="1"/>
  <c r="Y101" i="1"/>
  <c r="Y223" i="1"/>
  <c r="AA223" i="1"/>
  <c r="AB223" i="1" s="1"/>
  <c r="AA58" i="1"/>
  <c r="AB58" i="1" s="1"/>
  <c r="Y58" i="1"/>
  <c r="AA294" i="1"/>
  <c r="AB294" i="1" s="1"/>
  <c r="Y294" i="1"/>
  <c r="Y222" i="1"/>
  <c r="AA222" i="1"/>
  <c r="AB222" i="1" s="1"/>
  <c r="Y160" i="1"/>
  <c r="AA160" i="1"/>
  <c r="AB160" i="1" s="1"/>
  <c r="AA54" i="1"/>
  <c r="AB54" i="1" s="1"/>
  <c r="Y54" i="1"/>
  <c r="X108" i="1"/>
  <c r="Y108" i="1" s="1"/>
  <c r="Y109" i="1"/>
  <c r="AA109" i="1"/>
  <c r="V108" i="1"/>
  <c r="Y110" i="1"/>
  <c r="AA110" i="1"/>
  <c r="AB110" i="1" s="1"/>
  <c r="Y178" i="1"/>
  <c r="X172" i="1"/>
  <c r="Y172" i="1" s="1"/>
  <c r="Y193" i="1"/>
  <c r="AA289" i="1"/>
  <c r="AB289" i="1" s="1"/>
  <c r="Y289" i="1"/>
  <c r="V293" i="1"/>
  <c r="AB179" i="1"/>
  <c r="X27" i="1"/>
  <c r="Y27" i="1" s="1"/>
  <c r="AA28" i="1"/>
  <c r="Y28" i="1"/>
  <c r="Y276" i="1"/>
  <c r="AA276" i="1"/>
  <c r="AB276" i="1" s="1"/>
  <c r="V154" i="1"/>
  <c r="V284" i="1"/>
  <c r="AA188" i="1"/>
  <c r="AB188" i="1" s="1"/>
  <c r="Y188" i="1"/>
  <c r="AA185" i="1"/>
  <c r="AB185" i="1" s="1"/>
  <c r="Y185" i="1"/>
  <c r="AA10" i="1"/>
  <c r="AB11" i="1"/>
  <c r="U150" i="1"/>
  <c r="AB99" i="1"/>
  <c r="AA98" i="1"/>
  <c r="AB98" i="1" s="1"/>
  <c r="X281" i="1"/>
  <c r="Y281" i="1" s="1"/>
  <c r="Y282" i="1"/>
  <c r="AA282" i="1"/>
  <c r="AB208" i="1"/>
  <c r="Y295" i="1"/>
  <c r="AA295" i="1"/>
  <c r="X293" i="1"/>
  <c r="Y293" i="1" s="1"/>
  <c r="V193" i="1"/>
  <c r="U192" i="1"/>
  <c r="X284" i="1"/>
  <c r="Y284" i="1" s="1"/>
  <c r="AA285" i="1"/>
  <c r="Y285" i="1"/>
  <c r="AA153" i="1"/>
  <c r="Y153" i="1"/>
  <c r="Y7" i="1"/>
  <c r="X6" i="1"/>
  <c r="Y6" i="1" s="1"/>
  <c r="AA25" i="1"/>
  <c r="AB25" i="1" s="1"/>
  <c r="Y25" i="1"/>
  <c r="AB194" i="1"/>
  <c r="AA258" i="1"/>
  <c r="AB258" i="1" s="1"/>
  <c r="Y258" i="1"/>
  <c r="AB24" i="1"/>
  <c r="V247" i="1"/>
  <c r="AA245" i="1"/>
  <c r="AB245" i="1" s="1"/>
  <c r="Y245" i="1"/>
  <c r="Y168" i="1"/>
  <c r="AA168" i="1"/>
  <c r="AB168" i="1" s="1"/>
  <c r="V218" i="1"/>
  <c r="U207" i="1"/>
  <c r="Y130" i="1"/>
  <c r="AA198" i="1"/>
  <c r="AB198" i="1" s="1"/>
  <c r="Y198" i="1"/>
  <c r="AA181" i="1"/>
  <c r="AB181" i="1" s="1"/>
  <c r="Y181" i="1"/>
  <c r="U251" i="1"/>
  <c r="V252" i="1"/>
  <c r="V6" i="1"/>
  <c r="V27" i="1"/>
  <c r="X23" i="1"/>
  <c r="AA83" i="1"/>
  <c r="AB83" i="1" s="1"/>
  <c r="Y83" i="1"/>
  <c r="AA86" i="1"/>
  <c r="AB86" i="1" s="1"/>
  <c r="Y86" i="1"/>
  <c r="AA241" i="1"/>
  <c r="Y241" i="1"/>
  <c r="X239" i="1"/>
  <c r="Y239" i="1" s="1"/>
  <c r="AA111" i="1"/>
  <c r="AB111" i="1" s="1"/>
  <c r="AB112" i="1"/>
  <c r="Y10" i="1"/>
  <c r="X9" i="1"/>
  <c r="Y9" i="1" s="1"/>
  <c r="V281" i="1"/>
  <c r="O124" i="1"/>
  <c r="P107" i="1"/>
  <c r="AA19" i="1"/>
  <c r="AB19" i="1" s="1"/>
  <c r="AB20" i="1"/>
  <c r="S22" i="1"/>
  <c r="Y221" i="1"/>
  <c r="AA221" i="1"/>
  <c r="X218" i="1"/>
  <c r="AB67" i="1"/>
  <c r="S143" i="1"/>
  <c r="AA130" i="1"/>
  <c r="AB131" i="1"/>
  <c r="X144" i="1"/>
  <c r="Y145" i="1"/>
  <c r="AA145" i="1"/>
  <c r="V235" i="1"/>
  <c r="Y195" i="1"/>
  <c r="AA195" i="1"/>
  <c r="AB195" i="1" s="1"/>
  <c r="AA232" i="1"/>
  <c r="Y232" i="1"/>
  <c r="X231" i="1"/>
  <c r="AA81" i="1"/>
  <c r="AB81" i="1" s="1"/>
  <c r="Y81" i="1"/>
  <c r="X92" i="1"/>
  <c r="AA93" i="1"/>
  <c r="Y93" i="1"/>
  <c r="Y288" i="1"/>
  <c r="AA288" i="1"/>
  <c r="AB288" i="1" s="1"/>
  <c r="Y189" i="1"/>
  <c r="AA189" i="1"/>
  <c r="AB189" i="1" s="1"/>
  <c r="AA262" i="1"/>
  <c r="AB262" i="1" s="1"/>
  <c r="Y262" i="1"/>
  <c r="AA7" i="1"/>
  <c r="AB8" i="1"/>
  <c r="S43" i="1"/>
  <c r="R42" i="1"/>
  <c r="S42" i="1" s="1"/>
  <c r="V102" i="1"/>
  <c r="Y233" i="1"/>
  <c r="AA233" i="1"/>
  <c r="AB233" i="1" s="1"/>
  <c r="X277" i="1"/>
  <c r="Y277" i="1" s="1"/>
  <c r="Y278" i="1"/>
  <c r="AA278" i="1"/>
  <c r="AA13" i="1"/>
  <c r="AB13" i="1" s="1"/>
  <c r="AB14" i="1"/>
  <c r="V92" i="1"/>
  <c r="U91" i="1"/>
  <c r="X66" i="1"/>
  <c r="Y66" i="1" s="1"/>
  <c r="AA261" i="1"/>
  <c r="AB261" i="1" s="1"/>
  <c r="Y261" i="1"/>
  <c r="V144" i="1"/>
  <c r="U143" i="1"/>
  <c r="AA105" i="1"/>
  <c r="AB105" i="1" s="1"/>
  <c r="Y105" i="1"/>
  <c r="X102" i="1"/>
  <c r="Y102" i="1" s="1"/>
  <c r="AB244" i="1"/>
  <c r="AB173" i="1"/>
  <c r="V231" i="1"/>
  <c r="AA279" i="1"/>
  <c r="AB279" i="1" s="1"/>
  <c r="Y279" i="1"/>
  <c r="AA215" i="1"/>
  <c r="AB215" i="1" s="1"/>
  <c r="X50" i="1"/>
  <c r="AA51" i="1"/>
  <c r="Y51" i="1"/>
  <c r="AA37" i="1"/>
  <c r="AB37" i="1" s="1"/>
  <c r="AA155" i="1"/>
  <c r="X154" i="1"/>
  <c r="Y154" i="1" s="1"/>
  <c r="Y155" i="1"/>
  <c r="V9" i="1"/>
  <c r="AA237" i="1"/>
  <c r="Y237" i="1"/>
  <c r="X235" i="1"/>
  <c r="Y235" i="1" s="1"/>
  <c r="AA16" i="1"/>
  <c r="AB16" i="1" s="1"/>
  <c r="AB17" i="1"/>
  <c r="V277" i="1"/>
  <c r="J302" i="1"/>
  <c r="Y265" i="1"/>
  <c r="X264" i="1"/>
  <c r="AA265" i="1"/>
  <c r="U22" i="1"/>
  <c r="V50" i="1"/>
  <c r="U43" i="1"/>
  <c r="AB35" i="1"/>
  <c r="AA34" i="1"/>
  <c r="AB34" i="1" s="1"/>
  <c r="Y248" i="1"/>
  <c r="AA248" i="1"/>
  <c r="X247" i="1"/>
  <c r="Y247" i="1" s="1"/>
  <c r="V239" i="1"/>
  <c r="L124" i="1"/>
  <c r="M107" i="1"/>
  <c r="Y274" i="1"/>
  <c r="AA274" i="1"/>
  <c r="AB274" i="1" s="1"/>
  <c r="X252" i="1"/>
  <c r="AA253" i="1"/>
  <c r="Y253" i="1"/>
  <c r="V264" i="1"/>
  <c r="U263" i="1"/>
  <c r="P299" i="1"/>
  <c r="O301" i="1"/>
  <c r="P301" i="1" s="1"/>
  <c r="R107" i="1" l="1"/>
  <c r="R124" i="1" s="1"/>
  <c r="R299" i="1"/>
  <c r="U229" i="1"/>
  <c r="AB109" i="1"/>
  <c r="AA108" i="1"/>
  <c r="AB108" i="1" s="1"/>
  <c r="AA23" i="1"/>
  <c r="AB23" i="1" s="1"/>
  <c r="X192" i="1"/>
  <c r="AB203" i="1"/>
  <c r="AA202" i="1"/>
  <c r="AB202" i="1" s="1"/>
  <c r="AB10" i="1"/>
  <c r="AA9" i="1"/>
  <c r="AB9" i="1" s="1"/>
  <c r="AA27" i="1"/>
  <c r="AB27" i="1" s="1"/>
  <c r="AB28" i="1"/>
  <c r="U42" i="1"/>
  <c r="U107" i="1" s="1"/>
  <c r="V43" i="1"/>
  <c r="Y50" i="1"/>
  <c r="X43" i="1"/>
  <c r="O302" i="1"/>
  <c r="P124" i="1"/>
  <c r="AB295" i="1"/>
  <c r="AA293" i="1"/>
  <c r="AB293" i="1" s="1"/>
  <c r="X251" i="1"/>
  <c r="Y251" i="1" s="1"/>
  <c r="Y252" i="1"/>
  <c r="AB232" i="1"/>
  <c r="AA231" i="1"/>
  <c r="AA66" i="1"/>
  <c r="AB66" i="1" s="1"/>
  <c r="X22" i="1"/>
  <c r="Y23" i="1"/>
  <c r="AA102" i="1"/>
  <c r="AB102" i="1" s="1"/>
  <c r="X150" i="1"/>
  <c r="Y150" i="1" s="1"/>
  <c r="AA178" i="1"/>
  <c r="V143" i="1"/>
  <c r="U299" i="1"/>
  <c r="L302" i="1"/>
  <c r="M124" i="1"/>
  <c r="AB221" i="1"/>
  <c r="AA218" i="1"/>
  <c r="AB218" i="1" s="1"/>
  <c r="AB153" i="1"/>
  <c r="AA281" i="1"/>
  <c r="AB281" i="1" s="1"/>
  <c r="AB282" i="1"/>
  <c r="AA6" i="1"/>
  <c r="AB6" i="1" s="1"/>
  <c r="AB7" i="1"/>
  <c r="X263" i="1"/>
  <c r="Y263" i="1" s="1"/>
  <c r="Y264" i="1"/>
  <c r="V207" i="1"/>
  <c r="R301" i="1"/>
  <c r="S301" i="1" s="1"/>
  <c r="S299" i="1"/>
  <c r="AB145" i="1"/>
  <c r="AA144" i="1"/>
  <c r="AB285" i="1"/>
  <c r="AA284" i="1"/>
  <c r="AB284" i="1" s="1"/>
  <c r="AB237" i="1"/>
  <c r="AA235" i="1"/>
  <c r="AB235" i="1" s="1"/>
  <c r="AA264" i="1"/>
  <c r="AB265" i="1"/>
  <c r="AA92" i="1"/>
  <c r="AB93" i="1"/>
  <c r="AA193" i="1"/>
  <c r="Y192" i="1"/>
  <c r="AA277" i="1"/>
  <c r="AB277" i="1" s="1"/>
  <c r="AB278" i="1"/>
  <c r="Y218" i="1"/>
  <c r="X207" i="1"/>
  <c r="Y207" i="1" s="1"/>
  <c r="V229" i="1"/>
  <c r="AB248" i="1"/>
  <c r="AA247" i="1"/>
  <c r="AB247" i="1" s="1"/>
  <c r="AB155" i="1"/>
  <c r="AA154" i="1"/>
  <c r="AB154" i="1" s="1"/>
  <c r="X91" i="1"/>
  <c r="Y91" i="1" s="1"/>
  <c r="Y92" i="1"/>
  <c r="X143" i="1"/>
  <c r="Y144" i="1"/>
  <c r="V192" i="1"/>
  <c r="AA50" i="1"/>
  <c r="AB51" i="1"/>
  <c r="Y231" i="1"/>
  <c r="V22" i="1"/>
  <c r="V263" i="1"/>
  <c r="V91" i="1"/>
  <c r="AB241" i="1"/>
  <c r="AA239" i="1"/>
  <c r="AB239" i="1" s="1"/>
  <c r="V251" i="1"/>
  <c r="V150" i="1"/>
  <c r="AA243" i="1"/>
  <c r="AB243" i="1" s="1"/>
  <c r="AB253" i="1"/>
  <c r="AA252" i="1"/>
  <c r="AB130" i="1"/>
  <c r="S107" i="1" l="1"/>
  <c r="AA22" i="1"/>
  <c r="AB22" i="1" s="1"/>
  <c r="X229" i="1"/>
  <c r="Y229" i="1" s="1"/>
  <c r="AA91" i="1"/>
  <c r="AB91" i="1" s="1"/>
  <c r="AB92" i="1"/>
  <c r="P302" i="1"/>
  <c r="AB264" i="1"/>
  <c r="AA263" i="1"/>
  <c r="AB263" i="1" s="1"/>
  <c r="X42" i="1"/>
  <c r="Y42" i="1" s="1"/>
  <c r="Y43" i="1"/>
  <c r="AB50" i="1"/>
  <c r="AA43" i="1"/>
  <c r="Y22" i="1"/>
  <c r="M302" i="1"/>
  <c r="U301" i="1"/>
  <c r="V299" i="1"/>
  <c r="AB231" i="1"/>
  <c r="V42" i="1"/>
  <c r="Y143" i="1"/>
  <c r="X299" i="1"/>
  <c r="AB252" i="1"/>
  <c r="AA251" i="1"/>
  <c r="AB251" i="1" s="1"/>
  <c r="R302" i="1"/>
  <c r="S124" i="1"/>
  <c r="AB178" i="1"/>
  <c r="AA172" i="1"/>
  <c r="AB172" i="1" s="1"/>
  <c r="U124" i="1"/>
  <c r="V107" i="1"/>
  <c r="AB193" i="1"/>
  <c r="AA192" i="1"/>
  <c r="AB192" i="1" s="1"/>
  <c r="AB144" i="1"/>
  <c r="AA143" i="1"/>
  <c r="AA207" i="1"/>
  <c r="AB207" i="1" s="1"/>
  <c r="AA229" i="1" l="1"/>
  <c r="AB229" i="1" s="1"/>
  <c r="AB43" i="1"/>
  <c r="AA42" i="1"/>
  <c r="U302" i="1"/>
  <c r="V124" i="1"/>
  <c r="X301" i="1"/>
  <c r="Y301" i="1" s="1"/>
  <c r="Y299" i="1"/>
  <c r="V301" i="1"/>
  <c r="AB143" i="1"/>
  <c r="S302" i="1"/>
  <c r="AA150" i="1"/>
  <c r="AB150" i="1" s="1"/>
  <c r="X107" i="1"/>
  <c r="AA299" i="1" l="1"/>
  <c r="AA301" i="1"/>
  <c r="AB301" i="1" s="1"/>
  <c r="AB299" i="1"/>
  <c r="X124" i="1"/>
  <c r="Y107" i="1"/>
  <c r="V302" i="1"/>
  <c r="AB42" i="1"/>
  <c r="AA107" i="1"/>
  <c r="AA124" i="1" l="1"/>
  <c r="AB107" i="1"/>
  <c r="X302" i="1"/>
  <c r="Y124" i="1"/>
  <c r="Y302" i="1" l="1"/>
  <c r="AA302" i="1"/>
  <c r="AB124" i="1"/>
  <c r="AB3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91" authorId="0" shapeId="0" xr:uid="{F4540C4B-ADBF-4375-9EE8-82253CB5DFA4}">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1A446AC9-FD26-4A8C-9D32-633570413B53}">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C1EA7119-EA2E-4FCB-8E0C-5FDC46F02B32}">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B5578D2A-D0D1-4460-94AF-0175D4F6AEB6}">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90CCAB39-3EB1-4357-9FB1-1BB74996961B}">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B4148A98-F598-41C0-AA0F-F6A40B8C265F}">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62B8B648-E1F2-4CEE-B151-6232DF23FA4B}">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7E3A6C5C-40CC-4C64-A186-83DA553AB74E}">
      <text>
        <r>
          <rPr>
            <b/>
            <sz val="9"/>
            <color indexed="81"/>
            <rFont val="Tahoma"/>
            <family val="2"/>
            <charset val="186"/>
          </rPr>
          <t>Sarmīte Mūze:</t>
        </r>
        <r>
          <rPr>
            <sz val="9"/>
            <color indexed="81"/>
            <rFont val="Tahoma"/>
            <family val="2"/>
            <charset val="186"/>
          </rPr>
          <t xml:space="preserve">
Šis ir jāizņem no 0930 un jāliek 0982 algā.
</t>
        </r>
      </text>
    </comment>
    <comment ref="AA291" authorId="0" shapeId="0" xr:uid="{A23E1AB7-2F7A-4929-9767-4797831A043B}">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<sst xmlns="http://schemas.openxmlformats.org/spreadsheetml/2006/main" count="1085" uniqueCount="841">
  <si>
    <t>Ādažu pašvaldības apvienotais budžets</t>
  </si>
  <si>
    <t>KA</t>
  </si>
  <si>
    <t>2024. gads</t>
  </si>
  <si>
    <t>CKS</t>
  </si>
  <si>
    <t xml:space="preserve">Ieņēmumu daļa </t>
  </si>
  <si>
    <t xml:space="preserve">N.p.k. </t>
  </si>
  <si>
    <t>Sadaļa</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</si>
  <si>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</si>
  <si>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</si>
  <si>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</si>
  <si>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</si>
  <si>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</si>
  <si>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</si>
  <si>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</si>
  <si>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</si>
  <si>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</si>
  <si>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</si>
  <si>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</si>
  <si>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</si>
  <si>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24.10.2024. grozījumi</t>
  </si>
  <si>
    <t>Izmaiņa 24.10.2024. -29.08.2024.</t>
  </si>
  <si>
    <t>28.11.2024. grozījumi</t>
  </si>
  <si>
    <t>Izmaiņa 28.11.2024. -24.10.2024.</t>
  </si>
  <si>
    <t>27.12.2024. grozījumi</t>
  </si>
  <si>
    <t>Izmaiņa 27.12.2024. - 28.11.2024.</t>
  </si>
  <si>
    <t>1., 2., 3., 4., 5.1.</t>
  </si>
  <si>
    <t>Nodokļu ieņēmumi</t>
  </si>
  <si>
    <t>1.1.1.0.</t>
  </si>
  <si>
    <t>1.</t>
  </si>
  <si>
    <t>Iedzīvotāju ienākuma nodoklis</t>
  </si>
  <si>
    <t>PB</t>
  </si>
  <si>
    <t>01.1.1.2.</t>
  </si>
  <si>
    <t>1.1.</t>
  </si>
  <si>
    <t>pārskata gada</t>
  </si>
  <si>
    <t>Uz 06.03. IIN izpilde lielāka par plānoto šajā periodā.</t>
  </si>
  <si>
    <t>Balstoties uz prognozēm, ka IIN gada griezumā varētu būt lielāks kā sākotnēji plānots. Saskaņā ar lēmumu par finanšu un ekonomisko aprēķinu jaunās skolas būvniecībai tiks novirzīts šim mērķim.</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</si>
  <si>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</si>
  <si>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</si>
  <si>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</si>
  <si>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</si>
  <si>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</si>
  <si>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</si>
  <si>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</si>
  <si>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</si>
  <si>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</si>
  <si>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</si>
  <si>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</si>
  <si>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</si>
  <si>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</si>
  <si>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</si>
  <si>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</si>
  <si>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</si>
  <si>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</si>
  <si>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</si>
  <si>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</si>
  <si>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</si>
  <si>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</si>
  <si>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</si>
  <si>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</si>
  <si>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</si>
  <si>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</si>
  <si>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</si>
  <si>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</si>
  <si>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</si>
  <si>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</si>
  <si>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</si>
  <si>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</si>
  <si>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</si>
  <si>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</si>
  <si>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</si>
  <si>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</si>
  <si>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</si>
  <si>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</si>
  <si>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</si>
  <si>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</si>
  <si>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</si>
  <si>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</si>
  <si>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</si>
  <si>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</si>
  <si>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</si>
  <si>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</si>
  <si>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</si>
  <si>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</si>
  <si>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</si>
  <si>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</si>
  <si>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</si>
  <si>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</si>
  <si>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</si>
  <si>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</si>
  <si>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</si>
  <si>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</si>
  <si>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</si>
  <si>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</si>
  <si>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</si>
  <si>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</si>
  <si>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</si>
  <si>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</si>
  <si>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</si>
  <si>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</si>
  <si>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</si>
  <si>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</si>
  <si>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</si>
  <si>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</si>
  <si>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</si>
  <si>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</si>
  <si>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</si>
  <si>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</si>
  <si>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</si>
  <si>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</si>
  <si>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</si>
  <si>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</si>
  <si>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Plāna 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</si>
  <si>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</si>
  <si>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</si>
  <si>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</si>
  <si>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</si>
  <si>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</si>
  <si>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</si>
  <si>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</si>
  <si>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</si>
  <si>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</si>
  <si>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</si>
  <si>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</si>
  <si>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</si>
  <si>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 (0645)</t>
  </si>
  <si>
    <t xml:space="preserve">Procentu ieņēmumi no nakts depozīta (šobrīd + EUR 10'000 pret plānoto).
Plāna palielinājums, balstoties uz faktisko izpildi.
</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</si>
  <si>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</si>
  <si>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</si>
  <si>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</si>
  <si>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</si>
  <si>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</si>
  <si>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</si>
  <si>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</si>
  <si>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</si>
  <si>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</si>
  <si>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Ieņēmumi par nekustamā īpašuma pārdošanu Lindas iela 2 un 4.</t>
  </si>
  <si>
    <t>10.</t>
  </si>
  <si>
    <t>Valsts budžeta transferti un projektu finansējums</t>
  </si>
  <si>
    <t>10.1.</t>
  </si>
  <si>
    <t>Valsts budžeta transferti</t>
  </si>
  <si>
    <t>mērķdotācija</t>
  </si>
  <si>
    <t>18.6.2.3.</t>
  </si>
  <si>
    <t>10.1.1.</t>
  </si>
  <si>
    <t>dotācija mākslas skolas algām</t>
  </si>
  <si>
    <t>Precizēta MD</t>
  </si>
  <si>
    <t>Precizēts mērķdotācijas apjoms sept.-dec.</t>
  </si>
  <si>
    <t>18.6.2.4.</t>
  </si>
  <si>
    <t>10.1.2.</t>
  </si>
  <si>
    <t>dotācija sporta skolai</t>
  </si>
  <si>
    <t xml:space="preserve">Precizēta MD </t>
  </si>
  <si>
    <t>Precizēts mērķdotācijas apjoms</t>
  </si>
  <si>
    <t>18.6.2.10.; 18.6.2.11</t>
  </si>
  <si>
    <t>10.1.3.</t>
  </si>
  <si>
    <t>dotācija skolēnu ēdināšanai</t>
  </si>
  <si>
    <t>Precizēti MD apjomi, balstoties uz skolēnu skaitu un lēmumu par brīvpusdienām ne tikai 1.-4.kl. Ieņēmumos un izdevumos EUR 53'000 ĀVS; EUR 28'000 CVS; EUR 15'000 ĀBVS</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</si>
  <si>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</si>
  <si>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</si>
  <si>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</si>
  <si>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</si>
  <si>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</si>
  <si>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</si>
  <si>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</si>
  <si>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</si>
  <si>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</si>
  <si>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</si>
  <si>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</si>
  <si>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</si>
  <si>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</si>
  <si>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</si>
  <si>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</si>
  <si>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</si>
  <si>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</si>
  <si>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</si>
  <si>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</si>
  <si>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</si>
  <si>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</si>
  <si>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</si>
  <si>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Precizēts mērķdotācijas apjoms amatierkolektīvu vadītājiem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</si>
  <si>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</si>
  <si>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</si>
  <si>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</si>
  <si>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</si>
  <si>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</si>
  <si>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</si>
  <si>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</si>
  <si>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</si>
  <si>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</si>
  <si>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</si>
  <si>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</si>
  <si>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</si>
  <si>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</si>
  <si>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</si>
  <si>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</si>
  <si>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</si>
  <si>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</si>
  <si>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</si>
  <si>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</si>
  <si>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</si>
  <si>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Plāna palielinājums, balstoties uz faktisko izpildi. Korekcija ieņēmumu un izdevumu sadaļā.</t>
  </si>
  <si>
    <t>10.1.13.</t>
  </si>
  <si>
    <t>Dotācijas "Energoresursu atbalsts"</t>
  </si>
  <si>
    <t>18.6.2.6.1.</t>
  </si>
  <si>
    <t>10.1.14.</t>
  </si>
  <si>
    <t>Dotācija nodarbinātības pasākumiem</t>
  </si>
  <si>
    <t>0630; 0930</t>
  </si>
  <si>
    <t>18.6.2.9.;</t>
  </si>
  <si>
    <t>10.1.15.</t>
  </si>
  <si>
    <t>pārējās dotācijas</t>
  </si>
  <si>
    <t>Valsts finansējums parakstu vākšanai tautas nobalsošanas ierosināšanai par apturēto likumu “Grozījumi Notariāta likumā”</t>
  </si>
  <si>
    <t>CVK finansējums Eiropas parlamenta vēlēšanu nodrošināšanai</t>
  </si>
  <si>
    <t>EUR 1'198 dalība projektā "Kontakts" izglītības iestāžu pārvalžu atbalstam. (izdevumos pie izglītības nodaļas)</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</si>
  <si>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</si>
  <si>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</si>
  <si>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</si>
  <si>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</si>
  <si>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</si>
  <si>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</si>
  <si>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</si>
  <si>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</si>
  <si>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</si>
  <si>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</si>
  <si>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</si>
  <si>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</si>
  <si>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</si>
  <si>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</si>
  <si>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Precizēta naudas plūsma</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</si>
  <si>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</si>
  <si>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</si>
  <si>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</si>
  <si>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</si>
  <si>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</si>
  <si>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</si>
  <si>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</si>
  <si>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</si>
  <si>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</si>
  <si>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0630</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</si>
  <si>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</si>
  <si>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</si>
  <si>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</si>
  <si>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</si>
  <si>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</si>
  <si>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</si>
  <si>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</si>
  <si>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</si>
  <si>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</si>
  <si>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</si>
  <si>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</si>
  <si>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Saņemti projekta noslēguma maksājumi, kas jānovirza aizņēmuma pirmstermiņa apmaksai.</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</si>
  <si>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</si>
  <si>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</si>
  <si>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</si>
  <si>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</si>
  <si>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</si>
  <si>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</si>
  <si>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</si>
  <si>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</si>
  <si>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</si>
  <si>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Precizēta projektu naudas plūsma, balstoties uz noslēgtajiem līgumiem - izdevumos zem Carnikavas vidusskolas</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</si>
  <si>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</si>
  <si>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</si>
  <si>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</si>
  <si>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</si>
  <si>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</si>
  <si>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</si>
  <si>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</si>
  <si>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</si>
  <si>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</si>
  <si>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Pēc lēmuma precizēta naudas plūsma.</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</si>
  <si>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</si>
  <si>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</si>
  <si>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</si>
  <si>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</si>
  <si>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</si>
  <si>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</si>
  <si>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</si>
  <si>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</si>
  <si>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</si>
  <si>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</si>
  <si>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</si>
  <si>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</si>
  <si>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</si>
  <si>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</si>
  <si>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</si>
  <si>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</si>
  <si>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</si>
  <si>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</si>
  <si>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</si>
  <si>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</si>
  <si>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</si>
  <si>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</si>
  <si>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</si>
  <si>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</si>
  <si>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</si>
  <si>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</si>
  <si>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</si>
  <si>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</si>
  <si>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</si>
  <si>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</si>
  <si>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</si>
  <si>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</si>
  <si>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</si>
  <si>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</si>
  <si>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</si>
  <si>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</si>
  <si>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</si>
  <si>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</si>
  <si>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</si>
  <si>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</si>
  <si>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</si>
  <si>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</si>
  <si>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</si>
  <si>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</si>
  <si>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</si>
  <si>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</si>
  <si>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</si>
  <si>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</si>
  <si>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</si>
  <si>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</si>
  <si>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</si>
  <si>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</si>
  <si>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Ieņēmumi par pārdotajām biļetēm uz pasākumu “Carnikavas vidusskolas 50 gadu salidojums" (novirzīta pasākuma izdevumu segšanai)</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</si>
  <si>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</si>
  <si>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</si>
  <si>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</si>
  <si>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</si>
  <si>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</si>
  <si>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</si>
  <si>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</si>
  <si>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</si>
  <si>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</si>
  <si>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Ieņēmumu pārpilde par maksas stāvvietām (CKS)</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</si>
  <si>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</si>
  <si>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</si>
  <si>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</si>
  <si>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</si>
  <si>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</si>
  <si>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</si>
  <si>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</si>
  <si>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</si>
  <si>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</si>
  <si>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</si>
  <si>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</si>
  <si>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</si>
  <si>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</si>
  <si>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</si>
  <si>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</si>
  <si>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</si>
  <si>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</si>
  <si>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</si>
  <si>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</si>
  <si>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</si>
  <si>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</si>
  <si>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</si>
  <si>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</si>
  <si>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</si>
  <si>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</si>
  <si>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</si>
  <si>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</si>
  <si>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</si>
  <si>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</si>
  <si>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</si>
  <si>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</si>
  <si>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</si>
  <si>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</si>
  <si>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</si>
  <si>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</si>
  <si>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</si>
  <si>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</si>
  <si>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</si>
  <si>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</si>
  <si>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</si>
  <si>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</si>
  <si>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</si>
  <si>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No atalgojuma ekonomijas sadaļā "deputāti" EUR 28'260 uz pārvaldi - domes un komiteju sēžu zāles aprīkojumam.</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</si>
  <si>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</si>
  <si>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</si>
  <si>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</si>
  <si>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</si>
  <si>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</si>
  <si>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</si>
  <si>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</si>
  <si>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</si>
  <si>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</si>
  <si>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</si>
  <si>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</si>
  <si>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</si>
  <si>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</si>
  <si>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</si>
  <si>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</si>
  <si>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</si>
  <si>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</si>
  <si>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</si>
  <si>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Balstoties uz faktisko izpildi veidojas ekonomija, kas tiks novirzīts katlu mājas remontam.</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</si>
  <si>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</si>
  <si>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</si>
  <si>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</si>
  <si>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</si>
  <si>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</si>
  <si>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</si>
  <si>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</si>
  <si>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</si>
  <si>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</si>
  <si>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</si>
  <si>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</si>
  <si>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</si>
  <si>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</si>
  <si>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</si>
  <si>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</si>
  <si>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</si>
  <si>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</si>
  <si>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</si>
  <si>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</si>
  <si>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</si>
  <si>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</si>
  <si>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</si>
  <si>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</si>
  <si>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</si>
  <si>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</si>
  <si>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</si>
  <si>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</si>
  <si>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</si>
  <si>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</si>
  <si>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</si>
  <si>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</si>
  <si>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</si>
  <si>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</si>
  <si>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</si>
  <si>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</si>
  <si>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</si>
  <si>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</si>
  <si>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</si>
  <si>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</si>
  <si>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</si>
  <si>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</si>
  <si>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</si>
  <si>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</si>
  <si>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</si>
  <si>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</si>
  <si>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</si>
  <si>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r>
      <rPr>
        <b/>
        <u/>
        <sz val="11"/>
        <rFont val="Times New Roman"/>
        <family val="1"/>
        <charset val="186"/>
      </rPr>
      <t>Iekš. groz.</t>
    </r>
    <r>
      <rPr>
        <sz val="11"/>
        <rFont val="Times New Roman"/>
        <family val="1"/>
        <charset val="186"/>
      </rPr>
      <t>: Jāveic neiztērētā  projekta "Remigrācijas atbalsta pasākumu uzņēmējdarbības atbalstam" finansējuma atmaksa. EUR 18'000 uz EKK 7820.</t>
    </r>
  </si>
  <si>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</si>
  <si>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</si>
  <si>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</si>
  <si>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</si>
  <si>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</si>
  <si>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</si>
  <si>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</si>
  <si>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</si>
  <si>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</si>
  <si>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</si>
  <si>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</si>
  <si>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</si>
  <si>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</si>
  <si>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</si>
  <si>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</si>
  <si>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</si>
  <si>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</si>
  <si>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</si>
  <si>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0961</t>
  </si>
  <si>
    <t>6.4.8.</t>
  </si>
  <si>
    <t>EUR 5'801 no Attīstības nodaļas (ekonomija uz vakancēm) uz projektu Mākslu skolas ārtelpas labiekārtošana (30.05.2024. ĀND lēmums # 223)</t>
  </si>
  <si>
    <t>0631.3</t>
  </si>
  <si>
    <t>6.4.9.</t>
  </si>
  <si>
    <t>Precizēts CFLA avansa apjoms.</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</si>
  <si>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</si>
  <si>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</si>
  <si>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</si>
  <si>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</si>
  <si>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</si>
  <si>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</si>
  <si>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</si>
  <si>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</si>
  <si>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</si>
  <si>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</si>
  <si>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</si>
  <si>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</si>
  <si>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</si>
  <si>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</si>
  <si>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</si>
  <si>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</si>
  <si>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</si>
  <si>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</si>
  <si>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</si>
  <si>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</si>
  <si>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Nekustamā īpašuma iegāde izsolē un nodevas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</si>
  <si>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</si>
  <si>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</si>
  <si>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</si>
  <si>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</si>
  <si>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</si>
  <si>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</si>
  <si>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</si>
  <si>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</si>
  <si>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</si>
  <si>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</si>
  <si>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</si>
  <si>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</si>
  <si>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</si>
  <si>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</si>
  <si>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</si>
  <si>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</si>
  <si>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</si>
  <si>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</si>
  <si>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</si>
  <si>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</si>
  <si>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</si>
  <si>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</si>
  <si>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</si>
  <si>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EUR 5'808 no teritorijas uzturēšnas elektrības ekonomijas Dzirnupes tilta būvekspertīzei.</t>
  </si>
  <si>
    <t>Precizējums dotācijas mērķim EUR 450 no teritorijas uzturēšanas 0645 un ceļu uzturēšanu 0649</t>
  </si>
  <si>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</si>
  <si>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</si>
  <si>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</si>
  <si>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</si>
  <si>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</si>
  <si>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</si>
  <si>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</si>
  <si>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</si>
  <si>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r>
      <rPr>
        <b/>
        <u/>
        <sz val="11"/>
        <rFont val="Times New Roman"/>
        <family val="1"/>
        <charset val="186"/>
      </rPr>
      <t>Iekš. groz.:</t>
    </r>
    <r>
      <rPr>
        <sz val="11"/>
        <rFont val="Times New Roman"/>
        <family val="1"/>
        <charset val="186"/>
      </rPr>
      <t xml:space="preserve"> Jāapmaksā Vecštāles ceļa remontdarbi, ko pēc tam atskaitīs no Aizsardzības ministrijas. EUR 6'434 no rezerves PVN apmaksai EKK 2512 uz EKK 2244 Nekustamā īpašuma uzturēšana.</t>
    </r>
  </si>
  <si>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</si>
  <si>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</si>
  <si>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</si>
  <si>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</si>
  <si>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</si>
  <si>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</si>
  <si>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</si>
  <si>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</si>
  <si>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</si>
  <si>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</si>
  <si>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</si>
  <si>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</si>
  <si>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</si>
  <si>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</si>
  <si>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</si>
  <si>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Saskaņā ar 11.09. Ārkārtas domes sēdes protokolu EUR 20'000 pārvirzīt no Attekas ielas apgaismes stabu izbūvei plānotajiem līdzekļiem pārcelt pašvaldības NĪ apdrošināšanai.</t>
  </si>
  <si>
    <t>6.5.13.</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</si>
  <si>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</si>
  <si>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</si>
  <si>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</si>
  <si>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</si>
  <si>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</si>
  <si>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</si>
  <si>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</si>
  <si>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</si>
  <si>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</si>
  <si>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</si>
  <si>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</si>
  <si>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</si>
  <si>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</si>
  <si>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</si>
  <si>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</si>
  <si>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</si>
  <si>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</si>
  <si>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</si>
  <si>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</si>
  <si>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</si>
  <si>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</si>
  <si>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</si>
  <si>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EUR 8'000 Blusu kroga tehniskajai apsekošanai. (EUR 5'000 no AP nodaļas talgojuma ekonomijas, EUR 1'500 no Novadpētniecības centra un EUR 1'500 no tūrisma sadaļas).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</si>
  <si>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</si>
  <si>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</si>
  <si>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</si>
  <si>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</si>
  <si>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</si>
  <si>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</si>
  <si>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</si>
  <si>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</si>
  <si>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</si>
  <si>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</si>
  <si>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</si>
  <si>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</si>
  <si>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</si>
  <si>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</si>
  <si>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</si>
  <si>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</si>
  <si>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</si>
  <si>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</si>
  <si>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</si>
  <si>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</si>
  <si>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</si>
  <si>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</si>
  <si>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</si>
  <si>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</si>
  <si>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</si>
  <si>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</si>
  <si>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</si>
  <si>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</si>
  <si>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</si>
  <si>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</si>
  <si>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</si>
  <si>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</si>
  <si>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</si>
  <si>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</si>
  <si>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</si>
  <si>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</si>
  <si>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</si>
  <si>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</si>
  <si>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</si>
  <si>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</si>
  <si>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</si>
  <si>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</si>
  <si>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</si>
  <si>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t>Saskaņā ar protokollēmumu "Par finanšu līdzekļu pārcelšanu 5. – 6. klašu skolēnu brīvpusdienu nodrošināšanai" no soc.dienesta EKK 6423 uz Ādažu sākumskolu 0981/2363  EUR 35'046, uz Carnikavas vidusskolu 0982/2363 EUR 3'822.</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</si>
  <si>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</si>
  <si>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</si>
  <si>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</si>
  <si>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</si>
  <si>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</si>
  <si>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</si>
  <si>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</si>
  <si>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</si>
  <si>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</si>
  <si>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</si>
  <si>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</si>
  <si>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</si>
  <si>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</si>
  <si>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</si>
  <si>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</si>
  <si>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</si>
  <si>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</si>
  <si>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</si>
  <si>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</si>
  <si>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</si>
  <si>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</si>
  <si>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</si>
  <si>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</si>
  <si>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</si>
  <si>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</si>
  <si>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</si>
  <si>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</si>
  <si>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</si>
  <si>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</si>
  <si>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</si>
  <si>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</si>
  <si>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</si>
  <si>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</si>
  <si>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</si>
  <si>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</si>
  <si>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</si>
  <si>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</si>
  <si>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</si>
  <si>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</si>
  <si>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</si>
  <si>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</si>
  <si>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</si>
  <si>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</si>
  <si>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</si>
  <si>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</si>
  <si>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</si>
  <si>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</si>
  <si>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</si>
  <si>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</si>
  <si>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</si>
  <si>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</si>
  <si>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</si>
  <si>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</si>
  <si>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</si>
  <si>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</si>
  <si>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</si>
  <si>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</si>
  <si>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9.2.3.</t>
  </si>
  <si>
    <t>uzturēšanas izmaksas (CKS)</t>
  </si>
  <si>
    <t>Strautiņš terases sienu remontam EUR 2'978 no Garās ielas 20 remontiem paredzētajiem līdzekļiem uz PII "Strautiņš" terases balsta sienu remontdarbiem un EUR 11'222 (iekš. groz.) no plānotā piekļuves sisitēmas automatizācijas izmaksām.</t>
  </si>
  <si>
    <t>9.3.</t>
  </si>
  <si>
    <t>Kadagas PII</t>
  </si>
  <si>
    <t>0921</t>
  </si>
  <si>
    <t>9.3.1.</t>
  </si>
  <si>
    <t>0920</t>
  </si>
  <si>
    <t>9.3.2.</t>
  </si>
  <si>
    <t>EUR 64'977 KPII uzturēšana, ko veic CKS</t>
  </si>
  <si>
    <t>EUR 7'000 no PII domes sadaļas uz PII CKS sadaļu, jo bērnu laukumiņa elementu uzstādīšanu veiks CKS.</t>
  </si>
  <si>
    <t>9.3.3.</t>
  </si>
  <si>
    <t>EUR 4'600 no tāmēšanas darbiem paredzētā finansējuma uz PII "Mežavēji" ēkas un telpu remontdarbiem.</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</si>
  <si>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</si>
  <si>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</si>
  <si>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</si>
  <si>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</si>
  <si>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</si>
  <si>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</si>
  <si>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</si>
  <si>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</si>
  <si>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</si>
  <si>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</si>
  <si>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</si>
  <si>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</si>
  <si>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</si>
  <si>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</si>
  <si>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</si>
  <si>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</si>
  <si>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</si>
  <si>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</si>
  <si>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</si>
  <si>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</si>
  <si>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</si>
  <si>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</si>
  <si>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</si>
  <si>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</si>
  <si>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</si>
  <si>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Precizēti MD apjomi, balstoties uz skolēnu skaitu. Ieņēmumos un izdevumos EUR 15'000 ĀBVS. Palielinoties MD, palielinās arī pašvaldības līdzfinansējuma daļa.</t>
  </si>
  <si>
    <t>0940.2</t>
  </si>
  <si>
    <t>9.6.2.</t>
  </si>
  <si>
    <t xml:space="preserve">Pārējās privātās PII </t>
  </si>
  <si>
    <t>0940.3</t>
  </si>
  <si>
    <t>9.6.3.</t>
  </si>
  <si>
    <t>Pārējās privātās vidējās izglītības iestādes</t>
  </si>
  <si>
    <t>9.7.</t>
  </si>
  <si>
    <t>Carnikavas vidusskola</t>
  </si>
  <si>
    <t>09821</t>
  </si>
  <si>
    <t>9.7.1.</t>
  </si>
  <si>
    <t>9.7.1.1.</t>
  </si>
  <si>
    <t>MD pedagogiem, māc. grāmatām</t>
  </si>
  <si>
    <t>9.7.1.2.</t>
  </si>
  <si>
    <t>MD interešu izglītība</t>
  </si>
  <si>
    <t>9.7.1.3.</t>
  </si>
  <si>
    <t>MD mācību līdzekļiem</t>
  </si>
  <si>
    <t>9.7.2.</t>
  </si>
  <si>
    <t>ēdināšana (mērķdotācija)</t>
  </si>
  <si>
    <t>Precizēti MD apjomi, balstoties uz skolēnu skaitu un lēmumu par brīvpusdienām ne tikai 1.-4.kl. Ieņēmumos un izdevumos EUR 28'000 CVS</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</si>
  <si>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</si>
  <si>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</si>
  <si>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</si>
  <si>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</si>
  <si>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</si>
  <si>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</si>
  <si>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</si>
  <si>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</si>
  <si>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</si>
  <si>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</si>
  <si>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</si>
  <si>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</si>
  <si>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</si>
  <si>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</si>
  <si>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</si>
  <si>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</si>
  <si>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</si>
  <si>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</si>
  <si>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</si>
  <si>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</si>
  <si>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</si>
  <si>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</si>
  <si>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</si>
  <si>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</si>
  <si>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</si>
  <si>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MD pedagogiem</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</si>
  <si>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</si>
  <si>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</si>
  <si>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</si>
  <si>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</si>
  <si>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</si>
  <si>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</si>
  <si>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</si>
  <si>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</si>
  <si>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</si>
  <si>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1) EUR 12'000 Ādažu vidusskolas ēkas C korpusa otrā stāva tualešu pārbūve (bērnudārza pārbūve). Realizēs CKS - pārcelts no EKK 5250 uz EKK 7230.
2) EUR 8'708 no 0950/EKK 1119 uz EKKK 7230 ēku dežurantu nakts stundu apmaksa uz CKS</t>
  </si>
  <si>
    <t>EUR 110'000 no Ādažu sākumskolas uz Ādažu vidusskolu - pedagogu atalgojums, kas bija plānots pie sākumskolas, bet tarifikācijā nav nodalīts.</t>
  </si>
  <si>
    <t>9.9.3.</t>
  </si>
  <si>
    <t>1) EUR 10'919 no CKS teritorijas kopšanas nodaļas uz CKS AVS uzturēšanas nodaļu.
2) EUR 146'203 ĀVS uzturēšana, ko veic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</si>
  <si>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</si>
  <si>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t>0957</t>
  </si>
  <si>
    <t>9.9.4.</t>
  </si>
  <si>
    <t>projekts Erasmus+</t>
  </si>
  <si>
    <t>0951</t>
  </si>
  <si>
    <t>9.9.5.</t>
  </si>
  <si>
    <t>9.9.6.</t>
  </si>
  <si>
    <t>Decembra rēķins izrakstīts 30.12., samaksa pārceļas uz 2024.gadu</t>
  </si>
  <si>
    <t>9.9.7.</t>
  </si>
  <si>
    <t>2) EUR 2'300 paskaidrojuma raksts siltināšanai (līgums ar CKS) no EKK 5250 uz EKK 7230.</t>
  </si>
  <si>
    <t>0981</t>
  </si>
  <si>
    <t>9.9.8.</t>
  </si>
  <si>
    <t>sākumskolas uzturēšanas izmaksas</t>
  </si>
  <si>
    <t>Atalgojums, kas pāriet uz CKS; atalgojuma korekcija, dalot likes MD</t>
  </si>
  <si>
    <t>EUR 58'159 ĀVS sākumskolas uzturēšana, ko veic CKS</t>
  </si>
  <si>
    <t>EUR 9'168 no 0981/EKK 1119 uz EKKK 7230 ēku dežurantu nakts stundu apmaksa uz CKS</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</si>
  <si>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</si>
  <si>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9.9.9.</t>
  </si>
  <si>
    <t>sākumskolas uzturēšanas izmaksas (CKS)</t>
  </si>
  <si>
    <t>1) EUR 19'453 no CKS teritorijas kopšanas nodaļas uz CKS AVS sākumskolas uzturēšanas nodaļu.
2) EUR 58'159 ĀVS sākumskolas uzturēšana, ko veic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</si>
  <si>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</si>
  <si>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9.9.10.</t>
  </si>
  <si>
    <t>sākumskolas ēdināšana (mērķdotācija)</t>
  </si>
  <si>
    <t>Precizēti MD apjomi, balstoties uz skolēnu skaitu un lēmumu par brīvpusdienām ne tikai 1.-4.kl. Ieņēmumos un izdevumos EUR 53'000 ĀVS</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</si>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</sst>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b/>
      <u/>
      <sz val="11"/>
      <name val="Times New Roman"/>
      <family val="1"/>
      <charset val="186"/>
    </font>
    <font>
      <sz val="11"/>
      <color theme="3"/>
      <name val="Times New Roman"/>
      <family val="1"/>
      <charset val="186"/>
    </font>
    <font>
      <b/>
      <sz val="11"/>
      <color theme="3"/>
      <name val="Times New Roman"/>
      <family val="1"/>
      <charset val="186"/>
    </font>
    <font>
      <sz val="11"/>
      <color indexed="10"/>
      <name val="Times New Roman"/>
      <family val="1"/>
      <charset val="186"/>
    </font>
    <font>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b/>
      <sz val="11"/>
      <name val="Times New Roman"/>
      <family val="1"/>
    </font>
    <font>
      <b/>
      <sz val="9"/>
      <color indexed="81"/>
      <name val="Tahoma"/>
      <family val="2"/>
      <charset val="186"/>
    </font>
    <font>
      <sz val="9"/>
      <color indexed="81"/>
      <name val="Tahoma"/>
      <family val="2"/>
      <charset val="186"/>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79998168889431442"/>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43" fontId="7" fillId="0" borderId="0" applyFont="0" applyFill="0" applyBorder="0" applyAlignment="0" applyProtection="0"/>
    <xf numFmtId="0" fontId="11" fillId="0" borderId="0" applyNumberFormat="0" applyFill="0" applyBorder="0" applyAlignment="0" applyProtection="0"/>
    <xf numFmtId="0" fontId="12" fillId="0" borderId="0"/>
    <xf numFmtId="9" fontId="7" fillId="0" borderId="0" applyFont="0" applyFill="0" applyBorder="0" applyAlignment="0" applyProtection="0"/>
  </cellStyleXfs>
  <cellXfs count="285">
    <xf numFmtId="0" fontId="0" fillId="0" borderId="0" xfId="0"/>
    <xf numFmtId="0" fontId="2" fillId="0" borderId="0" xfId="3" applyFont="1"/>
    <xf numFmtId="0" fontId="3" fillId="0" borderId="0" xfId="4" applyFont="1"/>
    <xf numFmtId="0" fontId="4" fillId="0" borderId="0" xfId="4" applyFont="1"/>
    <xf numFmtId="0" fontId="2" fillId="0" borderId="0" xfId="3" applyFont="1" applyAlignment="1">
      <alignment wrapText="1"/>
    </xf>
    <xf numFmtId="164" fontId="5" fillId="0" borderId="0" xfId="1" applyNumberFormat="1" applyFont="1" applyAlignment="1">
      <alignment wrapText="1"/>
    </xf>
    <xf numFmtId="9" fontId="2" fillId="0" borderId="0" xfId="5" applyFont="1" applyAlignment="1">
      <alignment wrapText="1"/>
    </xf>
    <xf numFmtId="0" fontId="3" fillId="0" borderId="0" xfId="4" applyFont="1"/>
    <xf numFmtId="3" fontId="2" fillId="0" borderId="0" xfId="3" applyNumberFormat="1" applyFont="1"/>
    <xf numFmtId="164" fontId="5" fillId="0" borderId="0" xfId="1" applyNumberFormat="1" applyFont="1"/>
    <xf numFmtId="164" fontId="2" fillId="0" borderId="0" xfId="1" applyNumberFormat="1" applyFont="1"/>
    <xf numFmtId="1" fontId="5" fillId="0" borderId="0" xfId="5" applyNumberFormat="1" applyFont="1" applyFill="1"/>
    <xf numFmtId="1" fontId="2" fillId="0" borderId="0" xfId="5" applyNumberFormat="1" applyFont="1" applyFill="1"/>
    <xf numFmtId="0" fontId="5" fillId="0" borderId="0" xfId="3" applyFont="1"/>
    <xf numFmtId="0" fontId="8" fillId="0" borderId="0" xfId="4" applyFont="1"/>
    <xf numFmtId="164" fontId="10" fillId="0" borderId="0" xfId="1" applyNumberFormat="1" applyFont="1"/>
    <xf numFmtId="164" fontId="9" fillId="0" borderId="0" xfId="1" applyNumberFormat="1" applyFont="1"/>
    <xf numFmtId="9" fontId="5" fillId="0" borderId="0" xfId="5" applyFont="1"/>
    <xf numFmtId="9" fontId="2" fillId="0" borderId="0" xfId="5" applyFont="1"/>
    <xf numFmtId="0" fontId="11" fillId="0" borderId="0" xfId="7"/>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10" fillId="0" borderId="3" xfId="5" applyFont="1" applyBorder="1" applyAlignment="1">
      <alignment horizontal="center" vertical="center" wrapText="1"/>
    </xf>
    <xf numFmtId="9" fontId="9" fillId="0" borderId="3" xfId="5" applyFont="1" applyBorder="1" applyAlignment="1">
      <alignment horizontal="center" vertical="center" wrapText="1"/>
    </xf>
    <xf numFmtId="0" fontId="9" fillId="2" borderId="4" xfId="3" applyFont="1" applyFill="1" applyBorder="1"/>
    <xf numFmtId="0" fontId="9" fillId="2" borderId="5" xfId="3" applyFont="1" applyFill="1" applyBorder="1" applyAlignment="1">
      <alignment wrapText="1"/>
    </xf>
    <xf numFmtId="164" fontId="9" fillId="2" borderId="6" xfId="1" applyNumberFormat="1" applyFont="1" applyFill="1" applyBorder="1"/>
    <xf numFmtId="3" fontId="9" fillId="2" borderId="6" xfId="3" applyNumberFormat="1" applyFont="1" applyFill="1" applyBorder="1"/>
    <xf numFmtId="9" fontId="5" fillId="2" borderId="6" xfId="5" applyFont="1" applyFill="1" applyBorder="1" applyAlignment="1">
      <alignment wrapText="1"/>
    </xf>
    <xf numFmtId="9" fontId="2" fillId="2" borderId="6" xfId="5" applyFont="1" applyFill="1" applyBorder="1" applyAlignment="1">
      <alignment wrapText="1"/>
    </xf>
    <xf numFmtId="0" fontId="9" fillId="3" borderId="4" xfId="3" quotePrefix="1" applyFont="1" applyFill="1" applyBorder="1"/>
    <xf numFmtId="0" fontId="9" fillId="3" borderId="5" xfId="3" applyFont="1" applyFill="1" applyBorder="1" applyAlignment="1">
      <alignment wrapText="1"/>
    </xf>
    <xf numFmtId="3" fontId="9" fillId="3" borderId="6" xfId="3" applyNumberFormat="1" applyFont="1" applyFill="1" applyBorder="1"/>
    <xf numFmtId="164" fontId="9" fillId="3" borderId="6" xfId="1" applyNumberFormat="1" applyFont="1" applyFill="1" applyBorder="1"/>
    <xf numFmtId="9" fontId="10" fillId="3" borderId="6" xfId="5" applyFont="1" applyFill="1" applyBorder="1"/>
    <xf numFmtId="9" fontId="9" fillId="3" borderId="6" xfId="5" applyFont="1" applyFill="1" applyBorder="1"/>
    <xf numFmtId="0" fontId="13"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5" fillId="0" borderId="9" xfId="5" applyFont="1" applyFill="1" applyBorder="1"/>
    <xf numFmtId="9" fontId="2" fillId="0" borderId="9" xfId="5" applyFont="1" applyFill="1" applyBorder="1"/>
    <xf numFmtId="9" fontId="2" fillId="0" borderId="9" xfId="5" applyFont="1" applyFill="1" applyBorder="1" applyAlignment="1">
      <alignment wrapText="1"/>
    </xf>
    <xf numFmtId="0" fontId="9" fillId="3" borderId="7" xfId="3" applyFont="1" applyFill="1" applyBorder="1"/>
    <xf numFmtId="0" fontId="9" fillId="3" borderId="8" xfId="3" applyFont="1" applyFill="1" applyBorder="1" applyAlignment="1">
      <alignment wrapText="1"/>
    </xf>
    <xf numFmtId="3" fontId="9" fillId="3" borderId="9" xfId="3" applyNumberFormat="1" applyFont="1" applyFill="1" applyBorder="1"/>
    <xf numFmtId="164" fontId="9" fillId="3" borderId="9" xfId="1" applyNumberFormat="1" applyFont="1" applyFill="1" applyBorder="1"/>
    <xf numFmtId="9" fontId="10" fillId="3" borderId="9" xfId="5" applyFont="1" applyFill="1" applyBorder="1"/>
    <xf numFmtId="9" fontId="9" fillId="3" borderId="9" xfId="5" applyFont="1" applyFill="1" applyBorder="1"/>
    <xf numFmtId="3" fontId="10" fillId="3" borderId="9" xfId="3" applyNumberFormat="1" applyFont="1" applyFill="1" applyBorder="1"/>
    <xf numFmtId="9" fontId="5" fillId="0" borderId="9" xfId="5" applyFont="1" applyBorder="1"/>
    <xf numFmtId="9" fontId="2" fillId="0" borderId="9" xfId="5" applyFont="1" applyBorder="1"/>
    <xf numFmtId="3" fontId="5" fillId="0" borderId="9" xfId="3" applyNumberFormat="1" applyFont="1" applyBorder="1"/>
    <xf numFmtId="9" fontId="5" fillId="0" borderId="10" xfId="5" applyFont="1" applyFill="1" applyBorder="1"/>
    <xf numFmtId="9" fontId="2" fillId="0" borderId="10" xfId="5" applyFont="1" applyFill="1" applyBorder="1"/>
    <xf numFmtId="0" fontId="1" fillId="0" borderId="0" xfId="3"/>
    <xf numFmtId="9" fontId="5" fillId="0" borderId="10" xfId="5" applyFont="1" applyFill="1" applyBorder="1" applyAlignment="1">
      <alignment wrapText="1"/>
    </xf>
    <xf numFmtId="9" fontId="2" fillId="0" borderId="10" xfId="5" applyFont="1" applyFill="1" applyBorder="1" applyAlignment="1">
      <alignment wrapText="1"/>
    </xf>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9" fontId="2" fillId="0" borderId="9" xfId="5" applyFont="1" applyBorder="1" applyAlignment="1">
      <alignment wrapText="1"/>
    </xf>
    <xf numFmtId="9" fontId="5" fillId="3" borderId="9" xfId="5" applyFont="1" applyFill="1" applyBorder="1" applyAlignment="1">
      <alignment wrapText="1"/>
    </xf>
    <xf numFmtId="9" fontId="2" fillId="3" borderId="9" xfId="5" applyFont="1" applyFill="1" applyBorder="1" applyAlignment="1">
      <alignment wrapText="1"/>
    </xf>
    <xf numFmtId="0" fontId="2" fillId="4" borderId="8" xfId="3" applyFont="1" applyFill="1" applyBorder="1" applyAlignment="1">
      <alignment horizontal="left" wrapText="1" indent="2"/>
    </xf>
    <xf numFmtId="9" fontId="5" fillId="0" borderId="9" xfId="5" applyFont="1" applyFill="1" applyBorder="1" applyAlignment="1">
      <alignment wrapText="1"/>
    </xf>
    <xf numFmtId="3" fontId="2" fillId="5" borderId="9" xfId="3" applyNumberFormat="1" applyFont="1" applyFill="1" applyBorder="1"/>
    <xf numFmtId="0" fontId="9" fillId="3" borderId="7" xfId="3" quotePrefix="1" applyFont="1" applyFill="1" applyBorder="1"/>
    <xf numFmtId="0" fontId="2" fillId="2" borderId="7" xfId="3" applyFont="1" applyFill="1" applyBorder="1" applyAlignment="1">
      <alignment horizontal="left" indent="1"/>
    </xf>
    <xf numFmtId="0" fontId="2" fillId="2" borderId="8" xfId="3" applyFont="1" applyFill="1" applyBorder="1" applyAlignment="1">
      <alignment horizontal="left" wrapText="1" indent="2"/>
    </xf>
    <xf numFmtId="3" fontId="2" fillId="2" borderId="9" xfId="3" applyNumberFormat="1" applyFont="1" applyFill="1" applyBorder="1"/>
    <xf numFmtId="164" fontId="2" fillId="6" borderId="9" xfId="1" applyNumberFormat="1" applyFont="1" applyFill="1" applyBorder="1"/>
    <xf numFmtId="3" fontId="2" fillId="6" borderId="9" xfId="3" applyNumberFormat="1" applyFont="1" applyFill="1" applyBorder="1"/>
    <xf numFmtId="3" fontId="5" fillId="6" borderId="9" xfId="3" applyNumberFormat="1" applyFont="1" applyFill="1" applyBorder="1"/>
    <xf numFmtId="164" fontId="5" fillId="0" borderId="9" xfId="1" applyNumberFormat="1" applyFont="1" applyBorder="1"/>
    <xf numFmtId="3" fontId="2" fillId="7" borderId="9" xfId="3" applyNumberFormat="1" applyFont="1" applyFill="1" applyBorder="1"/>
    <xf numFmtId="164" fontId="2" fillId="7" borderId="9" xfId="1" applyNumberFormat="1" applyFont="1" applyFill="1" applyBorder="1"/>
    <xf numFmtId="3" fontId="5" fillId="7" borderId="9" xfId="3" applyNumberFormat="1" applyFont="1" applyFill="1" applyBorder="1" applyAlignment="1">
      <alignment wrapText="1"/>
    </xf>
    <xf numFmtId="3" fontId="2" fillId="7" borderId="9" xfId="3" applyNumberFormat="1" applyFont="1" applyFill="1" applyBorder="1" applyAlignment="1">
      <alignment wrapText="1"/>
    </xf>
    <xf numFmtId="3" fontId="14" fillId="8" borderId="9" xfId="3" applyNumberFormat="1" applyFont="1" applyFill="1" applyBorder="1"/>
    <xf numFmtId="164" fontId="14" fillId="8" borderId="9" xfId="1" applyNumberFormat="1" applyFont="1" applyFill="1" applyBorder="1"/>
    <xf numFmtId="9" fontId="15" fillId="8" borderId="9" xfId="5" applyFont="1" applyFill="1" applyBorder="1" applyAlignment="1">
      <alignment wrapText="1"/>
    </xf>
    <xf numFmtId="9" fontId="14" fillId="8" borderId="9" xfId="5" applyFont="1" applyFill="1" applyBorder="1" applyAlignment="1">
      <alignment wrapText="1"/>
    </xf>
    <xf numFmtId="0" fontId="14" fillId="0" borderId="0" xfId="3" applyFont="1"/>
    <xf numFmtId="9" fontId="14" fillId="9" borderId="9" xfId="5" applyFont="1" applyFill="1" applyBorder="1"/>
    <xf numFmtId="3" fontId="14" fillId="10" borderId="9" xfId="3" applyNumberFormat="1" applyFont="1" applyFill="1" applyBorder="1"/>
    <xf numFmtId="9" fontId="14" fillId="10" borderId="9" xfId="5" applyFont="1" applyFill="1" applyBorder="1"/>
    <xf numFmtId="0" fontId="2" fillId="0" borderId="0" xfId="3" quotePrefix="1" applyFont="1"/>
    <xf numFmtId="0" fontId="2" fillId="11" borderId="8" xfId="3" applyFont="1" applyFill="1" applyBorder="1" applyAlignment="1">
      <alignment horizontal="left" wrapText="1" indent="2"/>
    </xf>
    <xf numFmtId="164" fontId="2" fillId="0" borderId="9" xfId="1" applyNumberFormat="1" applyFont="1" applyFill="1" applyBorder="1"/>
    <xf numFmtId="0" fontId="2" fillId="0" borderId="8" xfId="3" applyFont="1" applyBorder="1" applyAlignment="1">
      <alignment horizontal="left" wrapText="1" indent="3"/>
    </xf>
    <xf numFmtId="9" fontId="5" fillId="13" borderId="9" xfId="5" applyFont="1" applyFill="1" applyBorder="1" applyAlignment="1">
      <alignment wrapText="1"/>
    </xf>
    <xf numFmtId="9" fontId="2" fillId="13" borderId="9" xfId="5" applyFont="1" applyFill="1" applyBorder="1" applyAlignment="1">
      <alignment wrapText="1"/>
    </xf>
    <xf numFmtId="9" fontId="2" fillId="9" borderId="9" xfId="5" applyFont="1" applyFill="1" applyBorder="1" applyAlignment="1">
      <alignment wrapText="1"/>
    </xf>
    <xf numFmtId="164" fontId="2" fillId="2" borderId="9" xfId="1" applyNumberFormat="1" applyFont="1" applyFill="1" applyBorder="1"/>
    <xf numFmtId="9" fontId="5" fillId="2" borderId="9" xfId="5" applyFont="1" applyFill="1" applyBorder="1" applyAlignment="1">
      <alignment wrapText="1"/>
    </xf>
    <xf numFmtId="9" fontId="2" fillId="2" borderId="9" xfId="5" applyFont="1" applyFill="1" applyBorder="1" applyAlignment="1">
      <alignment wrapText="1"/>
    </xf>
    <xf numFmtId="9" fontId="2" fillId="9" borderId="10" xfId="5" applyFont="1" applyFill="1" applyBorder="1" applyAlignment="1">
      <alignment wrapText="1"/>
    </xf>
    <xf numFmtId="9" fontId="5" fillId="0" borderId="13" xfId="5" applyFont="1" applyFill="1" applyBorder="1"/>
    <xf numFmtId="9" fontId="2" fillId="0" borderId="13" xfId="5" applyFont="1" applyFill="1" applyBorder="1"/>
    <xf numFmtId="9" fontId="2" fillId="0" borderId="13" xfId="5" applyFont="1" applyFill="1" applyBorder="1" applyAlignment="1">
      <alignment wrapText="1"/>
    </xf>
    <xf numFmtId="0" fontId="1" fillId="12" borderId="0" xfId="3" applyFill="1"/>
    <xf numFmtId="0" fontId="2" fillId="11" borderId="8" xfId="3" applyFont="1" applyFill="1" applyBorder="1" applyAlignment="1">
      <alignment horizontal="left" wrapText="1" indent="3"/>
    </xf>
    <xf numFmtId="0" fontId="2" fillId="0" borderId="5" xfId="3" applyFont="1" applyBorder="1" applyAlignment="1">
      <alignment horizontal="left" wrapText="1" indent="2"/>
    </xf>
    <xf numFmtId="0" fontId="2" fillId="4" borderId="7" xfId="3" applyFont="1" applyFill="1" applyBorder="1" applyAlignment="1">
      <alignment horizontal="left" indent="2"/>
    </xf>
    <xf numFmtId="0" fontId="2" fillId="4" borderId="8" xfId="3" applyFont="1" applyFill="1" applyBorder="1" applyAlignment="1">
      <alignment horizontal="left" wrapText="1" indent="3"/>
    </xf>
    <xf numFmtId="1" fontId="5" fillId="0" borderId="9" xfId="5" applyNumberFormat="1" applyFont="1" applyFill="1" applyBorder="1"/>
    <xf numFmtId="1" fontId="2" fillId="0" borderId="9" xfId="5" applyNumberFormat="1" applyFont="1" applyFill="1" applyBorder="1"/>
    <xf numFmtId="3" fontId="2" fillId="14" borderId="9" xfId="3" applyNumberFormat="1" applyFont="1" applyFill="1" applyBorder="1"/>
    <xf numFmtId="0" fontId="9" fillId="0" borderId="14" xfId="3" applyFont="1" applyBorder="1"/>
    <xf numFmtId="0" fontId="9" fillId="0" borderId="15"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10" fillId="0" borderId="3" xfId="5" applyFont="1" applyBorder="1"/>
    <xf numFmtId="9" fontId="9" fillId="0" borderId="3" xfId="5" applyFont="1" applyBorder="1"/>
    <xf numFmtId="0" fontId="9" fillId="0" borderId="16" xfId="3" quotePrefix="1" applyFont="1" applyBorder="1"/>
    <xf numFmtId="0" fontId="9" fillId="0" borderId="17" xfId="3" applyFont="1" applyBorder="1" applyAlignment="1">
      <alignment wrapText="1"/>
    </xf>
    <xf numFmtId="3" fontId="9" fillId="0" borderId="18" xfId="3" applyNumberFormat="1" applyFont="1" applyBorder="1"/>
    <xf numFmtId="164" fontId="9" fillId="0" borderId="18" xfId="1" applyNumberFormat="1" applyFont="1" applyBorder="1"/>
    <xf numFmtId="9" fontId="10" fillId="0" borderId="18" xfId="5" applyFont="1" applyFill="1" applyBorder="1"/>
    <xf numFmtId="9" fontId="9" fillId="0" borderId="18" xfId="5" applyFont="1" applyFill="1" applyBorder="1"/>
    <xf numFmtId="0" fontId="9" fillId="3" borderId="19" xfId="3" applyFont="1" applyFill="1" applyBorder="1" applyAlignment="1">
      <alignment wrapText="1"/>
    </xf>
    <xf numFmtId="3" fontId="9" fillId="3" borderId="13" xfId="3" applyNumberFormat="1" applyFont="1" applyFill="1" applyBorder="1"/>
    <xf numFmtId="164" fontId="9" fillId="3" borderId="13" xfId="1" applyNumberFormat="1" applyFont="1" applyFill="1" applyBorder="1"/>
    <xf numFmtId="49" fontId="2" fillId="0" borderId="19" xfId="3" applyNumberFormat="1" applyFont="1" applyBorder="1" applyAlignment="1">
      <alignment horizontal="left" wrapText="1" indent="4"/>
    </xf>
    <xf numFmtId="3" fontId="2" fillId="0" borderId="13" xfId="3" applyNumberFormat="1" applyFont="1" applyBorder="1"/>
    <xf numFmtId="3" fontId="2" fillId="0" borderId="19" xfId="3" applyNumberFormat="1" applyFont="1" applyBorder="1"/>
    <xf numFmtId="164" fontId="2" fillId="0" borderId="13" xfId="1" applyNumberFormat="1" applyFont="1" applyBorder="1"/>
    <xf numFmtId="49" fontId="2" fillId="15" borderId="19" xfId="3" applyNumberFormat="1" applyFont="1" applyFill="1" applyBorder="1" applyAlignment="1">
      <alignment horizontal="left" wrapText="1" indent="4"/>
    </xf>
    <xf numFmtId="3" fontId="2" fillId="0" borderId="20" xfId="3" applyNumberFormat="1" applyFont="1" applyBorder="1"/>
    <xf numFmtId="9" fontId="5" fillId="0" borderId="21" xfId="5" applyFont="1" applyFill="1" applyBorder="1"/>
    <xf numFmtId="49" fontId="2" fillId="0" borderId="22" xfId="3" applyNumberFormat="1" applyFont="1" applyBorder="1" applyAlignment="1">
      <alignment horizontal="left" wrapText="1" indent="4"/>
    </xf>
    <xf numFmtId="164" fontId="2" fillId="0" borderId="23" xfId="1" applyNumberFormat="1" applyFont="1" applyBorder="1"/>
    <xf numFmtId="9" fontId="5" fillId="0" borderId="12" xfId="5" applyFont="1" applyFill="1" applyBorder="1" applyAlignment="1">
      <alignment wrapText="1"/>
    </xf>
    <xf numFmtId="49" fontId="2" fillId="0" borderId="8" xfId="3" applyNumberFormat="1" applyFont="1" applyBorder="1" applyAlignment="1">
      <alignment horizontal="left" wrapText="1" indent="4"/>
    </xf>
    <xf numFmtId="164" fontId="2" fillId="0" borderId="8" xfId="1" applyNumberFormat="1" applyFont="1" applyBorder="1"/>
    <xf numFmtId="164" fontId="2" fillId="0" borderId="19" xfId="1" applyNumberFormat="1" applyFont="1" applyBorder="1"/>
    <xf numFmtId="164" fontId="2" fillId="0" borderId="10" xfId="1" applyNumberFormat="1" applyFont="1" applyBorder="1"/>
    <xf numFmtId="9" fontId="5" fillId="0" borderId="6" xfId="5" applyFont="1" applyFill="1" applyBorder="1"/>
    <xf numFmtId="3" fontId="2" fillId="0" borderId="10" xfId="3" applyNumberFormat="1" applyFont="1" applyBorder="1"/>
    <xf numFmtId="3" fontId="2" fillId="0" borderId="24" xfId="3" applyNumberFormat="1" applyFont="1" applyBorder="1"/>
    <xf numFmtId="164" fontId="2" fillId="0" borderId="25" xfId="1" applyNumberFormat="1" applyFont="1" applyBorder="1"/>
    <xf numFmtId="3" fontId="2" fillId="0" borderId="21" xfId="3" applyNumberFormat="1" applyFont="1" applyBorder="1"/>
    <xf numFmtId="9" fontId="2" fillId="0" borderId="8" xfId="5" applyFont="1" applyFill="1" applyBorder="1"/>
    <xf numFmtId="0" fontId="2" fillId="4" borderId="26" xfId="3" applyFont="1" applyFill="1" applyBorder="1" applyAlignment="1">
      <alignment horizontal="left" indent="2"/>
    </xf>
    <xf numFmtId="49" fontId="2" fillId="15" borderId="8" xfId="3" applyNumberFormat="1" applyFont="1" applyFill="1" applyBorder="1" applyAlignment="1">
      <alignment horizontal="left" wrapText="1" indent="4"/>
    </xf>
    <xf numFmtId="9" fontId="2" fillId="0" borderId="8" xfId="5" applyFont="1" applyFill="1" applyBorder="1" applyAlignment="1">
      <alignment wrapText="1"/>
    </xf>
    <xf numFmtId="49" fontId="2" fillId="0" borderId="24" xfId="3" applyNumberFormat="1" applyFont="1" applyBorder="1" applyAlignment="1">
      <alignment horizontal="left" wrapText="1" indent="4"/>
    </xf>
    <xf numFmtId="0" fontId="9" fillId="0" borderId="27" xfId="3" applyFont="1" applyBorder="1"/>
    <xf numFmtId="0" fontId="9" fillId="0" borderId="28" xfId="3" applyFont="1" applyBorder="1" applyAlignment="1">
      <alignment horizontal="right" wrapText="1"/>
    </xf>
    <xf numFmtId="9" fontId="10" fillId="0" borderId="18" xfId="5" applyFont="1" applyBorder="1"/>
    <xf numFmtId="9" fontId="9" fillId="0" borderId="18" xfId="5" applyFont="1" applyBorder="1"/>
    <xf numFmtId="0" fontId="9" fillId="0" borderId="0" xfId="3" applyFont="1"/>
    <xf numFmtId="0" fontId="1" fillId="0" borderId="0" xfId="3"/>
    <xf numFmtId="10" fontId="2" fillId="0" borderId="0" xfId="9" applyNumberFormat="1" applyFont="1"/>
    <xf numFmtId="49" fontId="9" fillId="3" borderId="29" xfId="3" applyNumberFormat="1" applyFont="1" applyFill="1" applyBorder="1" applyAlignment="1">
      <alignment horizontal="left" indent="2"/>
    </xf>
    <xf numFmtId="49" fontId="9" fillId="3" borderId="30" xfId="3" applyNumberFormat="1" applyFont="1" applyFill="1" applyBorder="1" applyAlignment="1">
      <alignment wrapText="1"/>
    </xf>
    <xf numFmtId="3" fontId="9" fillId="3" borderId="31" xfId="3" applyNumberFormat="1" applyFont="1" applyFill="1" applyBorder="1"/>
    <xf numFmtId="164" fontId="9" fillId="3" borderId="31" xfId="1" applyNumberFormat="1" applyFont="1" applyFill="1" applyBorder="1"/>
    <xf numFmtId="9" fontId="10" fillId="3" borderId="31" xfId="5" applyFont="1" applyFill="1" applyBorder="1"/>
    <xf numFmtId="9" fontId="9" fillId="3" borderId="31" xfId="5" applyFont="1" applyFill="1" applyBorder="1"/>
    <xf numFmtId="49" fontId="2" fillId="2" borderId="7" xfId="3" applyNumberFormat="1" applyFont="1" applyFill="1" applyBorder="1" applyAlignment="1">
      <alignment horizontal="left" indent="1"/>
    </xf>
    <xf numFmtId="49" fontId="2" fillId="2" borderId="8" xfId="3" applyNumberFormat="1" applyFont="1" applyFill="1" applyBorder="1" applyAlignment="1">
      <alignment horizontal="left" wrapText="1" indent="2"/>
    </xf>
    <xf numFmtId="9" fontId="5" fillId="2" borderId="9" xfId="5" applyFont="1" applyFill="1" applyBorder="1"/>
    <xf numFmtId="9" fontId="2" fillId="2" borderId="9" xfId="5" applyFont="1" applyFill="1" applyBorder="1"/>
    <xf numFmtId="3" fontId="5" fillId="2" borderId="9" xfId="3" applyNumberFormat="1" applyFont="1" applyFill="1" applyBorder="1"/>
    <xf numFmtId="49" fontId="9" fillId="3" borderId="7" xfId="3" applyNumberFormat="1" applyFont="1" applyFill="1" applyBorder="1"/>
    <xf numFmtId="49" fontId="9" fillId="3" borderId="8" xfId="3" applyNumberFormat="1" applyFont="1" applyFill="1" applyBorder="1" applyAlignment="1">
      <alignment wrapText="1"/>
    </xf>
    <xf numFmtId="0" fontId="19"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9" fontId="2" fillId="0" borderId="11" xfId="5" applyFont="1" applyFill="1" applyBorder="1" applyAlignment="1">
      <alignment horizontal="left" wrapText="1"/>
    </xf>
    <xf numFmtId="9" fontId="2" fillId="0" borderId="12" xfId="5" applyFont="1" applyFill="1" applyBorder="1" applyAlignment="1">
      <alignment horizontal="left" wrapText="1"/>
    </xf>
    <xf numFmtId="49" fontId="9" fillId="2" borderId="8" xfId="3" applyNumberFormat="1" applyFont="1" applyFill="1" applyBorder="1" applyAlignment="1">
      <alignment horizontal="left" wrapText="1" indent="2"/>
    </xf>
    <xf numFmtId="3" fontId="9" fillId="2" borderId="9" xfId="3" applyNumberFormat="1" applyFont="1" applyFill="1" applyBorder="1"/>
    <xf numFmtId="164" fontId="9" fillId="2" borderId="9" xfId="1" applyNumberFormat="1" applyFont="1" applyFill="1" applyBorder="1"/>
    <xf numFmtId="9" fontId="2" fillId="2" borderId="9" xfId="5" quotePrefix="1" applyFont="1" applyFill="1" applyBorder="1" applyAlignment="1">
      <alignment wrapText="1"/>
    </xf>
    <xf numFmtId="3" fontId="10" fillId="2" borderId="9" xfId="3" applyNumberFormat="1" applyFont="1" applyFill="1" applyBorder="1"/>
    <xf numFmtId="9" fontId="5" fillId="0" borderId="9" xfId="5" applyFont="1" applyBorder="1" applyAlignment="1">
      <alignment wrapText="1"/>
    </xf>
    <xf numFmtId="3" fontId="2" fillId="16" borderId="9" xfId="3" applyNumberFormat="1" applyFont="1" applyFill="1" applyBorder="1"/>
    <xf numFmtId="9" fontId="2" fillId="16" borderId="9" xfId="5" applyFont="1" applyFill="1" applyBorder="1" applyAlignment="1">
      <alignment wrapText="1"/>
    </xf>
    <xf numFmtId="49" fontId="2" fillId="17" borderId="7" xfId="3" applyNumberFormat="1" applyFont="1" applyFill="1" applyBorder="1" applyAlignment="1">
      <alignment horizontal="left" indent="2"/>
    </xf>
    <xf numFmtId="0" fontId="2" fillId="13" borderId="8" xfId="3" applyFont="1" applyFill="1" applyBorder="1" applyAlignment="1">
      <alignment horizontal="left" wrapText="1" indent="3"/>
    </xf>
    <xf numFmtId="0" fontId="2" fillId="12" borderId="0" xfId="3" quotePrefix="1" applyFont="1" applyFill="1"/>
    <xf numFmtId="9" fontId="2" fillId="0" borderId="10" xfId="5" applyFont="1" applyBorder="1" applyAlignment="1">
      <alignment wrapText="1"/>
    </xf>
    <xf numFmtId="9" fontId="2" fillId="0" borderId="12" xfId="5" applyFont="1" applyBorder="1" applyAlignment="1">
      <alignment wrapText="1"/>
    </xf>
    <xf numFmtId="9" fontId="10" fillId="2" borderId="9" xfId="5" applyFont="1" applyFill="1" applyBorder="1"/>
    <xf numFmtId="9" fontId="9" fillId="2" borderId="9" xfId="5" applyFont="1" applyFill="1" applyBorder="1"/>
    <xf numFmtId="9" fontId="5" fillId="0" borderId="12" xfId="5" applyFont="1" applyBorder="1" applyAlignment="1">
      <alignment wrapText="1"/>
    </xf>
    <xf numFmtId="164" fontId="2" fillId="14" borderId="9" xfId="1" applyNumberFormat="1" applyFont="1" applyFill="1" applyBorder="1"/>
    <xf numFmtId="0" fontId="21" fillId="0" borderId="0" xfId="3" quotePrefix="1" applyFont="1"/>
    <xf numFmtId="49" fontId="21" fillId="0" borderId="7" xfId="3" applyNumberFormat="1" applyFont="1" applyBorder="1" applyAlignment="1">
      <alignment horizontal="left" indent="3"/>
    </xf>
    <xf numFmtId="0" fontId="21" fillId="13" borderId="8" xfId="3" applyFont="1" applyFill="1" applyBorder="1" applyAlignment="1">
      <alignment horizontal="left" wrapText="1" indent="6"/>
    </xf>
    <xf numFmtId="3" fontId="21" fillId="0" borderId="9" xfId="3" applyNumberFormat="1" applyFont="1" applyBorder="1"/>
    <xf numFmtId="164" fontId="21" fillId="14" borderId="9" xfId="1" applyNumberFormat="1" applyFont="1" applyFill="1" applyBorder="1"/>
    <xf numFmtId="9" fontId="22" fillId="0" borderId="9" xfId="5" applyFont="1" applyBorder="1" applyAlignment="1">
      <alignment wrapText="1"/>
    </xf>
    <xf numFmtId="3" fontId="21" fillId="14" borderId="9" xfId="3" applyNumberFormat="1" applyFont="1" applyFill="1" applyBorder="1"/>
    <xf numFmtId="9" fontId="21" fillId="0" borderId="9" xfId="5" applyFont="1" applyBorder="1" applyAlignment="1">
      <alignment wrapText="1"/>
    </xf>
    <xf numFmtId="9" fontId="2" fillId="0" borderId="11" xfId="5" applyFont="1" applyBorder="1" applyAlignment="1">
      <alignment horizontal="left" wrapText="1"/>
    </xf>
    <xf numFmtId="0" fontId="21" fillId="0" borderId="0" xfId="3" applyFont="1"/>
    <xf numFmtId="9" fontId="2" fillId="0" borderId="12" xfId="5" applyFont="1" applyBorder="1" applyAlignment="1">
      <alignment horizontal="left" wrapText="1"/>
    </xf>
    <xf numFmtId="3" fontId="2" fillId="13" borderId="9" xfId="3" applyNumberFormat="1" applyFont="1" applyFill="1" applyBorder="1"/>
    <xf numFmtId="9" fontId="2" fillId="0" borderId="9" xfId="5" quotePrefix="1" applyFont="1" applyBorder="1" applyAlignment="1">
      <alignment wrapText="1"/>
    </xf>
    <xf numFmtId="9" fontId="2" fillId="0" borderId="12" xfId="5" applyFont="1" applyFill="1" applyBorder="1" applyAlignment="1">
      <alignment wrapText="1"/>
    </xf>
    <xf numFmtId="9" fontId="2" fillId="16" borderId="11" xfId="5" applyFont="1" applyFill="1" applyBorder="1" applyAlignment="1">
      <alignment horizontal="left" wrapText="1"/>
    </xf>
    <xf numFmtId="9" fontId="22" fillId="0" borderId="9" xfId="5" applyFont="1" applyFill="1" applyBorder="1" applyAlignment="1">
      <alignment wrapText="1"/>
    </xf>
    <xf numFmtId="9" fontId="21" fillId="0" borderId="9" xfId="5" applyFont="1" applyFill="1" applyBorder="1" applyAlignment="1">
      <alignment wrapText="1"/>
    </xf>
    <xf numFmtId="9" fontId="2" fillId="16" borderId="12" xfId="5" applyFont="1" applyFill="1" applyBorder="1" applyAlignment="1">
      <alignment horizontal="left" wrapText="1"/>
    </xf>
    <xf numFmtId="49" fontId="2" fillId="17" borderId="7" xfId="3" applyNumberFormat="1" applyFont="1" applyFill="1" applyBorder="1" applyAlignment="1">
      <alignment horizontal="left" indent="1"/>
    </xf>
    <xf numFmtId="9" fontId="22" fillId="12" borderId="9" xfId="5" applyFont="1" applyFill="1" applyBorder="1" applyAlignment="1">
      <alignment wrapText="1"/>
    </xf>
    <xf numFmtId="9" fontId="21" fillId="2" borderId="9" xfId="5" applyFont="1" applyFill="1" applyBorder="1" applyAlignment="1">
      <alignment wrapText="1"/>
    </xf>
    <xf numFmtId="9" fontId="22" fillId="2" borderId="9" xfId="5" applyFont="1" applyFill="1" applyBorder="1" applyAlignment="1">
      <alignment wrapText="1"/>
    </xf>
    <xf numFmtId="0" fontId="2" fillId="13" borderId="8" xfId="3" applyFont="1" applyFill="1" applyBorder="1" applyAlignment="1">
      <alignment horizontal="left" indent="2"/>
    </xf>
    <xf numFmtId="0" fontId="13" fillId="13" borderId="8" xfId="3" applyFont="1" applyFill="1" applyBorder="1" applyAlignment="1">
      <alignment horizontal="left" indent="2"/>
    </xf>
    <xf numFmtId="0" fontId="13" fillId="13" borderId="0" xfId="3" applyFont="1" applyFill="1"/>
    <xf numFmtId="0" fontId="2" fillId="13" borderId="32" xfId="3" applyFont="1" applyFill="1" applyBorder="1" applyAlignment="1">
      <alignment horizontal="left" indent="3"/>
    </xf>
    <xf numFmtId="164" fontId="2" fillId="13" borderId="9" xfId="1" applyNumberFormat="1" applyFont="1" applyFill="1" applyBorder="1"/>
    <xf numFmtId="9" fontId="5" fillId="13" borderId="9" xfId="5" applyFont="1" applyFill="1" applyBorder="1"/>
    <xf numFmtId="9" fontId="2" fillId="13" borderId="9" xfId="5" applyFont="1" applyFill="1" applyBorder="1"/>
    <xf numFmtId="0" fontId="13" fillId="0" borderId="8" xfId="3" applyFont="1" applyBorder="1" applyAlignment="1">
      <alignment horizontal="left" indent="2"/>
    </xf>
    <xf numFmtId="0" fontId="2" fillId="0" borderId="32" xfId="3" applyFont="1" applyBorder="1" applyAlignment="1">
      <alignment horizontal="left" indent="3"/>
    </xf>
    <xf numFmtId="0" fontId="13" fillId="17" borderId="8" xfId="3" applyFont="1" applyFill="1" applyBorder="1" applyAlignment="1">
      <alignment horizontal="left" indent="2"/>
    </xf>
    <xf numFmtId="0" fontId="2" fillId="0" borderId="0" xfId="3" applyFont="1" applyAlignment="1">
      <alignment horizontal="right"/>
    </xf>
    <xf numFmtId="3" fontId="2" fillId="4" borderId="9" xfId="3" applyNumberFormat="1" applyFont="1" applyFill="1" applyBorder="1"/>
    <xf numFmtId="164" fontId="2" fillId="4" borderId="9" xfId="1" applyNumberFormat="1" applyFont="1" applyFill="1" applyBorder="1"/>
    <xf numFmtId="9" fontId="2" fillId="0" borderId="11" xfId="5" applyFont="1" applyFill="1" applyBorder="1" applyAlignment="1">
      <alignment wrapText="1"/>
    </xf>
    <xf numFmtId="9" fontId="5" fillId="4" borderId="9" xfId="5" applyFont="1" applyFill="1" applyBorder="1" applyAlignment="1">
      <alignment wrapText="1"/>
    </xf>
    <xf numFmtId="49" fontId="9" fillId="2" borderId="7" xfId="3" applyNumberFormat="1" applyFont="1" applyFill="1" applyBorder="1" applyAlignment="1">
      <alignment horizontal="left" indent="1"/>
    </xf>
    <xf numFmtId="9" fontId="2" fillId="15" borderId="11" xfId="5" applyFont="1" applyFill="1" applyBorder="1" applyAlignment="1">
      <alignment horizontal="left" wrapText="1"/>
    </xf>
    <xf numFmtId="9" fontId="2" fillId="15" borderId="12" xfId="5" applyFont="1" applyFill="1" applyBorder="1" applyAlignment="1">
      <alignment horizontal="left" wrapText="1"/>
    </xf>
    <xf numFmtId="0" fontId="2" fillId="4" borderId="0" xfId="3" quotePrefix="1" applyFont="1" applyFill="1"/>
    <xf numFmtId="0" fontId="2" fillId="4" borderId="0" xfId="3" applyFont="1" applyFill="1"/>
    <xf numFmtId="49" fontId="2" fillId="4" borderId="7" xfId="3" applyNumberFormat="1" applyFont="1" applyFill="1" applyBorder="1" applyAlignment="1">
      <alignment horizontal="left" indent="2"/>
    </xf>
    <xf numFmtId="49" fontId="2" fillId="4" borderId="8" xfId="3" applyNumberFormat="1" applyFont="1" applyFill="1" applyBorder="1" applyAlignment="1">
      <alignment horizontal="left" wrapText="1" indent="4"/>
    </xf>
    <xf numFmtId="0" fontId="24" fillId="0" borderId="0" xfId="3" quotePrefix="1" applyFont="1"/>
    <xf numFmtId="164" fontId="21" fillId="0" borderId="9" xfId="1" applyNumberFormat="1" applyFont="1" applyBorder="1"/>
    <xf numFmtId="9" fontId="21" fillId="9" borderId="9" xfId="5" applyFont="1" applyFill="1" applyBorder="1" applyAlignment="1">
      <alignment wrapText="1"/>
    </xf>
    <xf numFmtId="0" fontId="24" fillId="0" borderId="0" xfId="3" applyFont="1"/>
    <xf numFmtId="9" fontId="2" fillId="12" borderId="9" xfId="5" applyFont="1" applyFill="1" applyBorder="1" applyAlignment="1">
      <alignment wrapText="1"/>
    </xf>
    <xf numFmtId="9" fontId="2" fillId="0" borderId="9" xfId="5" quotePrefix="1" applyFont="1" applyFill="1" applyBorder="1" applyAlignment="1">
      <alignment wrapText="1"/>
    </xf>
    <xf numFmtId="9" fontId="2" fillId="0" borderId="11" xfId="5" applyFont="1" applyFill="1" applyBorder="1" applyAlignment="1">
      <alignment horizontal="left" vertical="center" wrapText="1"/>
    </xf>
    <xf numFmtId="9" fontId="21" fillId="0" borderId="11" xfId="5" applyFont="1" applyFill="1" applyBorder="1" applyAlignment="1">
      <alignment wrapText="1"/>
    </xf>
    <xf numFmtId="9" fontId="2" fillId="0" borderId="12" xfId="5" applyFont="1" applyFill="1" applyBorder="1" applyAlignment="1">
      <alignment horizontal="left" vertical="center" wrapText="1"/>
    </xf>
    <xf numFmtId="0" fontId="17" fillId="0" borderId="0" xfId="3" applyFont="1"/>
    <xf numFmtId="0" fontId="17"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3" fontId="10" fillId="0" borderId="9" xfId="3" applyNumberFormat="1" applyFont="1" applyBorder="1"/>
    <xf numFmtId="0" fontId="18" fillId="0" borderId="0" xfId="3" applyFont="1"/>
    <xf numFmtId="49" fontId="2" fillId="0" borderId="7" xfId="3" applyNumberFormat="1" applyFont="1" applyBorder="1" applyAlignment="1">
      <alignment horizontal="left" indent="3"/>
    </xf>
    <xf numFmtId="9" fontId="14" fillId="0" borderId="9" xfId="5" applyFont="1" applyFill="1" applyBorder="1" applyAlignment="1">
      <alignment wrapText="1"/>
    </xf>
    <xf numFmtId="49" fontId="25" fillId="2" borderId="7" xfId="3" applyNumberFormat="1" applyFont="1" applyFill="1" applyBorder="1" applyAlignment="1">
      <alignment horizontal="left" indent="1"/>
    </xf>
    <xf numFmtId="49" fontId="9" fillId="0" borderId="14" xfId="3" applyNumberFormat="1" applyFont="1" applyBorder="1"/>
    <xf numFmtId="49" fontId="9" fillId="0" borderId="15" xfId="3" applyNumberFormat="1" applyFont="1" applyBorder="1" applyAlignment="1">
      <alignment horizontal="right" wrapText="1"/>
    </xf>
    <xf numFmtId="3" fontId="9" fillId="0" borderId="33" xfId="3" applyNumberFormat="1" applyFont="1" applyBorder="1"/>
    <xf numFmtId="164" fontId="9" fillId="0" borderId="33" xfId="1" applyNumberFormat="1" applyFont="1" applyBorder="1"/>
    <xf numFmtId="9" fontId="9" fillId="0" borderId="33" xfId="5" applyFont="1" applyBorder="1"/>
    <xf numFmtId="9" fontId="5" fillId="15" borderId="9" xfId="5" applyFont="1" applyFill="1" applyBorder="1" applyAlignment="1">
      <alignment wrapText="1"/>
    </xf>
    <xf numFmtId="3" fontId="9" fillId="0" borderId="34" xfId="3" applyNumberFormat="1" applyFont="1" applyBorder="1"/>
    <xf numFmtId="164" fontId="9" fillId="0" borderId="34" xfId="1" applyNumberFormat="1" applyFont="1" applyBorder="1"/>
    <xf numFmtId="9" fontId="2" fillId="0" borderId="34" xfId="5" applyFont="1" applyBorder="1"/>
    <xf numFmtId="49" fontId="9" fillId="3" borderId="35" xfId="3" applyNumberFormat="1" applyFont="1" applyFill="1" applyBorder="1" applyAlignment="1">
      <alignment horizontal="center"/>
    </xf>
    <xf numFmtId="49" fontId="9" fillId="3" borderId="36" xfId="3" applyNumberFormat="1" applyFont="1" applyFill="1" applyBorder="1" applyAlignment="1">
      <alignment wrapText="1"/>
    </xf>
    <xf numFmtId="3" fontId="9" fillId="3" borderId="37" xfId="3" applyNumberFormat="1" applyFont="1" applyFill="1" applyBorder="1"/>
    <xf numFmtId="164" fontId="9" fillId="3" borderId="37" xfId="1" applyNumberFormat="1" applyFont="1" applyFill="1" applyBorder="1"/>
    <xf numFmtId="9" fontId="9" fillId="3" borderId="37" xfId="5" applyFont="1" applyFill="1" applyBorder="1"/>
    <xf numFmtId="164" fontId="2" fillId="0" borderId="0" xfId="1" applyNumberFormat="1" applyFont="1" applyFill="1" applyAlignment="1">
      <alignment wrapText="1"/>
    </xf>
    <xf numFmtId="0" fontId="2" fillId="0" borderId="0" xfId="3" applyFont="1" applyFill="1" applyAlignment="1">
      <alignment wrapText="1"/>
    </xf>
    <xf numFmtId="9" fontId="5" fillId="0" borderId="0" xfId="5" applyFont="1" applyFill="1" applyAlignment="1">
      <alignment wrapText="1"/>
    </xf>
    <xf numFmtId="164" fontId="2" fillId="0" borderId="0" xfId="3" applyNumberFormat="1" applyFont="1" applyFill="1" applyAlignment="1">
      <alignment wrapText="1"/>
    </xf>
    <xf numFmtId="9" fontId="2" fillId="0" borderId="0" xfId="5" applyFont="1" applyFill="1" applyAlignment="1">
      <alignment wrapText="1"/>
    </xf>
    <xf numFmtId="9" fontId="2" fillId="0" borderId="0" xfId="2" applyFont="1" applyFill="1" applyAlignment="1">
      <alignment wrapText="1"/>
    </xf>
    <xf numFmtId="3" fontId="2" fillId="0" borderId="0" xfId="3" applyNumberFormat="1" applyFont="1" applyFill="1" applyAlignment="1">
      <alignment wrapText="1"/>
    </xf>
    <xf numFmtId="164" fontId="2" fillId="0" borderId="0" xfId="1" applyNumberFormat="1" applyFont="1" applyFill="1"/>
    <xf numFmtId="3" fontId="2" fillId="0" borderId="0" xfId="3" applyNumberFormat="1" applyFont="1" applyFill="1"/>
    <xf numFmtId="0" fontId="2" fillId="0" borderId="0" xfId="3" applyFont="1" applyFill="1"/>
    <xf numFmtId="164" fontId="9" fillId="0" borderId="0" xfId="1" applyNumberFormat="1" applyFont="1" applyFill="1"/>
    <xf numFmtId="164" fontId="9" fillId="0" borderId="0" xfId="6" applyNumberFormat="1" applyFont="1" applyFill="1"/>
    <xf numFmtId="9" fontId="5" fillId="0" borderId="0" xfId="5" applyFont="1" applyFill="1"/>
    <xf numFmtId="9" fontId="2" fillId="0" borderId="0" xfId="5" applyFont="1" applyFill="1"/>
  </cellXfs>
  <cellStyles count="10">
    <cellStyle name="Comma" xfId="1" builtinId="3"/>
    <cellStyle name="Hyperlink" xfId="7" builtinId="8"/>
    <cellStyle name="Komats 10" xfId="6" xr:uid="{607EE2F7-5245-41B4-8497-1880E7EF3E87}"/>
    <cellStyle name="Normal" xfId="0" builtinId="0"/>
    <cellStyle name="Normal 2 2" xfId="8" xr:uid="{BB54A1B9-5E48-458B-B496-7755AF389F33}"/>
    <cellStyle name="Parasts 2 2 5" xfId="3" xr:uid="{EA52EC35-0E2C-433D-B319-B94FD3830664}"/>
    <cellStyle name="Parasts 2 2 5 2" xfId="4" xr:uid="{578ADCF7-76BE-474F-97E1-D9A957F4205E}"/>
    <cellStyle name="Percent" xfId="2" builtinId="5"/>
    <cellStyle name="Percent 4" xfId="9" xr:uid="{8282A996-EE46-47B3-AF87-C6A0B1C74DF7}"/>
    <cellStyle name="Procenti 2 3" xfId="5" xr:uid="{A6F66F64-9066-42E9-8034-17305A94D280}"/>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2024\12_2024\1_Budzets_2024_Decembris.xlsx" TargetMode="External"/><Relationship Id="rId1" Type="http://schemas.openxmlformats.org/officeDocument/2006/relationships/externalLinkPath" Target="1_Budzets_2024_Decembr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Izpilde"/>
      <sheetName val="IIN_PFIF"/>
      <sheetName val="Filtri"/>
      <sheetName val="Faila apraksts"/>
      <sheetName val="INPUT_nekopet"/>
      <sheetName val="BAZE_2024"/>
      <sheetName val="Nodalas"/>
      <sheetName val="EKK"/>
      <sheetName val="Investīcijas_2024"/>
      <sheetName val="Ieņēmumi_28122023"/>
      <sheetName val="Tames"/>
      <sheetName val="OKT_Groz"/>
      <sheetName val="2024.gada budzeta plans_apvieno"/>
      <sheetName val="Grafiki_budžeta_izpilde"/>
      <sheetName val="2022-2027"/>
      <sheetName val="KA_31122023"/>
      <sheetName val="CKS"/>
      <sheetName val="Grafiki"/>
      <sheetName val="Grafiki_2024"/>
      <sheetName val="PII_mac_lidz"/>
      <sheetName val="0630_Tāmes"/>
      <sheetName val="0930_Tāmes"/>
      <sheetName val="0812_Sporta pasākumi_komandas"/>
      <sheetName val="0812_Subsīdijas sportam"/>
      <sheetName val="0841.1_Svētku tāmes paraugs"/>
      <sheetName val="0841ĀKC Skatuves gaismu sistēma"/>
      <sheetName val="Investicijas_2023_2026"/>
      <sheetName val="31122022_final"/>
      <sheetName val="Algas_2024"/>
      <sheetName val="5.piel.EKK"/>
      <sheetName val="Deputāti"/>
      <sheetName val="Velesanu_komis_loc"/>
      <sheetName val="Adm_komisija"/>
      <sheetName val="Iepirk_komisija"/>
      <sheetName val="Komisij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14E0-EFEC-4E11-94D7-DB7D8809DC0C}">
  <sheetPr>
    <tabColor rgb="FF92D050"/>
  </sheetPr>
  <dimension ref="A1:AN302"/>
  <sheetViews>
    <sheetView tabSelected="1" zoomScaleNormal="100" zoomScaleSheetLayoutView="80" workbookViewId="0">
      <pane xSplit="4" ySplit="5" topLeftCell="I6" activePane="bottomRight" state="frozen"/>
      <selection activeCell="C1" sqref="C1"/>
      <selection pane="topRight" activeCell="E1" sqref="E1"/>
      <selection pane="bottomLeft" activeCell="C6" sqref="C6"/>
      <selection pane="bottomRight" activeCell="A303" sqref="A303:XFD322"/>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55" customWidth="1" collapsed="1"/>
    <col min="4" max="4" width="44" style="4" customWidth="1"/>
    <col min="5" max="5" width="14.85546875" style="9" customWidth="1"/>
    <col min="6" max="6" width="14.85546875" style="10" customWidth="1" collapsed="1"/>
    <col min="7" max="7" width="14.85546875" style="1" hidden="1" customWidth="1" outlineLevel="1"/>
    <col min="8" max="8" width="54" style="17" hidden="1" customWidth="1" outlineLevel="1" collapsed="1"/>
    <col min="9" max="9" width="14.85546875" style="1" customWidth="1" collapsed="1"/>
    <col min="10" max="10" width="14.85546875" style="1" hidden="1" customWidth="1" outlineLevel="1"/>
    <col min="11" max="11" width="56.42578125" style="18" hidden="1" customWidth="1" outlineLevel="1" collapsed="1"/>
    <col min="12" max="12" width="14.85546875" style="1" customWidth="1" collapsed="1"/>
    <col min="13" max="13" width="14.85546875" style="1" hidden="1" customWidth="1" outlineLevel="1"/>
    <col min="14" max="14" width="64.85546875" style="18" hidden="1" customWidth="1" outlineLevel="1" collapsed="1"/>
    <col min="15" max="15" width="14.85546875" style="1" customWidth="1" collapsed="1"/>
    <col min="16" max="16" width="14.85546875" style="1" hidden="1" customWidth="1" outlineLevel="1"/>
    <col min="17" max="17" width="56.42578125" style="18" hidden="1" customWidth="1" outlineLevel="1" collapsed="1"/>
    <col min="18" max="18" width="14.85546875" style="1" customWidth="1" collapsed="1"/>
    <col min="19" max="19" width="14.85546875" style="1" hidden="1" customWidth="1" outlineLevel="1"/>
    <col min="20" max="20" width="68.85546875" style="18" hidden="1" customWidth="1" outlineLevel="1" collapsed="1"/>
    <col min="21" max="21" width="14.85546875" style="1" customWidth="1" collapsed="1"/>
    <col min="22" max="22" width="14.85546875" style="1" hidden="1" customWidth="1" outlineLevel="1"/>
    <col min="23" max="23" width="56" style="18" hidden="1" customWidth="1" outlineLevel="1" collapsed="1"/>
    <col min="24" max="24" width="14.85546875" style="1" customWidth="1" collapsed="1"/>
    <col min="25" max="25" width="14.85546875" style="1" hidden="1" customWidth="1" outlineLevel="1"/>
    <col min="26" max="26" width="63.85546875" style="18" hidden="1" customWidth="1" outlineLevel="1" collapsed="1"/>
    <col min="27" max="27" width="14.85546875" style="1" customWidth="1" collapsed="1"/>
    <col min="28" max="28" width="14.85546875" style="1" customWidth="1"/>
    <col min="29" max="29" width="63.85546875" style="18" customWidth="1" collapsed="1"/>
    <col min="30" max="191" width="9.140625" style="1"/>
    <col min="192" max="193" width="0" style="1" hidden="1" customWidth="1"/>
    <col min="194" max="194" width="13.7109375" style="1" customWidth="1"/>
    <col min="195" max="195" width="52.85546875" style="1" customWidth="1"/>
    <col min="196" max="235" width="0" style="1" hidden="1" customWidth="1"/>
    <col min="236" max="237" width="14.85546875" style="1" customWidth="1"/>
    <col min="238" max="239" width="0" style="1" hidden="1" customWidth="1"/>
    <col min="240" max="240" width="14.85546875" style="1" customWidth="1"/>
    <col min="241" max="242" width="0" style="1" hidden="1" customWidth="1"/>
    <col min="243" max="243" width="14.85546875" style="1" customWidth="1"/>
    <col min="244" max="245" width="0" style="1" hidden="1" customWidth="1"/>
    <col min="246" max="246" width="14.85546875" style="1" customWidth="1"/>
    <col min="247" max="248" width="0" style="1" hidden="1" customWidth="1"/>
    <col min="249" max="249" width="14.85546875" style="1" customWidth="1"/>
    <col min="250" max="251" width="0" style="1" hidden="1" customWidth="1"/>
    <col min="252" max="253" width="14.85546875" style="1" customWidth="1"/>
    <col min="254" max="254" width="44.42578125" style="1" customWidth="1"/>
    <col min="255" max="259" width="14.85546875" style="1" customWidth="1"/>
    <col min="260" max="260" width="63.85546875" style="1" customWidth="1"/>
    <col min="261" max="261" width="13.28515625" style="1" customWidth="1"/>
    <col min="262" max="447" width="9.140625" style="1"/>
    <col min="448" max="449" width="0" style="1" hidden="1" customWidth="1"/>
    <col min="450" max="450" width="13.7109375" style="1" customWidth="1"/>
    <col min="451" max="451" width="52.85546875" style="1" customWidth="1"/>
    <col min="452" max="491" width="0" style="1" hidden="1" customWidth="1"/>
    <col min="492" max="493" width="14.85546875" style="1" customWidth="1"/>
    <col min="494" max="495" width="0" style="1" hidden="1" customWidth="1"/>
    <col min="496" max="496" width="14.85546875" style="1" customWidth="1"/>
    <col min="497" max="498" width="0" style="1" hidden="1" customWidth="1"/>
    <col min="499" max="499" width="14.85546875" style="1" customWidth="1"/>
    <col min="500" max="501" width="0" style="1" hidden="1" customWidth="1"/>
    <col min="502" max="502" width="14.85546875" style="1" customWidth="1"/>
    <col min="503" max="504" width="0" style="1" hidden="1" customWidth="1"/>
    <col min="505" max="505" width="14.85546875" style="1" customWidth="1"/>
    <col min="506" max="507" width="0" style="1" hidden="1" customWidth="1"/>
    <col min="508" max="509" width="14.85546875" style="1" customWidth="1"/>
    <col min="510" max="510" width="44.42578125" style="1" customWidth="1"/>
    <col min="511" max="515" width="14.85546875" style="1" customWidth="1"/>
    <col min="516" max="516" width="63.85546875" style="1" customWidth="1"/>
    <col min="517" max="517" width="13.28515625" style="1" customWidth="1"/>
    <col min="518" max="703" width="9.140625" style="1"/>
    <col min="704" max="705" width="0" style="1" hidden="1" customWidth="1"/>
    <col min="706" max="706" width="13.7109375" style="1" customWidth="1"/>
    <col min="707" max="707" width="52.85546875" style="1" customWidth="1"/>
    <col min="708" max="747" width="0" style="1" hidden="1" customWidth="1"/>
    <col min="748" max="749" width="14.85546875" style="1" customWidth="1"/>
    <col min="750" max="751" width="0" style="1" hidden="1" customWidth="1"/>
    <col min="752" max="752" width="14.85546875" style="1" customWidth="1"/>
    <col min="753" max="754" width="0" style="1" hidden="1" customWidth="1"/>
    <col min="755" max="755" width="14.85546875" style="1" customWidth="1"/>
    <col min="756" max="757" width="0" style="1" hidden="1" customWidth="1"/>
    <col min="758" max="758" width="14.85546875" style="1" customWidth="1"/>
    <col min="759" max="760" width="0" style="1" hidden="1" customWidth="1"/>
    <col min="761" max="761" width="14.85546875" style="1" customWidth="1"/>
    <col min="762" max="763" width="0" style="1" hidden="1" customWidth="1"/>
    <col min="764" max="765" width="14.85546875" style="1" customWidth="1"/>
    <col min="766" max="766" width="44.42578125" style="1" customWidth="1"/>
    <col min="767" max="771" width="14.85546875" style="1" customWidth="1"/>
    <col min="772" max="772" width="63.85546875" style="1" customWidth="1"/>
    <col min="773" max="773" width="13.28515625" style="1" customWidth="1"/>
    <col min="774" max="959" width="9.140625" style="1"/>
    <col min="960" max="961" width="0" style="1" hidden="1" customWidth="1"/>
    <col min="962" max="962" width="13.7109375" style="1" customWidth="1"/>
    <col min="963" max="963" width="52.85546875" style="1" customWidth="1"/>
    <col min="964" max="1003" width="0" style="1" hidden="1" customWidth="1"/>
    <col min="1004" max="1005" width="14.85546875" style="1" customWidth="1"/>
    <col min="1006" max="1007" width="0" style="1" hidden="1" customWidth="1"/>
    <col min="1008" max="1008" width="14.85546875" style="1" customWidth="1"/>
    <col min="1009" max="1010" width="0" style="1" hidden="1" customWidth="1"/>
    <col min="1011" max="1011" width="14.85546875" style="1" customWidth="1"/>
    <col min="1012" max="1013" width="0" style="1" hidden="1" customWidth="1"/>
    <col min="1014" max="1014" width="14.85546875" style="1" customWidth="1"/>
    <col min="1015" max="1016" width="0" style="1" hidden="1" customWidth="1"/>
    <col min="1017" max="1017" width="14.85546875" style="1" customWidth="1"/>
    <col min="1018" max="1019" width="0" style="1" hidden="1" customWidth="1"/>
    <col min="1020" max="1021" width="14.85546875" style="1" customWidth="1"/>
    <col min="1022" max="1022" width="44.42578125" style="1" customWidth="1"/>
    <col min="1023" max="1027" width="14.85546875" style="1" customWidth="1"/>
    <col min="1028" max="1028" width="63.85546875" style="1" customWidth="1"/>
    <col min="1029" max="1029" width="13.28515625" style="1" customWidth="1"/>
    <col min="1030" max="1215" width="9.140625" style="1"/>
    <col min="1216" max="1217" width="0" style="1" hidden="1" customWidth="1"/>
    <col min="1218" max="1218" width="13.7109375" style="1" customWidth="1"/>
    <col min="1219" max="1219" width="52.85546875" style="1" customWidth="1"/>
    <col min="1220" max="1259" width="0" style="1" hidden="1" customWidth="1"/>
    <col min="1260" max="1261" width="14.85546875" style="1" customWidth="1"/>
    <col min="1262" max="1263" width="0" style="1" hidden="1" customWidth="1"/>
    <col min="1264" max="1264" width="14.85546875" style="1" customWidth="1"/>
    <col min="1265" max="1266" width="0" style="1" hidden="1" customWidth="1"/>
    <col min="1267" max="1267" width="14.85546875" style="1" customWidth="1"/>
    <col min="1268" max="1269" width="0" style="1" hidden="1" customWidth="1"/>
    <col min="1270" max="1270" width="14.85546875" style="1" customWidth="1"/>
    <col min="1271" max="1272" width="0" style="1" hidden="1" customWidth="1"/>
    <col min="1273" max="1273" width="14.85546875" style="1" customWidth="1"/>
    <col min="1274" max="1275" width="0" style="1" hidden="1" customWidth="1"/>
    <col min="1276" max="1277" width="14.85546875" style="1" customWidth="1"/>
    <col min="1278" max="1278" width="44.42578125" style="1" customWidth="1"/>
    <col min="1279" max="1283" width="14.85546875" style="1" customWidth="1"/>
    <col min="1284" max="1284" width="63.85546875" style="1" customWidth="1"/>
    <col min="1285" max="1285" width="13.28515625" style="1" customWidth="1"/>
    <col min="1286" max="1471" width="9.140625" style="1"/>
    <col min="1472" max="1473" width="0" style="1" hidden="1" customWidth="1"/>
    <col min="1474" max="1474" width="13.7109375" style="1" customWidth="1"/>
    <col min="1475" max="1475" width="52.85546875" style="1" customWidth="1"/>
    <col min="1476" max="1515" width="0" style="1" hidden="1" customWidth="1"/>
    <col min="1516" max="1517" width="14.85546875" style="1" customWidth="1"/>
    <col min="1518" max="1519" width="0" style="1" hidden="1" customWidth="1"/>
    <col min="1520" max="1520" width="14.85546875" style="1" customWidth="1"/>
    <col min="1521" max="1522" width="0" style="1" hidden="1" customWidth="1"/>
    <col min="1523" max="1523" width="14.85546875" style="1" customWidth="1"/>
    <col min="1524" max="1525" width="0" style="1" hidden="1" customWidth="1"/>
    <col min="1526" max="1526" width="14.85546875" style="1" customWidth="1"/>
    <col min="1527" max="1528" width="0" style="1" hidden="1" customWidth="1"/>
    <col min="1529" max="1529" width="14.85546875" style="1" customWidth="1"/>
    <col min="1530" max="1531" width="0" style="1" hidden="1" customWidth="1"/>
    <col min="1532" max="1533" width="14.85546875" style="1" customWidth="1"/>
    <col min="1534" max="1534" width="44.42578125" style="1" customWidth="1"/>
    <col min="1535" max="1539" width="14.85546875" style="1" customWidth="1"/>
    <col min="1540" max="1540" width="63.85546875" style="1" customWidth="1"/>
    <col min="1541" max="1541" width="13.28515625" style="1" customWidth="1"/>
    <col min="1542" max="1727" width="9.140625" style="1"/>
    <col min="1728" max="1729" width="0" style="1" hidden="1" customWidth="1"/>
    <col min="1730" max="1730" width="13.7109375" style="1" customWidth="1"/>
    <col min="1731" max="1731" width="52.85546875" style="1" customWidth="1"/>
    <col min="1732" max="1771" width="0" style="1" hidden="1" customWidth="1"/>
    <col min="1772" max="1773" width="14.85546875" style="1" customWidth="1"/>
    <col min="1774" max="1775" width="0" style="1" hidden="1" customWidth="1"/>
    <col min="1776" max="1776" width="14.85546875" style="1" customWidth="1"/>
    <col min="1777" max="1778" width="0" style="1" hidden="1" customWidth="1"/>
    <col min="1779" max="1779" width="14.85546875" style="1" customWidth="1"/>
    <col min="1780" max="1781" width="0" style="1" hidden="1" customWidth="1"/>
    <col min="1782" max="1782" width="14.85546875" style="1" customWidth="1"/>
    <col min="1783" max="1784" width="0" style="1" hidden="1" customWidth="1"/>
    <col min="1785" max="1785" width="14.85546875" style="1" customWidth="1"/>
    <col min="1786" max="1787" width="0" style="1" hidden="1" customWidth="1"/>
    <col min="1788" max="1789" width="14.85546875" style="1" customWidth="1"/>
    <col min="1790" max="1790" width="44.42578125" style="1" customWidth="1"/>
    <col min="1791" max="1795" width="14.85546875" style="1" customWidth="1"/>
    <col min="1796" max="1796" width="63.85546875" style="1" customWidth="1"/>
    <col min="1797" max="1797" width="13.28515625" style="1" customWidth="1"/>
    <col min="1798" max="1983" width="9.140625" style="1"/>
    <col min="1984" max="1985" width="0" style="1" hidden="1" customWidth="1"/>
    <col min="1986" max="1986" width="13.7109375" style="1" customWidth="1"/>
    <col min="1987" max="1987" width="52.85546875" style="1" customWidth="1"/>
    <col min="1988" max="2027" width="0" style="1" hidden="1" customWidth="1"/>
    <col min="2028" max="2029" width="14.85546875" style="1" customWidth="1"/>
    <col min="2030" max="2031" width="0" style="1" hidden="1" customWidth="1"/>
    <col min="2032" max="2032" width="14.85546875" style="1" customWidth="1"/>
    <col min="2033" max="2034" width="0" style="1" hidden="1" customWidth="1"/>
    <col min="2035" max="2035" width="14.85546875" style="1" customWidth="1"/>
    <col min="2036" max="2037" width="0" style="1" hidden="1" customWidth="1"/>
    <col min="2038" max="2038" width="14.85546875" style="1" customWidth="1"/>
    <col min="2039" max="2040" width="0" style="1" hidden="1" customWidth="1"/>
    <col min="2041" max="2041" width="14.85546875" style="1" customWidth="1"/>
    <col min="2042" max="2043" width="0" style="1" hidden="1" customWidth="1"/>
    <col min="2044" max="2045" width="14.85546875" style="1" customWidth="1"/>
    <col min="2046" max="2046" width="44.42578125" style="1" customWidth="1"/>
    <col min="2047" max="2051" width="14.85546875" style="1" customWidth="1"/>
    <col min="2052" max="2052" width="63.85546875" style="1" customWidth="1"/>
    <col min="2053" max="2053" width="13.28515625" style="1" customWidth="1"/>
    <col min="2054" max="2239" width="9.140625" style="1"/>
    <col min="2240" max="2241" width="0" style="1" hidden="1" customWidth="1"/>
    <col min="2242" max="2242" width="13.7109375" style="1" customWidth="1"/>
    <col min="2243" max="2243" width="52.85546875" style="1" customWidth="1"/>
    <col min="2244" max="2283" width="0" style="1" hidden="1" customWidth="1"/>
    <col min="2284" max="2285" width="14.85546875" style="1" customWidth="1"/>
    <col min="2286" max="2287" width="0" style="1" hidden="1" customWidth="1"/>
    <col min="2288" max="2288" width="14.85546875" style="1" customWidth="1"/>
    <col min="2289" max="2290" width="0" style="1" hidden="1" customWidth="1"/>
    <col min="2291" max="2291" width="14.85546875" style="1" customWidth="1"/>
    <col min="2292" max="2293" width="0" style="1" hidden="1" customWidth="1"/>
    <col min="2294" max="2294" width="14.85546875" style="1" customWidth="1"/>
    <col min="2295" max="2296" width="0" style="1" hidden="1" customWidth="1"/>
    <col min="2297" max="2297" width="14.85546875" style="1" customWidth="1"/>
    <col min="2298" max="2299" width="0" style="1" hidden="1" customWidth="1"/>
    <col min="2300" max="2301" width="14.85546875" style="1" customWidth="1"/>
    <col min="2302" max="2302" width="44.42578125" style="1" customWidth="1"/>
    <col min="2303" max="2307" width="14.85546875" style="1" customWidth="1"/>
    <col min="2308" max="2308" width="63.85546875" style="1" customWidth="1"/>
    <col min="2309" max="2309" width="13.28515625" style="1" customWidth="1"/>
    <col min="2310" max="2495" width="9.140625" style="1"/>
    <col min="2496" max="2497" width="0" style="1" hidden="1" customWidth="1"/>
    <col min="2498" max="2498" width="13.7109375" style="1" customWidth="1"/>
    <col min="2499" max="2499" width="52.85546875" style="1" customWidth="1"/>
    <col min="2500" max="2539" width="0" style="1" hidden="1" customWidth="1"/>
    <col min="2540" max="2541" width="14.85546875" style="1" customWidth="1"/>
    <col min="2542" max="2543" width="0" style="1" hidden="1" customWidth="1"/>
    <col min="2544" max="2544" width="14.85546875" style="1" customWidth="1"/>
    <col min="2545" max="2546" width="0" style="1" hidden="1" customWidth="1"/>
    <col min="2547" max="2547" width="14.85546875" style="1" customWidth="1"/>
    <col min="2548" max="2549" width="0" style="1" hidden="1" customWidth="1"/>
    <col min="2550" max="2550" width="14.85546875" style="1" customWidth="1"/>
    <col min="2551" max="2552" width="0" style="1" hidden="1" customWidth="1"/>
    <col min="2553" max="2553" width="14.85546875" style="1" customWidth="1"/>
    <col min="2554" max="2555" width="0" style="1" hidden="1" customWidth="1"/>
    <col min="2556" max="2557" width="14.85546875" style="1" customWidth="1"/>
    <col min="2558" max="2558" width="44.42578125" style="1" customWidth="1"/>
    <col min="2559" max="2563" width="14.85546875" style="1" customWidth="1"/>
    <col min="2564" max="2564" width="63.85546875" style="1" customWidth="1"/>
    <col min="2565" max="2565" width="13.28515625" style="1" customWidth="1"/>
    <col min="2566" max="2751" width="9.140625" style="1"/>
    <col min="2752" max="2753" width="0" style="1" hidden="1" customWidth="1"/>
    <col min="2754" max="2754" width="13.7109375" style="1" customWidth="1"/>
    <col min="2755" max="2755" width="52.85546875" style="1" customWidth="1"/>
    <col min="2756" max="2795" width="0" style="1" hidden="1" customWidth="1"/>
    <col min="2796" max="2797" width="14.85546875" style="1" customWidth="1"/>
    <col min="2798" max="2799" width="0" style="1" hidden="1" customWidth="1"/>
    <col min="2800" max="2800" width="14.85546875" style="1" customWidth="1"/>
    <col min="2801" max="2802" width="0" style="1" hidden="1" customWidth="1"/>
    <col min="2803" max="2803" width="14.85546875" style="1" customWidth="1"/>
    <col min="2804" max="2805" width="0" style="1" hidden="1" customWidth="1"/>
    <col min="2806" max="2806" width="14.85546875" style="1" customWidth="1"/>
    <col min="2807" max="2808" width="0" style="1" hidden="1" customWidth="1"/>
    <col min="2809" max="2809" width="14.85546875" style="1" customWidth="1"/>
    <col min="2810" max="2811" width="0" style="1" hidden="1" customWidth="1"/>
    <col min="2812" max="2813" width="14.85546875" style="1" customWidth="1"/>
    <col min="2814" max="2814" width="44.42578125" style="1" customWidth="1"/>
    <col min="2815" max="2819" width="14.85546875" style="1" customWidth="1"/>
    <col min="2820" max="2820" width="63.85546875" style="1" customWidth="1"/>
    <col min="2821" max="2821" width="13.28515625" style="1" customWidth="1"/>
    <col min="2822" max="3007" width="9.140625" style="1"/>
    <col min="3008" max="3009" width="0" style="1" hidden="1" customWidth="1"/>
    <col min="3010" max="3010" width="13.7109375" style="1" customWidth="1"/>
    <col min="3011" max="3011" width="52.85546875" style="1" customWidth="1"/>
    <col min="3012" max="3051" width="0" style="1" hidden="1" customWidth="1"/>
    <col min="3052" max="3053" width="14.85546875" style="1" customWidth="1"/>
    <col min="3054" max="3055" width="0" style="1" hidden="1" customWidth="1"/>
    <col min="3056" max="3056" width="14.85546875" style="1" customWidth="1"/>
    <col min="3057" max="3058" width="0" style="1" hidden="1" customWidth="1"/>
    <col min="3059" max="3059" width="14.85546875" style="1" customWidth="1"/>
    <col min="3060" max="3061" width="0" style="1" hidden="1" customWidth="1"/>
    <col min="3062" max="3062" width="14.85546875" style="1" customWidth="1"/>
    <col min="3063" max="3064" width="0" style="1" hidden="1" customWidth="1"/>
    <col min="3065" max="3065" width="14.85546875" style="1" customWidth="1"/>
    <col min="3066" max="3067" width="0" style="1" hidden="1" customWidth="1"/>
    <col min="3068" max="3069" width="14.85546875" style="1" customWidth="1"/>
    <col min="3070" max="3070" width="44.42578125" style="1" customWidth="1"/>
    <col min="3071" max="3075" width="14.85546875" style="1" customWidth="1"/>
    <col min="3076" max="3076" width="63.85546875" style="1" customWidth="1"/>
    <col min="3077" max="3077" width="13.28515625" style="1" customWidth="1"/>
    <col min="3078" max="3263" width="9.140625" style="1"/>
    <col min="3264" max="3265" width="0" style="1" hidden="1" customWidth="1"/>
    <col min="3266" max="3266" width="13.7109375" style="1" customWidth="1"/>
    <col min="3267" max="3267" width="52.85546875" style="1" customWidth="1"/>
    <col min="3268" max="3307" width="0" style="1" hidden="1" customWidth="1"/>
    <col min="3308" max="3309" width="14.85546875" style="1" customWidth="1"/>
    <col min="3310" max="3311" width="0" style="1" hidden="1" customWidth="1"/>
    <col min="3312" max="3312" width="14.85546875" style="1" customWidth="1"/>
    <col min="3313" max="3314" width="0" style="1" hidden="1" customWidth="1"/>
    <col min="3315" max="3315" width="14.85546875" style="1" customWidth="1"/>
    <col min="3316" max="3317" width="0" style="1" hidden="1" customWidth="1"/>
    <col min="3318" max="3318" width="14.85546875" style="1" customWidth="1"/>
    <col min="3319" max="3320" width="0" style="1" hidden="1" customWidth="1"/>
    <col min="3321" max="3321" width="14.85546875" style="1" customWidth="1"/>
    <col min="3322" max="3323" width="0" style="1" hidden="1" customWidth="1"/>
    <col min="3324" max="3325" width="14.85546875" style="1" customWidth="1"/>
    <col min="3326" max="3326" width="44.42578125" style="1" customWidth="1"/>
    <col min="3327" max="3331" width="14.85546875" style="1" customWidth="1"/>
    <col min="3332" max="3332" width="63.85546875" style="1" customWidth="1"/>
    <col min="3333" max="3333" width="13.28515625" style="1" customWidth="1"/>
    <col min="3334" max="3519" width="9.140625" style="1"/>
    <col min="3520" max="3521" width="0" style="1" hidden="1" customWidth="1"/>
    <col min="3522" max="3522" width="13.7109375" style="1" customWidth="1"/>
    <col min="3523" max="3523" width="52.85546875" style="1" customWidth="1"/>
    <col min="3524" max="3563" width="0" style="1" hidden="1" customWidth="1"/>
    <col min="3564" max="3565" width="14.85546875" style="1" customWidth="1"/>
    <col min="3566" max="3567" width="0" style="1" hidden="1" customWidth="1"/>
    <col min="3568" max="3568" width="14.85546875" style="1" customWidth="1"/>
    <col min="3569" max="3570" width="0" style="1" hidden="1" customWidth="1"/>
    <col min="3571" max="3571" width="14.85546875" style="1" customWidth="1"/>
    <col min="3572" max="3573" width="0" style="1" hidden="1" customWidth="1"/>
    <col min="3574" max="3574" width="14.85546875" style="1" customWidth="1"/>
    <col min="3575" max="3576" width="0" style="1" hidden="1" customWidth="1"/>
    <col min="3577" max="3577" width="14.85546875" style="1" customWidth="1"/>
    <col min="3578" max="3579" width="0" style="1" hidden="1" customWidth="1"/>
    <col min="3580" max="3581" width="14.85546875" style="1" customWidth="1"/>
    <col min="3582" max="3582" width="44.42578125" style="1" customWidth="1"/>
    <col min="3583" max="3587" width="14.85546875" style="1" customWidth="1"/>
    <col min="3588" max="3588" width="63.85546875" style="1" customWidth="1"/>
    <col min="3589" max="3589" width="13.28515625" style="1" customWidth="1"/>
    <col min="3590" max="3775" width="9.140625" style="1"/>
    <col min="3776" max="3777" width="0" style="1" hidden="1" customWidth="1"/>
    <col min="3778" max="3778" width="13.7109375" style="1" customWidth="1"/>
    <col min="3779" max="3779" width="52.85546875" style="1" customWidth="1"/>
    <col min="3780" max="3819" width="0" style="1" hidden="1" customWidth="1"/>
    <col min="3820" max="3821" width="14.85546875" style="1" customWidth="1"/>
    <col min="3822" max="3823" width="0" style="1" hidden="1" customWidth="1"/>
    <col min="3824" max="3824" width="14.85546875" style="1" customWidth="1"/>
    <col min="3825" max="3826" width="0" style="1" hidden="1" customWidth="1"/>
    <col min="3827" max="3827" width="14.85546875" style="1" customWidth="1"/>
    <col min="3828" max="3829" width="0" style="1" hidden="1" customWidth="1"/>
    <col min="3830" max="3830" width="14.85546875" style="1" customWidth="1"/>
    <col min="3831" max="3832" width="0" style="1" hidden="1" customWidth="1"/>
    <col min="3833" max="3833" width="14.85546875" style="1" customWidth="1"/>
    <col min="3834" max="3835" width="0" style="1" hidden="1" customWidth="1"/>
    <col min="3836" max="3837" width="14.85546875" style="1" customWidth="1"/>
    <col min="3838" max="3838" width="44.42578125" style="1" customWidth="1"/>
    <col min="3839" max="3843" width="14.85546875" style="1" customWidth="1"/>
    <col min="3844" max="3844" width="63.85546875" style="1" customWidth="1"/>
    <col min="3845" max="3845" width="13.28515625" style="1" customWidth="1"/>
    <col min="3846" max="4031" width="9.140625" style="1"/>
    <col min="4032" max="4033" width="0" style="1" hidden="1" customWidth="1"/>
    <col min="4034" max="4034" width="13.7109375" style="1" customWidth="1"/>
    <col min="4035" max="4035" width="52.85546875" style="1" customWidth="1"/>
    <col min="4036" max="4075" width="0" style="1" hidden="1" customWidth="1"/>
    <col min="4076" max="4077" width="14.85546875" style="1" customWidth="1"/>
    <col min="4078" max="4079" width="0" style="1" hidden="1" customWidth="1"/>
    <col min="4080" max="4080" width="14.85546875" style="1" customWidth="1"/>
    <col min="4081" max="4082" width="0" style="1" hidden="1" customWidth="1"/>
    <col min="4083" max="4083" width="14.85546875" style="1" customWidth="1"/>
    <col min="4084" max="4085" width="0" style="1" hidden="1" customWidth="1"/>
    <col min="4086" max="4086" width="14.85546875" style="1" customWidth="1"/>
    <col min="4087" max="4088" width="0" style="1" hidden="1" customWidth="1"/>
    <col min="4089" max="4089" width="14.85546875" style="1" customWidth="1"/>
    <col min="4090" max="4091" width="0" style="1" hidden="1" customWidth="1"/>
    <col min="4092" max="4093" width="14.85546875" style="1" customWidth="1"/>
    <col min="4094" max="4094" width="44.42578125" style="1" customWidth="1"/>
    <col min="4095" max="4099" width="14.85546875" style="1" customWidth="1"/>
    <col min="4100" max="4100" width="63.85546875" style="1" customWidth="1"/>
    <col min="4101" max="4101" width="13.28515625" style="1" customWidth="1"/>
    <col min="4102" max="4287" width="9.140625" style="1"/>
    <col min="4288" max="4289" width="0" style="1" hidden="1" customWidth="1"/>
    <col min="4290" max="4290" width="13.7109375" style="1" customWidth="1"/>
    <col min="4291" max="4291" width="52.85546875" style="1" customWidth="1"/>
    <col min="4292" max="4331" width="0" style="1" hidden="1" customWidth="1"/>
    <col min="4332" max="4333" width="14.85546875" style="1" customWidth="1"/>
    <col min="4334" max="4335" width="0" style="1" hidden="1" customWidth="1"/>
    <col min="4336" max="4336" width="14.85546875" style="1" customWidth="1"/>
    <col min="4337" max="4338" width="0" style="1" hidden="1" customWidth="1"/>
    <col min="4339" max="4339" width="14.85546875" style="1" customWidth="1"/>
    <col min="4340" max="4341" width="0" style="1" hidden="1" customWidth="1"/>
    <col min="4342" max="4342" width="14.85546875" style="1" customWidth="1"/>
    <col min="4343" max="4344" width="0" style="1" hidden="1" customWidth="1"/>
    <col min="4345" max="4345" width="14.85546875" style="1" customWidth="1"/>
    <col min="4346" max="4347" width="0" style="1" hidden="1" customWidth="1"/>
    <col min="4348" max="4349" width="14.85546875" style="1" customWidth="1"/>
    <col min="4350" max="4350" width="44.42578125" style="1" customWidth="1"/>
    <col min="4351" max="4355" width="14.85546875" style="1" customWidth="1"/>
    <col min="4356" max="4356" width="63.85546875" style="1" customWidth="1"/>
    <col min="4357" max="4357" width="13.28515625" style="1" customWidth="1"/>
    <col min="4358" max="4543" width="9.140625" style="1"/>
    <col min="4544" max="4545" width="0" style="1" hidden="1" customWidth="1"/>
    <col min="4546" max="4546" width="13.7109375" style="1" customWidth="1"/>
    <col min="4547" max="4547" width="52.85546875" style="1" customWidth="1"/>
    <col min="4548" max="4587" width="0" style="1" hidden="1" customWidth="1"/>
    <col min="4588" max="4589" width="14.85546875" style="1" customWidth="1"/>
    <col min="4590" max="4591" width="0" style="1" hidden="1" customWidth="1"/>
    <col min="4592" max="4592" width="14.85546875" style="1" customWidth="1"/>
    <col min="4593" max="4594" width="0" style="1" hidden="1" customWidth="1"/>
    <col min="4595" max="4595" width="14.85546875" style="1" customWidth="1"/>
    <col min="4596" max="4597" width="0" style="1" hidden="1" customWidth="1"/>
    <col min="4598" max="4598" width="14.85546875" style="1" customWidth="1"/>
    <col min="4599" max="4600" width="0" style="1" hidden="1" customWidth="1"/>
    <col min="4601" max="4601" width="14.85546875" style="1" customWidth="1"/>
    <col min="4602" max="4603" width="0" style="1" hidden="1" customWidth="1"/>
    <col min="4604" max="4605" width="14.85546875" style="1" customWidth="1"/>
    <col min="4606" max="4606" width="44.42578125" style="1" customWidth="1"/>
    <col min="4607" max="4611" width="14.85546875" style="1" customWidth="1"/>
    <col min="4612" max="4612" width="63.85546875" style="1" customWidth="1"/>
    <col min="4613" max="4613" width="13.28515625" style="1" customWidth="1"/>
    <col min="4614" max="4799" width="9.140625" style="1"/>
    <col min="4800" max="4801" width="0" style="1" hidden="1" customWidth="1"/>
    <col min="4802" max="4802" width="13.7109375" style="1" customWidth="1"/>
    <col min="4803" max="4803" width="52.85546875" style="1" customWidth="1"/>
    <col min="4804" max="4843" width="0" style="1" hidden="1" customWidth="1"/>
    <col min="4844" max="4845" width="14.85546875" style="1" customWidth="1"/>
    <col min="4846" max="4847" width="0" style="1" hidden="1" customWidth="1"/>
    <col min="4848" max="4848" width="14.85546875" style="1" customWidth="1"/>
    <col min="4849" max="4850" width="0" style="1" hidden="1" customWidth="1"/>
    <col min="4851" max="4851" width="14.85546875" style="1" customWidth="1"/>
    <col min="4852" max="4853" width="0" style="1" hidden="1" customWidth="1"/>
    <col min="4854" max="4854" width="14.85546875" style="1" customWidth="1"/>
    <col min="4855" max="4856" width="0" style="1" hidden="1" customWidth="1"/>
    <col min="4857" max="4857" width="14.85546875" style="1" customWidth="1"/>
    <col min="4858" max="4859" width="0" style="1" hidden="1" customWidth="1"/>
    <col min="4860" max="4861" width="14.85546875" style="1" customWidth="1"/>
    <col min="4862" max="4862" width="44.42578125" style="1" customWidth="1"/>
    <col min="4863" max="4867" width="14.85546875" style="1" customWidth="1"/>
    <col min="4868" max="4868" width="63.85546875" style="1" customWidth="1"/>
    <col min="4869" max="4869" width="13.28515625" style="1" customWidth="1"/>
    <col min="4870" max="5055" width="9.140625" style="1"/>
    <col min="5056" max="5057" width="0" style="1" hidden="1" customWidth="1"/>
    <col min="5058" max="5058" width="13.7109375" style="1" customWidth="1"/>
    <col min="5059" max="5059" width="52.85546875" style="1" customWidth="1"/>
    <col min="5060" max="5099" width="0" style="1" hidden="1" customWidth="1"/>
    <col min="5100" max="5101" width="14.85546875" style="1" customWidth="1"/>
    <col min="5102" max="5103" width="0" style="1" hidden="1" customWidth="1"/>
    <col min="5104" max="5104" width="14.85546875" style="1" customWidth="1"/>
    <col min="5105" max="5106" width="0" style="1" hidden="1" customWidth="1"/>
    <col min="5107" max="5107" width="14.85546875" style="1" customWidth="1"/>
    <col min="5108" max="5109" width="0" style="1" hidden="1" customWidth="1"/>
    <col min="5110" max="5110" width="14.85546875" style="1" customWidth="1"/>
    <col min="5111" max="5112" width="0" style="1" hidden="1" customWidth="1"/>
    <col min="5113" max="5113" width="14.85546875" style="1" customWidth="1"/>
    <col min="5114" max="5115" width="0" style="1" hidden="1" customWidth="1"/>
    <col min="5116" max="5117" width="14.85546875" style="1" customWidth="1"/>
    <col min="5118" max="5118" width="44.42578125" style="1" customWidth="1"/>
    <col min="5119" max="5123" width="14.85546875" style="1" customWidth="1"/>
    <col min="5124" max="5124" width="63.85546875" style="1" customWidth="1"/>
    <col min="5125" max="5125" width="13.28515625" style="1" customWidth="1"/>
    <col min="5126" max="5311" width="9.140625" style="1"/>
    <col min="5312" max="5313" width="0" style="1" hidden="1" customWidth="1"/>
    <col min="5314" max="5314" width="13.7109375" style="1" customWidth="1"/>
    <col min="5315" max="5315" width="52.85546875" style="1" customWidth="1"/>
    <col min="5316" max="5355" width="0" style="1" hidden="1" customWidth="1"/>
    <col min="5356" max="5357" width="14.85546875" style="1" customWidth="1"/>
    <col min="5358" max="5359" width="0" style="1" hidden="1" customWidth="1"/>
    <col min="5360" max="5360" width="14.85546875" style="1" customWidth="1"/>
    <col min="5361" max="5362" width="0" style="1" hidden="1" customWidth="1"/>
    <col min="5363" max="5363" width="14.85546875" style="1" customWidth="1"/>
    <col min="5364" max="5365" width="0" style="1" hidden="1" customWidth="1"/>
    <col min="5366" max="5366" width="14.85546875" style="1" customWidth="1"/>
    <col min="5367" max="5368" width="0" style="1" hidden="1" customWidth="1"/>
    <col min="5369" max="5369" width="14.85546875" style="1" customWidth="1"/>
    <col min="5370" max="5371" width="0" style="1" hidden="1" customWidth="1"/>
    <col min="5372" max="5373" width="14.85546875" style="1" customWidth="1"/>
    <col min="5374" max="5374" width="44.42578125" style="1" customWidth="1"/>
    <col min="5375" max="5379" width="14.85546875" style="1" customWidth="1"/>
    <col min="5380" max="5380" width="63.85546875" style="1" customWidth="1"/>
    <col min="5381" max="5381" width="13.28515625" style="1" customWidth="1"/>
    <col min="5382" max="5567" width="9.140625" style="1"/>
    <col min="5568" max="5569" width="0" style="1" hidden="1" customWidth="1"/>
    <col min="5570" max="5570" width="13.7109375" style="1" customWidth="1"/>
    <col min="5571" max="5571" width="52.85546875" style="1" customWidth="1"/>
    <col min="5572" max="5611" width="0" style="1" hidden="1" customWidth="1"/>
    <col min="5612" max="5613" width="14.85546875" style="1" customWidth="1"/>
    <col min="5614" max="5615" width="0" style="1" hidden="1" customWidth="1"/>
    <col min="5616" max="5616" width="14.85546875" style="1" customWidth="1"/>
    <col min="5617" max="5618" width="0" style="1" hidden="1" customWidth="1"/>
    <col min="5619" max="5619" width="14.85546875" style="1" customWidth="1"/>
    <col min="5620" max="5621" width="0" style="1" hidden="1" customWidth="1"/>
    <col min="5622" max="5622" width="14.85546875" style="1" customWidth="1"/>
    <col min="5623" max="5624" width="0" style="1" hidden="1" customWidth="1"/>
    <col min="5625" max="5625" width="14.85546875" style="1" customWidth="1"/>
    <col min="5626" max="5627" width="0" style="1" hidden="1" customWidth="1"/>
    <col min="5628" max="5629" width="14.85546875" style="1" customWidth="1"/>
    <col min="5630" max="5630" width="44.42578125" style="1" customWidth="1"/>
    <col min="5631" max="5635" width="14.85546875" style="1" customWidth="1"/>
    <col min="5636" max="5636" width="63.85546875" style="1" customWidth="1"/>
    <col min="5637" max="5637" width="13.28515625" style="1" customWidth="1"/>
    <col min="5638" max="5823" width="9.140625" style="1"/>
    <col min="5824" max="5825" width="0" style="1" hidden="1" customWidth="1"/>
    <col min="5826" max="5826" width="13.7109375" style="1" customWidth="1"/>
    <col min="5827" max="5827" width="52.85546875" style="1" customWidth="1"/>
    <col min="5828" max="5867" width="0" style="1" hidden="1" customWidth="1"/>
    <col min="5868" max="5869" width="14.85546875" style="1" customWidth="1"/>
    <col min="5870" max="5871" width="0" style="1" hidden="1" customWidth="1"/>
    <col min="5872" max="5872" width="14.85546875" style="1" customWidth="1"/>
    <col min="5873" max="5874" width="0" style="1" hidden="1" customWidth="1"/>
    <col min="5875" max="5875" width="14.85546875" style="1" customWidth="1"/>
    <col min="5876" max="5877" width="0" style="1" hidden="1" customWidth="1"/>
    <col min="5878" max="5878" width="14.85546875" style="1" customWidth="1"/>
    <col min="5879" max="5880" width="0" style="1" hidden="1" customWidth="1"/>
    <col min="5881" max="5881" width="14.85546875" style="1" customWidth="1"/>
    <col min="5882" max="5883" width="0" style="1" hidden="1" customWidth="1"/>
    <col min="5884" max="5885" width="14.85546875" style="1" customWidth="1"/>
    <col min="5886" max="5886" width="44.42578125" style="1" customWidth="1"/>
    <col min="5887" max="5891" width="14.85546875" style="1" customWidth="1"/>
    <col min="5892" max="5892" width="63.85546875" style="1" customWidth="1"/>
    <col min="5893" max="5893" width="13.28515625" style="1" customWidth="1"/>
    <col min="5894" max="6079" width="9.140625" style="1"/>
    <col min="6080" max="6081" width="0" style="1" hidden="1" customWidth="1"/>
    <col min="6082" max="6082" width="13.7109375" style="1" customWidth="1"/>
    <col min="6083" max="6083" width="52.85546875" style="1" customWidth="1"/>
    <col min="6084" max="6123" width="0" style="1" hidden="1" customWidth="1"/>
    <col min="6124" max="6125" width="14.85546875" style="1" customWidth="1"/>
    <col min="6126" max="6127" width="0" style="1" hidden="1" customWidth="1"/>
    <col min="6128" max="6128" width="14.85546875" style="1" customWidth="1"/>
    <col min="6129" max="6130" width="0" style="1" hidden="1" customWidth="1"/>
    <col min="6131" max="6131" width="14.85546875" style="1" customWidth="1"/>
    <col min="6132" max="6133" width="0" style="1" hidden="1" customWidth="1"/>
    <col min="6134" max="6134" width="14.85546875" style="1" customWidth="1"/>
    <col min="6135" max="6136" width="0" style="1" hidden="1" customWidth="1"/>
    <col min="6137" max="6137" width="14.85546875" style="1" customWidth="1"/>
    <col min="6138" max="6139" width="0" style="1" hidden="1" customWidth="1"/>
    <col min="6140" max="6141" width="14.85546875" style="1" customWidth="1"/>
    <col min="6142" max="6142" width="44.42578125" style="1" customWidth="1"/>
    <col min="6143" max="6147" width="14.85546875" style="1" customWidth="1"/>
    <col min="6148" max="6148" width="63.85546875" style="1" customWidth="1"/>
    <col min="6149" max="6149" width="13.28515625" style="1" customWidth="1"/>
    <col min="6150" max="6335" width="9.140625" style="1"/>
    <col min="6336" max="6337" width="0" style="1" hidden="1" customWidth="1"/>
    <col min="6338" max="6338" width="13.7109375" style="1" customWidth="1"/>
    <col min="6339" max="6339" width="52.85546875" style="1" customWidth="1"/>
    <col min="6340" max="6379" width="0" style="1" hidden="1" customWidth="1"/>
    <col min="6380" max="6381" width="14.85546875" style="1" customWidth="1"/>
    <col min="6382" max="6383" width="0" style="1" hidden="1" customWidth="1"/>
    <col min="6384" max="6384" width="14.85546875" style="1" customWidth="1"/>
    <col min="6385" max="6386" width="0" style="1" hidden="1" customWidth="1"/>
    <col min="6387" max="6387" width="14.85546875" style="1" customWidth="1"/>
    <col min="6388" max="6389" width="0" style="1" hidden="1" customWidth="1"/>
    <col min="6390" max="6390" width="14.85546875" style="1" customWidth="1"/>
    <col min="6391" max="6392" width="0" style="1" hidden="1" customWidth="1"/>
    <col min="6393" max="6393" width="14.85546875" style="1" customWidth="1"/>
    <col min="6394" max="6395" width="0" style="1" hidden="1" customWidth="1"/>
    <col min="6396" max="6397" width="14.85546875" style="1" customWidth="1"/>
    <col min="6398" max="6398" width="44.42578125" style="1" customWidth="1"/>
    <col min="6399" max="6403" width="14.85546875" style="1" customWidth="1"/>
    <col min="6404" max="6404" width="63.85546875" style="1" customWidth="1"/>
    <col min="6405" max="6405" width="13.28515625" style="1" customWidth="1"/>
    <col min="6406" max="6591" width="9.140625" style="1"/>
    <col min="6592" max="6593" width="0" style="1" hidden="1" customWidth="1"/>
    <col min="6594" max="6594" width="13.7109375" style="1" customWidth="1"/>
    <col min="6595" max="6595" width="52.85546875" style="1" customWidth="1"/>
    <col min="6596" max="6635" width="0" style="1" hidden="1" customWidth="1"/>
    <col min="6636" max="6637" width="14.85546875" style="1" customWidth="1"/>
    <col min="6638" max="6639" width="0" style="1" hidden="1" customWidth="1"/>
    <col min="6640" max="6640" width="14.85546875" style="1" customWidth="1"/>
    <col min="6641" max="6642" width="0" style="1" hidden="1" customWidth="1"/>
    <col min="6643" max="6643" width="14.85546875" style="1" customWidth="1"/>
    <col min="6644" max="6645" width="0" style="1" hidden="1" customWidth="1"/>
    <col min="6646" max="6646" width="14.85546875" style="1" customWidth="1"/>
    <col min="6647" max="6648" width="0" style="1" hidden="1" customWidth="1"/>
    <col min="6649" max="6649" width="14.85546875" style="1" customWidth="1"/>
    <col min="6650" max="6651" width="0" style="1" hidden="1" customWidth="1"/>
    <col min="6652" max="6653" width="14.85546875" style="1" customWidth="1"/>
    <col min="6654" max="6654" width="44.42578125" style="1" customWidth="1"/>
    <col min="6655" max="6659" width="14.85546875" style="1" customWidth="1"/>
    <col min="6660" max="6660" width="63.85546875" style="1" customWidth="1"/>
    <col min="6661" max="6661" width="13.28515625" style="1" customWidth="1"/>
    <col min="6662" max="6847" width="9.140625" style="1"/>
    <col min="6848" max="6849" width="0" style="1" hidden="1" customWidth="1"/>
    <col min="6850" max="6850" width="13.7109375" style="1" customWidth="1"/>
    <col min="6851" max="6851" width="52.85546875" style="1" customWidth="1"/>
    <col min="6852" max="6891" width="0" style="1" hidden="1" customWidth="1"/>
    <col min="6892" max="6893" width="14.85546875" style="1" customWidth="1"/>
    <col min="6894" max="6895" width="0" style="1" hidden="1" customWidth="1"/>
    <col min="6896" max="6896" width="14.85546875" style="1" customWidth="1"/>
    <col min="6897" max="6898" width="0" style="1" hidden="1" customWidth="1"/>
    <col min="6899" max="6899" width="14.85546875" style="1" customWidth="1"/>
    <col min="6900" max="6901" width="0" style="1" hidden="1" customWidth="1"/>
    <col min="6902" max="6902" width="14.85546875" style="1" customWidth="1"/>
    <col min="6903" max="6904" width="0" style="1" hidden="1" customWidth="1"/>
    <col min="6905" max="6905" width="14.85546875" style="1" customWidth="1"/>
    <col min="6906" max="6907" width="0" style="1" hidden="1" customWidth="1"/>
    <col min="6908" max="6909" width="14.85546875" style="1" customWidth="1"/>
    <col min="6910" max="6910" width="44.42578125" style="1" customWidth="1"/>
    <col min="6911" max="6915" width="14.85546875" style="1" customWidth="1"/>
    <col min="6916" max="6916" width="63.85546875" style="1" customWidth="1"/>
    <col min="6917" max="6917" width="13.28515625" style="1" customWidth="1"/>
    <col min="6918" max="7103" width="9.140625" style="1"/>
    <col min="7104" max="7105" width="0" style="1" hidden="1" customWidth="1"/>
    <col min="7106" max="7106" width="13.7109375" style="1" customWidth="1"/>
    <col min="7107" max="7107" width="52.85546875" style="1" customWidth="1"/>
    <col min="7108" max="7147" width="0" style="1" hidden="1" customWidth="1"/>
    <col min="7148" max="7149" width="14.85546875" style="1" customWidth="1"/>
    <col min="7150" max="7151" width="0" style="1" hidden="1" customWidth="1"/>
    <col min="7152" max="7152" width="14.85546875" style="1" customWidth="1"/>
    <col min="7153" max="7154" width="0" style="1" hidden="1" customWidth="1"/>
    <col min="7155" max="7155" width="14.85546875" style="1" customWidth="1"/>
    <col min="7156" max="7157" width="0" style="1" hidden="1" customWidth="1"/>
    <col min="7158" max="7158" width="14.85546875" style="1" customWidth="1"/>
    <col min="7159" max="7160" width="0" style="1" hidden="1" customWidth="1"/>
    <col min="7161" max="7161" width="14.85546875" style="1" customWidth="1"/>
    <col min="7162" max="7163" width="0" style="1" hidden="1" customWidth="1"/>
    <col min="7164" max="7165" width="14.85546875" style="1" customWidth="1"/>
    <col min="7166" max="7166" width="44.42578125" style="1" customWidth="1"/>
    <col min="7167" max="7171" width="14.85546875" style="1" customWidth="1"/>
    <col min="7172" max="7172" width="63.85546875" style="1" customWidth="1"/>
    <col min="7173" max="7173" width="13.28515625" style="1" customWidth="1"/>
    <col min="7174" max="7359" width="9.140625" style="1"/>
    <col min="7360" max="7361" width="0" style="1" hidden="1" customWidth="1"/>
    <col min="7362" max="7362" width="13.7109375" style="1" customWidth="1"/>
    <col min="7363" max="7363" width="52.85546875" style="1" customWidth="1"/>
    <col min="7364" max="7403" width="0" style="1" hidden="1" customWidth="1"/>
    <col min="7404" max="7405" width="14.85546875" style="1" customWidth="1"/>
    <col min="7406" max="7407" width="0" style="1" hidden="1" customWidth="1"/>
    <col min="7408" max="7408" width="14.85546875" style="1" customWidth="1"/>
    <col min="7409" max="7410" width="0" style="1" hidden="1" customWidth="1"/>
    <col min="7411" max="7411" width="14.85546875" style="1" customWidth="1"/>
    <col min="7412" max="7413" width="0" style="1" hidden="1" customWidth="1"/>
    <col min="7414" max="7414" width="14.85546875" style="1" customWidth="1"/>
    <col min="7415" max="7416" width="0" style="1" hidden="1" customWidth="1"/>
    <col min="7417" max="7417" width="14.85546875" style="1" customWidth="1"/>
    <col min="7418" max="7419" width="0" style="1" hidden="1" customWidth="1"/>
    <col min="7420" max="7421" width="14.85546875" style="1" customWidth="1"/>
    <col min="7422" max="7422" width="44.42578125" style="1" customWidth="1"/>
    <col min="7423" max="7427" width="14.85546875" style="1" customWidth="1"/>
    <col min="7428" max="7428" width="63.85546875" style="1" customWidth="1"/>
    <col min="7429" max="7429" width="13.28515625" style="1" customWidth="1"/>
    <col min="7430" max="7615" width="9.140625" style="1"/>
    <col min="7616" max="7617" width="0" style="1" hidden="1" customWidth="1"/>
    <col min="7618" max="7618" width="13.7109375" style="1" customWidth="1"/>
    <col min="7619" max="7619" width="52.85546875" style="1" customWidth="1"/>
    <col min="7620" max="7659" width="0" style="1" hidden="1" customWidth="1"/>
    <col min="7660" max="7661" width="14.85546875" style="1" customWidth="1"/>
    <col min="7662" max="7663" width="0" style="1" hidden="1" customWidth="1"/>
    <col min="7664" max="7664" width="14.85546875" style="1" customWidth="1"/>
    <col min="7665" max="7666" width="0" style="1" hidden="1" customWidth="1"/>
    <col min="7667" max="7667" width="14.85546875" style="1" customWidth="1"/>
    <col min="7668" max="7669" width="0" style="1" hidden="1" customWidth="1"/>
    <col min="7670" max="7670" width="14.85546875" style="1" customWidth="1"/>
    <col min="7671" max="7672" width="0" style="1" hidden="1" customWidth="1"/>
    <col min="7673" max="7673" width="14.85546875" style="1" customWidth="1"/>
    <col min="7674" max="7675" width="0" style="1" hidden="1" customWidth="1"/>
    <col min="7676" max="7677" width="14.85546875" style="1" customWidth="1"/>
    <col min="7678" max="7678" width="44.42578125" style="1" customWidth="1"/>
    <col min="7679" max="7683" width="14.85546875" style="1" customWidth="1"/>
    <col min="7684" max="7684" width="63.85546875" style="1" customWidth="1"/>
    <col min="7685" max="7685" width="13.28515625" style="1" customWidth="1"/>
    <col min="7686" max="7871" width="9.140625" style="1"/>
    <col min="7872" max="7873" width="0" style="1" hidden="1" customWidth="1"/>
    <col min="7874" max="7874" width="13.7109375" style="1" customWidth="1"/>
    <col min="7875" max="7875" width="52.85546875" style="1" customWidth="1"/>
    <col min="7876" max="7915" width="0" style="1" hidden="1" customWidth="1"/>
    <col min="7916" max="7917" width="14.85546875" style="1" customWidth="1"/>
    <col min="7918" max="7919" width="0" style="1" hidden="1" customWidth="1"/>
    <col min="7920" max="7920" width="14.85546875" style="1" customWidth="1"/>
    <col min="7921" max="7922" width="0" style="1" hidden="1" customWidth="1"/>
    <col min="7923" max="7923" width="14.85546875" style="1" customWidth="1"/>
    <col min="7924" max="7925" width="0" style="1" hidden="1" customWidth="1"/>
    <col min="7926" max="7926" width="14.85546875" style="1" customWidth="1"/>
    <col min="7927" max="7928" width="0" style="1" hidden="1" customWidth="1"/>
    <col min="7929" max="7929" width="14.85546875" style="1" customWidth="1"/>
    <col min="7930" max="7931" width="0" style="1" hidden="1" customWidth="1"/>
    <col min="7932" max="7933" width="14.85546875" style="1" customWidth="1"/>
    <col min="7934" max="7934" width="44.42578125" style="1" customWidth="1"/>
    <col min="7935" max="7939" width="14.85546875" style="1" customWidth="1"/>
    <col min="7940" max="7940" width="63.85546875" style="1" customWidth="1"/>
    <col min="7941" max="7941" width="13.28515625" style="1" customWidth="1"/>
    <col min="7942" max="8127" width="9.140625" style="1"/>
    <col min="8128" max="8129" width="0" style="1" hidden="1" customWidth="1"/>
    <col min="8130" max="8130" width="13.7109375" style="1" customWidth="1"/>
    <col min="8131" max="8131" width="52.85546875" style="1" customWidth="1"/>
    <col min="8132" max="8171" width="0" style="1" hidden="1" customWidth="1"/>
    <col min="8172" max="8173" width="14.85546875" style="1" customWidth="1"/>
    <col min="8174" max="8175" width="0" style="1" hidden="1" customWidth="1"/>
    <col min="8176" max="8176" width="14.85546875" style="1" customWidth="1"/>
    <col min="8177" max="8178" width="0" style="1" hidden="1" customWidth="1"/>
    <col min="8179" max="8179" width="14.85546875" style="1" customWidth="1"/>
    <col min="8180" max="8181" width="0" style="1" hidden="1" customWidth="1"/>
    <col min="8182" max="8182" width="14.85546875" style="1" customWidth="1"/>
    <col min="8183" max="8184" width="0" style="1" hidden="1" customWidth="1"/>
    <col min="8185" max="8185" width="14.85546875" style="1" customWidth="1"/>
    <col min="8186" max="8187" width="0" style="1" hidden="1" customWidth="1"/>
    <col min="8188" max="8189" width="14.85546875" style="1" customWidth="1"/>
    <col min="8190" max="8190" width="44.42578125" style="1" customWidth="1"/>
    <col min="8191" max="8195" width="14.85546875" style="1" customWidth="1"/>
    <col min="8196" max="8196" width="63.85546875" style="1" customWidth="1"/>
    <col min="8197" max="8197" width="13.28515625" style="1" customWidth="1"/>
    <col min="8198" max="8383" width="9.140625" style="1"/>
    <col min="8384" max="8385" width="0" style="1" hidden="1" customWidth="1"/>
    <col min="8386" max="8386" width="13.7109375" style="1" customWidth="1"/>
    <col min="8387" max="8387" width="52.85546875" style="1" customWidth="1"/>
    <col min="8388" max="8427" width="0" style="1" hidden="1" customWidth="1"/>
    <col min="8428" max="8429" width="14.85546875" style="1" customWidth="1"/>
    <col min="8430" max="8431" width="0" style="1" hidden="1" customWidth="1"/>
    <col min="8432" max="8432" width="14.85546875" style="1" customWidth="1"/>
    <col min="8433" max="8434" width="0" style="1" hidden="1" customWidth="1"/>
    <col min="8435" max="8435" width="14.85546875" style="1" customWidth="1"/>
    <col min="8436" max="8437" width="0" style="1" hidden="1" customWidth="1"/>
    <col min="8438" max="8438" width="14.85546875" style="1" customWidth="1"/>
    <col min="8439" max="8440" width="0" style="1" hidden="1" customWidth="1"/>
    <col min="8441" max="8441" width="14.85546875" style="1" customWidth="1"/>
    <col min="8442" max="8443" width="0" style="1" hidden="1" customWidth="1"/>
    <col min="8444" max="8445" width="14.85546875" style="1" customWidth="1"/>
    <col min="8446" max="8446" width="44.42578125" style="1" customWidth="1"/>
    <col min="8447" max="8451" width="14.85546875" style="1" customWidth="1"/>
    <col min="8452" max="8452" width="63.85546875" style="1" customWidth="1"/>
    <col min="8453" max="8453" width="13.28515625" style="1" customWidth="1"/>
    <col min="8454" max="8639" width="9.140625" style="1"/>
    <col min="8640" max="8641" width="0" style="1" hidden="1" customWidth="1"/>
    <col min="8642" max="8642" width="13.7109375" style="1" customWidth="1"/>
    <col min="8643" max="8643" width="52.85546875" style="1" customWidth="1"/>
    <col min="8644" max="8683" width="0" style="1" hidden="1" customWidth="1"/>
    <col min="8684" max="8685" width="14.85546875" style="1" customWidth="1"/>
    <col min="8686" max="8687" width="0" style="1" hidden="1" customWidth="1"/>
    <col min="8688" max="8688" width="14.85546875" style="1" customWidth="1"/>
    <col min="8689" max="8690" width="0" style="1" hidden="1" customWidth="1"/>
    <col min="8691" max="8691" width="14.85546875" style="1" customWidth="1"/>
    <col min="8692" max="8693" width="0" style="1" hidden="1" customWidth="1"/>
    <col min="8694" max="8694" width="14.85546875" style="1" customWidth="1"/>
    <col min="8695" max="8696" width="0" style="1" hidden="1" customWidth="1"/>
    <col min="8697" max="8697" width="14.85546875" style="1" customWidth="1"/>
    <col min="8698" max="8699" width="0" style="1" hidden="1" customWidth="1"/>
    <col min="8700" max="8701" width="14.85546875" style="1" customWidth="1"/>
    <col min="8702" max="8702" width="44.42578125" style="1" customWidth="1"/>
    <col min="8703" max="8707" width="14.85546875" style="1" customWidth="1"/>
    <col min="8708" max="8708" width="63.85546875" style="1" customWidth="1"/>
    <col min="8709" max="8709" width="13.28515625" style="1" customWidth="1"/>
    <col min="8710" max="8895" width="9.140625" style="1"/>
    <col min="8896" max="8897" width="0" style="1" hidden="1" customWidth="1"/>
    <col min="8898" max="8898" width="13.7109375" style="1" customWidth="1"/>
    <col min="8899" max="8899" width="52.85546875" style="1" customWidth="1"/>
    <col min="8900" max="8939" width="0" style="1" hidden="1" customWidth="1"/>
    <col min="8940" max="8941" width="14.85546875" style="1" customWidth="1"/>
    <col min="8942" max="8943" width="0" style="1" hidden="1" customWidth="1"/>
    <col min="8944" max="8944" width="14.85546875" style="1" customWidth="1"/>
    <col min="8945" max="8946" width="0" style="1" hidden="1" customWidth="1"/>
    <col min="8947" max="8947" width="14.85546875" style="1" customWidth="1"/>
    <col min="8948" max="8949" width="0" style="1" hidden="1" customWidth="1"/>
    <col min="8950" max="8950" width="14.85546875" style="1" customWidth="1"/>
    <col min="8951" max="8952" width="0" style="1" hidden="1" customWidth="1"/>
    <col min="8953" max="8953" width="14.85546875" style="1" customWidth="1"/>
    <col min="8954" max="8955" width="0" style="1" hidden="1" customWidth="1"/>
    <col min="8956" max="8957" width="14.85546875" style="1" customWidth="1"/>
    <col min="8958" max="8958" width="44.42578125" style="1" customWidth="1"/>
    <col min="8959" max="8963" width="14.85546875" style="1" customWidth="1"/>
    <col min="8964" max="8964" width="63.85546875" style="1" customWidth="1"/>
    <col min="8965" max="8965" width="13.28515625" style="1" customWidth="1"/>
    <col min="8966" max="9151" width="9.140625" style="1"/>
    <col min="9152" max="9153" width="0" style="1" hidden="1" customWidth="1"/>
    <col min="9154" max="9154" width="13.7109375" style="1" customWidth="1"/>
    <col min="9155" max="9155" width="52.85546875" style="1" customWidth="1"/>
    <col min="9156" max="9195" width="0" style="1" hidden="1" customWidth="1"/>
    <col min="9196" max="9197" width="14.85546875" style="1" customWidth="1"/>
    <col min="9198" max="9199" width="0" style="1" hidden="1" customWidth="1"/>
    <col min="9200" max="9200" width="14.85546875" style="1" customWidth="1"/>
    <col min="9201" max="9202" width="0" style="1" hidden="1" customWidth="1"/>
    <col min="9203" max="9203" width="14.85546875" style="1" customWidth="1"/>
    <col min="9204" max="9205" width="0" style="1" hidden="1" customWidth="1"/>
    <col min="9206" max="9206" width="14.85546875" style="1" customWidth="1"/>
    <col min="9207" max="9208" width="0" style="1" hidden="1" customWidth="1"/>
    <col min="9209" max="9209" width="14.85546875" style="1" customWidth="1"/>
    <col min="9210" max="9211" width="0" style="1" hidden="1" customWidth="1"/>
    <col min="9212" max="9213" width="14.85546875" style="1" customWidth="1"/>
    <col min="9214" max="9214" width="44.42578125" style="1" customWidth="1"/>
    <col min="9215" max="9219" width="14.85546875" style="1" customWidth="1"/>
    <col min="9220" max="9220" width="63.85546875" style="1" customWidth="1"/>
    <col min="9221" max="9221" width="13.28515625" style="1" customWidth="1"/>
    <col min="9222" max="9407" width="9.140625" style="1"/>
    <col min="9408" max="9409" width="0" style="1" hidden="1" customWidth="1"/>
    <col min="9410" max="9410" width="13.7109375" style="1" customWidth="1"/>
    <col min="9411" max="9411" width="52.85546875" style="1" customWidth="1"/>
    <col min="9412" max="9451" width="0" style="1" hidden="1" customWidth="1"/>
    <col min="9452" max="9453" width="14.85546875" style="1" customWidth="1"/>
    <col min="9454" max="9455" width="0" style="1" hidden="1" customWidth="1"/>
    <col min="9456" max="9456" width="14.85546875" style="1" customWidth="1"/>
    <col min="9457" max="9458" width="0" style="1" hidden="1" customWidth="1"/>
    <col min="9459" max="9459" width="14.85546875" style="1" customWidth="1"/>
    <col min="9460" max="9461" width="0" style="1" hidden="1" customWidth="1"/>
    <col min="9462" max="9462" width="14.85546875" style="1" customWidth="1"/>
    <col min="9463" max="9464" width="0" style="1" hidden="1" customWidth="1"/>
    <col min="9465" max="9465" width="14.85546875" style="1" customWidth="1"/>
    <col min="9466" max="9467" width="0" style="1" hidden="1" customWidth="1"/>
    <col min="9468" max="9469" width="14.85546875" style="1" customWidth="1"/>
    <col min="9470" max="9470" width="44.42578125" style="1" customWidth="1"/>
    <col min="9471" max="9475" width="14.85546875" style="1" customWidth="1"/>
    <col min="9476" max="9476" width="63.85546875" style="1" customWidth="1"/>
    <col min="9477" max="9477" width="13.28515625" style="1" customWidth="1"/>
    <col min="9478" max="9663" width="9.140625" style="1"/>
    <col min="9664" max="9665" width="0" style="1" hidden="1" customWidth="1"/>
    <col min="9666" max="9666" width="13.7109375" style="1" customWidth="1"/>
    <col min="9667" max="9667" width="52.85546875" style="1" customWidth="1"/>
    <col min="9668" max="9707" width="0" style="1" hidden="1" customWidth="1"/>
    <col min="9708" max="9709" width="14.85546875" style="1" customWidth="1"/>
    <col min="9710" max="9711" width="0" style="1" hidden="1" customWidth="1"/>
    <col min="9712" max="9712" width="14.85546875" style="1" customWidth="1"/>
    <col min="9713" max="9714" width="0" style="1" hidden="1" customWidth="1"/>
    <col min="9715" max="9715" width="14.85546875" style="1" customWidth="1"/>
    <col min="9716" max="9717" width="0" style="1" hidden="1" customWidth="1"/>
    <col min="9718" max="9718" width="14.85546875" style="1" customWidth="1"/>
    <col min="9719" max="9720" width="0" style="1" hidden="1" customWidth="1"/>
    <col min="9721" max="9721" width="14.85546875" style="1" customWidth="1"/>
    <col min="9722" max="9723" width="0" style="1" hidden="1" customWidth="1"/>
    <col min="9724" max="9725" width="14.85546875" style="1" customWidth="1"/>
    <col min="9726" max="9726" width="44.42578125" style="1" customWidth="1"/>
    <col min="9727" max="9731" width="14.85546875" style="1" customWidth="1"/>
    <col min="9732" max="9732" width="63.85546875" style="1" customWidth="1"/>
    <col min="9733" max="9733" width="13.28515625" style="1" customWidth="1"/>
    <col min="9734" max="9919" width="9.140625" style="1"/>
    <col min="9920" max="9921" width="0" style="1" hidden="1" customWidth="1"/>
    <col min="9922" max="9922" width="13.7109375" style="1" customWidth="1"/>
    <col min="9923" max="9923" width="52.85546875" style="1" customWidth="1"/>
    <col min="9924" max="9963" width="0" style="1" hidden="1" customWidth="1"/>
    <col min="9964" max="9965" width="14.85546875" style="1" customWidth="1"/>
    <col min="9966" max="9967" width="0" style="1" hidden="1" customWidth="1"/>
    <col min="9968" max="9968" width="14.85546875" style="1" customWidth="1"/>
    <col min="9969" max="9970" width="0" style="1" hidden="1" customWidth="1"/>
    <col min="9971" max="9971" width="14.85546875" style="1" customWidth="1"/>
    <col min="9972" max="9973" width="0" style="1" hidden="1" customWidth="1"/>
    <col min="9974" max="9974" width="14.85546875" style="1" customWidth="1"/>
    <col min="9975" max="9976" width="0" style="1" hidden="1" customWidth="1"/>
    <col min="9977" max="9977" width="14.85546875" style="1" customWidth="1"/>
    <col min="9978" max="9979" width="0" style="1" hidden="1" customWidth="1"/>
    <col min="9980" max="9981" width="14.85546875" style="1" customWidth="1"/>
    <col min="9982" max="9982" width="44.42578125" style="1" customWidth="1"/>
    <col min="9983" max="9987" width="14.85546875" style="1" customWidth="1"/>
    <col min="9988" max="9988" width="63.85546875" style="1" customWidth="1"/>
    <col min="9989" max="9989" width="13.28515625" style="1" customWidth="1"/>
    <col min="9990" max="10175" width="9.140625" style="1"/>
    <col min="10176" max="10177" width="0" style="1" hidden="1" customWidth="1"/>
    <col min="10178" max="10178" width="13.7109375" style="1" customWidth="1"/>
    <col min="10179" max="10179" width="52.85546875" style="1" customWidth="1"/>
    <col min="10180" max="10219" width="0" style="1" hidden="1" customWidth="1"/>
    <col min="10220" max="10221" width="14.85546875" style="1" customWidth="1"/>
    <col min="10222" max="10223" width="0" style="1" hidden="1" customWidth="1"/>
    <col min="10224" max="10224" width="14.85546875" style="1" customWidth="1"/>
    <col min="10225" max="10226" width="0" style="1" hidden="1" customWidth="1"/>
    <col min="10227" max="10227" width="14.85546875" style="1" customWidth="1"/>
    <col min="10228" max="10229" width="0" style="1" hidden="1" customWidth="1"/>
    <col min="10230" max="10230" width="14.85546875" style="1" customWidth="1"/>
    <col min="10231" max="10232" width="0" style="1" hidden="1" customWidth="1"/>
    <col min="10233" max="10233" width="14.85546875" style="1" customWidth="1"/>
    <col min="10234" max="10235" width="0" style="1" hidden="1" customWidth="1"/>
    <col min="10236" max="10237" width="14.85546875" style="1" customWidth="1"/>
    <col min="10238" max="10238" width="44.42578125" style="1" customWidth="1"/>
    <col min="10239" max="10243" width="14.85546875" style="1" customWidth="1"/>
    <col min="10244" max="10244" width="63.85546875" style="1" customWidth="1"/>
    <col min="10245" max="10245" width="13.28515625" style="1" customWidth="1"/>
    <col min="10246" max="10431" width="9.140625" style="1"/>
    <col min="10432" max="10433" width="0" style="1" hidden="1" customWidth="1"/>
    <col min="10434" max="10434" width="13.7109375" style="1" customWidth="1"/>
    <col min="10435" max="10435" width="52.85546875" style="1" customWidth="1"/>
    <col min="10436" max="10475" width="0" style="1" hidden="1" customWidth="1"/>
    <col min="10476" max="10477" width="14.85546875" style="1" customWidth="1"/>
    <col min="10478" max="10479" width="0" style="1" hidden="1" customWidth="1"/>
    <col min="10480" max="10480" width="14.85546875" style="1" customWidth="1"/>
    <col min="10481" max="10482" width="0" style="1" hidden="1" customWidth="1"/>
    <col min="10483" max="10483" width="14.85546875" style="1" customWidth="1"/>
    <col min="10484" max="10485" width="0" style="1" hidden="1" customWidth="1"/>
    <col min="10486" max="10486" width="14.85546875" style="1" customWidth="1"/>
    <col min="10487" max="10488" width="0" style="1" hidden="1" customWidth="1"/>
    <col min="10489" max="10489" width="14.85546875" style="1" customWidth="1"/>
    <col min="10490" max="10491" width="0" style="1" hidden="1" customWidth="1"/>
    <col min="10492" max="10493" width="14.85546875" style="1" customWidth="1"/>
    <col min="10494" max="10494" width="44.42578125" style="1" customWidth="1"/>
    <col min="10495" max="10499" width="14.85546875" style="1" customWidth="1"/>
    <col min="10500" max="10500" width="63.85546875" style="1" customWidth="1"/>
    <col min="10501" max="10501" width="13.28515625" style="1" customWidth="1"/>
    <col min="10502" max="10687" width="9.140625" style="1"/>
    <col min="10688" max="10689" width="0" style="1" hidden="1" customWidth="1"/>
    <col min="10690" max="10690" width="13.7109375" style="1" customWidth="1"/>
    <col min="10691" max="10691" width="52.85546875" style="1" customWidth="1"/>
    <col min="10692" max="10731" width="0" style="1" hidden="1" customWidth="1"/>
    <col min="10732" max="10733" width="14.85546875" style="1" customWidth="1"/>
    <col min="10734" max="10735" width="0" style="1" hidden="1" customWidth="1"/>
    <col min="10736" max="10736" width="14.85546875" style="1" customWidth="1"/>
    <col min="10737" max="10738" width="0" style="1" hidden="1" customWidth="1"/>
    <col min="10739" max="10739" width="14.85546875" style="1" customWidth="1"/>
    <col min="10740" max="10741" width="0" style="1" hidden="1" customWidth="1"/>
    <col min="10742" max="10742" width="14.85546875" style="1" customWidth="1"/>
    <col min="10743" max="10744" width="0" style="1" hidden="1" customWidth="1"/>
    <col min="10745" max="10745" width="14.85546875" style="1" customWidth="1"/>
    <col min="10746" max="10747" width="0" style="1" hidden="1" customWidth="1"/>
    <col min="10748" max="10749" width="14.85546875" style="1" customWidth="1"/>
    <col min="10750" max="10750" width="44.42578125" style="1" customWidth="1"/>
    <col min="10751" max="10755" width="14.85546875" style="1" customWidth="1"/>
    <col min="10756" max="10756" width="63.85546875" style="1" customWidth="1"/>
    <col min="10757" max="10757" width="13.28515625" style="1" customWidth="1"/>
    <col min="10758" max="10943" width="9.140625" style="1"/>
    <col min="10944" max="10945" width="0" style="1" hidden="1" customWidth="1"/>
    <col min="10946" max="10946" width="13.7109375" style="1" customWidth="1"/>
    <col min="10947" max="10947" width="52.85546875" style="1" customWidth="1"/>
    <col min="10948" max="10987" width="0" style="1" hidden="1" customWidth="1"/>
    <col min="10988" max="10989" width="14.85546875" style="1" customWidth="1"/>
    <col min="10990" max="10991" width="0" style="1" hidden="1" customWidth="1"/>
    <col min="10992" max="10992" width="14.85546875" style="1" customWidth="1"/>
    <col min="10993" max="10994" width="0" style="1" hidden="1" customWidth="1"/>
    <col min="10995" max="10995" width="14.85546875" style="1" customWidth="1"/>
    <col min="10996" max="10997" width="0" style="1" hidden="1" customWidth="1"/>
    <col min="10998" max="10998" width="14.85546875" style="1" customWidth="1"/>
    <col min="10999" max="11000" width="0" style="1" hidden="1" customWidth="1"/>
    <col min="11001" max="11001" width="14.85546875" style="1" customWidth="1"/>
    <col min="11002" max="11003" width="0" style="1" hidden="1" customWidth="1"/>
    <col min="11004" max="11005" width="14.85546875" style="1" customWidth="1"/>
    <col min="11006" max="11006" width="44.42578125" style="1" customWidth="1"/>
    <col min="11007" max="11011" width="14.85546875" style="1" customWidth="1"/>
    <col min="11012" max="11012" width="63.85546875" style="1" customWidth="1"/>
    <col min="11013" max="11013" width="13.28515625" style="1" customWidth="1"/>
    <col min="11014" max="11199" width="9.140625" style="1"/>
    <col min="11200" max="11201" width="0" style="1" hidden="1" customWidth="1"/>
    <col min="11202" max="11202" width="13.7109375" style="1" customWidth="1"/>
    <col min="11203" max="11203" width="52.85546875" style="1" customWidth="1"/>
    <col min="11204" max="11243" width="0" style="1" hidden="1" customWidth="1"/>
    <col min="11244" max="11245" width="14.85546875" style="1" customWidth="1"/>
    <col min="11246" max="11247" width="0" style="1" hidden="1" customWidth="1"/>
    <col min="11248" max="11248" width="14.85546875" style="1" customWidth="1"/>
    <col min="11249" max="11250" width="0" style="1" hidden="1" customWidth="1"/>
    <col min="11251" max="11251" width="14.85546875" style="1" customWidth="1"/>
    <col min="11252" max="11253" width="0" style="1" hidden="1" customWidth="1"/>
    <col min="11254" max="11254" width="14.85546875" style="1" customWidth="1"/>
    <col min="11255" max="11256" width="0" style="1" hidden="1" customWidth="1"/>
    <col min="11257" max="11257" width="14.85546875" style="1" customWidth="1"/>
    <col min="11258" max="11259" width="0" style="1" hidden="1" customWidth="1"/>
    <col min="11260" max="11261" width="14.85546875" style="1" customWidth="1"/>
    <col min="11262" max="11262" width="44.42578125" style="1" customWidth="1"/>
    <col min="11263" max="11267" width="14.85546875" style="1" customWidth="1"/>
    <col min="11268" max="11268" width="63.85546875" style="1" customWidth="1"/>
    <col min="11269" max="11269" width="13.28515625" style="1" customWidth="1"/>
    <col min="11270" max="11455" width="9.140625" style="1"/>
    <col min="11456" max="11457" width="0" style="1" hidden="1" customWidth="1"/>
    <col min="11458" max="11458" width="13.7109375" style="1" customWidth="1"/>
    <col min="11459" max="11459" width="52.85546875" style="1" customWidth="1"/>
    <col min="11460" max="11499" width="0" style="1" hidden="1" customWidth="1"/>
    <col min="11500" max="11501" width="14.85546875" style="1" customWidth="1"/>
    <col min="11502" max="11503" width="0" style="1" hidden="1" customWidth="1"/>
    <col min="11504" max="11504" width="14.85546875" style="1" customWidth="1"/>
    <col min="11505" max="11506" width="0" style="1" hidden="1" customWidth="1"/>
    <col min="11507" max="11507" width="14.85546875" style="1" customWidth="1"/>
    <col min="11508" max="11509" width="0" style="1" hidden="1" customWidth="1"/>
    <col min="11510" max="11510" width="14.85546875" style="1" customWidth="1"/>
    <col min="11511" max="11512" width="0" style="1" hidden="1" customWidth="1"/>
    <col min="11513" max="11513" width="14.85546875" style="1" customWidth="1"/>
    <col min="11514" max="11515" width="0" style="1" hidden="1" customWidth="1"/>
    <col min="11516" max="11517" width="14.85546875" style="1" customWidth="1"/>
    <col min="11518" max="11518" width="44.42578125" style="1" customWidth="1"/>
    <col min="11519" max="11523" width="14.85546875" style="1" customWidth="1"/>
    <col min="11524" max="11524" width="63.85546875" style="1" customWidth="1"/>
    <col min="11525" max="11525" width="13.28515625" style="1" customWidth="1"/>
    <col min="11526" max="11711" width="9.140625" style="1"/>
    <col min="11712" max="11713" width="0" style="1" hidden="1" customWidth="1"/>
    <col min="11714" max="11714" width="13.7109375" style="1" customWidth="1"/>
    <col min="11715" max="11715" width="52.85546875" style="1" customWidth="1"/>
    <col min="11716" max="11755" width="0" style="1" hidden="1" customWidth="1"/>
    <col min="11756" max="11757" width="14.85546875" style="1" customWidth="1"/>
    <col min="11758" max="11759" width="0" style="1" hidden="1" customWidth="1"/>
    <col min="11760" max="11760" width="14.85546875" style="1" customWidth="1"/>
    <col min="11761" max="11762" width="0" style="1" hidden="1" customWidth="1"/>
    <col min="11763" max="11763" width="14.85546875" style="1" customWidth="1"/>
    <col min="11764" max="11765" width="0" style="1" hidden="1" customWidth="1"/>
    <col min="11766" max="11766" width="14.85546875" style="1" customWidth="1"/>
    <col min="11767" max="11768" width="0" style="1" hidden="1" customWidth="1"/>
    <col min="11769" max="11769" width="14.85546875" style="1" customWidth="1"/>
    <col min="11770" max="11771" width="0" style="1" hidden="1" customWidth="1"/>
    <col min="11772" max="11773" width="14.85546875" style="1" customWidth="1"/>
    <col min="11774" max="11774" width="44.42578125" style="1" customWidth="1"/>
    <col min="11775" max="11779" width="14.85546875" style="1" customWidth="1"/>
    <col min="11780" max="11780" width="63.85546875" style="1" customWidth="1"/>
    <col min="11781" max="11781" width="13.28515625" style="1" customWidth="1"/>
    <col min="11782" max="11967" width="9.140625" style="1"/>
    <col min="11968" max="11969" width="0" style="1" hidden="1" customWidth="1"/>
    <col min="11970" max="11970" width="13.7109375" style="1" customWidth="1"/>
    <col min="11971" max="11971" width="52.85546875" style="1" customWidth="1"/>
    <col min="11972" max="12011" width="0" style="1" hidden="1" customWidth="1"/>
    <col min="12012" max="12013" width="14.85546875" style="1" customWidth="1"/>
    <col min="12014" max="12015" width="0" style="1" hidden="1" customWidth="1"/>
    <col min="12016" max="12016" width="14.85546875" style="1" customWidth="1"/>
    <col min="12017" max="12018" width="0" style="1" hidden="1" customWidth="1"/>
    <col min="12019" max="12019" width="14.85546875" style="1" customWidth="1"/>
    <col min="12020" max="12021" width="0" style="1" hidden="1" customWidth="1"/>
    <col min="12022" max="12022" width="14.85546875" style="1" customWidth="1"/>
    <col min="12023" max="12024" width="0" style="1" hidden="1" customWidth="1"/>
    <col min="12025" max="12025" width="14.85546875" style="1" customWidth="1"/>
    <col min="12026" max="12027" width="0" style="1" hidden="1" customWidth="1"/>
    <col min="12028" max="12029" width="14.85546875" style="1" customWidth="1"/>
    <col min="12030" max="12030" width="44.42578125" style="1" customWidth="1"/>
    <col min="12031" max="12035" width="14.85546875" style="1" customWidth="1"/>
    <col min="12036" max="12036" width="63.85546875" style="1" customWidth="1"/>
    <col min="12037" max="12037" width="13.28515625" style="1" customWidth="1"/>
    <col min="12038" max="12223" width="9.140625" style="1"/>
    <col min="12224" max="12225" width="0" style="1" hidden="1" customWidth="1"/>
    <col min="12226" max="12226" width="13.7109375" style="1" customWidth="1"/>
    <col min="12227" max="12227" width="52.85546875" style="1" customWidth="1"/>
    <col min="12228" max="12267" width="0" style="1" hidden="1" customWidth="1"/>
    <col min="12268" max="12269" width="14.85546875" style="1" customWidth="1"/>
    <col min="12270" max="12271" width="0" style="1" hidden="1" customWidth="1"/>
    <col min="12272" max="12272" width="14.85546875" style="1" customWidth="1"/>
    <col min="12273" max="12274" width="0" style="1" hidden="1" customWidth="1"/>
    <col min="12275" max="12275" width="14.85546875" style="1" customWidth="1"/>
    <col min="12276" max="12277" width="0" style="1" hidden="1" customWidth="1"/>
    <col min="12278" max="12278" width="14.85546875" style="1" customWidth="1"/>
    <col min="12279" max="12280" width="0" style="1" hidden="1" customWidth="1"/>
    <col min="12281" max="12281" width="14.85546875" style="1" customWidth="1"/>
    <col min="12282" max="12283" width="0" style="1" hidden="1" customWidth="1"/>
    <col min="12284" max="12285" width="14.85546875" style="1" customWidth="1"/>
    <col min="12286" max="12286" width="44.42578125" style="1" customWidth="1"/>
    <col min="12287" max="12291" width="14.85546875" style="1" customWidth="1"/>
    <col min="12292" max="12292" width="63.85546875" style="1" customWidth="1"/>
    <col min="12293" max="12293" width="13.28515625" style="1" customWidth="1"/>
    <col min="12294" max="12479" width="9.140625" style="1"/>
    <col min="12480" max="12481" width="0" style="1" hidden="1" customWidth="1"/>
    <col min="12482" max="12482" width="13.7109375" style="1" customWidth="1"/>
    <col min="12483" max="12483" width="52.85546875" style="1" customWidth="1"/>
    <col min="12484" max="12523" width="0" style="1" hidden="1" customWidth="1"/>
    <col min="12524" max="12525" width="14.85546875" style="1" customWidth="1"/>
    <col min="12526" max="12527" width="0" style="1" hidden="1" customWidth="1"/>
    <col min="12528" max="12528" width="14.85546875" style="1" customWidth="1"/>
    <col min="12529" max="12530" width="0" style="1" hidden="1" customWidth="1"/>
    <col min="12531" max="12531" width="14.85546875" style="1" customWidth="1"/>
    <col min="12532" max="12533" width="0" style="1" hidden="1" customWidth="1"/>
    <col min="12534" max="12534" width="14.85546875" style="1" customWidth="1"/>
    <col min="12535" max="12536" width="0" style="1" hidden="1" customWidth="1"/>
    <col min="12537" max="12537" width="14.85546875" style="1" customWidth="1"/>
    <col min="12538" max="12539" width="0" style="1" hidden="1" customWidth="1"/>
    <col min="12540" max="12541" width="14.85546875" style="1" customWidth="1"/>
    <col min="12542" max="12542" width="44.42578125" style="1" customWidth="1"/>
    <col min="12543" max="12547" width="14.85546875" style="1" customWidth="1"/>
    <col min="12548" max="12548" width="63.85546875" style="1" customWidth="1"/>
    <col min="12549" max="12549" width="13.28515625" style="1" customWidth="1"/>
    <col min="12550" max="12735" width="9.140625" style="1"/>
    <col min="12736" max="12737" width="0" style="1" hidden="1" customWidth="1"/>
    <col min="12738" max="12738" width="13.7109375" style="1" customWidth="1"/>
    <col min="12739" max="12739" width="52.85546875" style="1" customWidth="1"/>
    <col min="12740" max="12779" width="0" style="1" hidden="1" customWidth="1"/>
    <col min="12780" max="12781" width="14.85546875" style="1" customWidth="1"/>
    <col min="12782" max="12783" width="0" style="1" hidden="1" customWidth="1"/>
    <col min="12784" max="12784" width="14.85546875" style="1" customWidth="1"/>
    <col min="12785" max="12786" width="0" style="1" hidden="1" customWidth="1"/>
    <col min="12787" max="12787" width="14.85546875" style="1" customWidth="1"/>
    <col min="12788" max="12789" width="0" style="1" hidden="1" customWidth="1"/>
    <col min="12790" max="12790" width="14.85546875" style="1" customWidth="1"/>
    <col min="12791" max="12792" width="0" style="1" hidden="1" customWidth="1"/>
    <col min="12793" max="12793" width="14.85546875" style="1" customWidth="1"/>
    <col min="12794" max="12795" width="0" style="1" hidden="1" customWidth="1"/>
    <col min="12796" max="12797" width="14.85546875" style="1" customWidth="1"/>
    <col min="12798" max="12798" width="44.42578125" style="1" customWidth="1"/>
    <col min="12799" max="12803" width="14.85546875" style="1" customWidth="1"/>
    <col min="12804" max="12804" width="63.85546875" style="1" customWidth="1"/>
    <col min="12805" max="12805" width="13.28515625" style="1" customWidth="1"/>
    <col min="12806" max="12991" width="9.140625" style="1"/>
    <col min="12992" max="12993" width="0" style="1" hidden="1" customWidth="1"/>
    <col min="12994" max="12994" width="13.7109375" style="1" customWidth="1"/>
    <col min="12995" max="12995" width="52.85546875" style="1" customWidth="1"/>
    <col min="12996" max="13035" width="0" style="1" hidden="1" customWidth="1"/>
    <col min="13036" max="13037" width="14.85546875" style="1" customWidth="1"/>
    <col min="13038" max="13039" width="0" style="1" hidden="1" customWidth="1"/>
    <col min="13040" max="13040" width="14.85546875" style="1" customWidth="1"/>
    <col min="13041" max="13042" width="0" style="1" hidden="1" customWidth="1"/>
    <col min="13043" max="13043" width="14.85546875" style="1" customWidth="1"/>
    <col min="13044" max="13045" width="0" style="1" hidden="1" customWidth="1"/>
    <col min="13046" max="13046" width="14.85546875" style="1" customWidth="1"/>
    <col min="13047" max="13048" width="0" style="1" hidden="1" customWidth="1"/>
    <col min="13049" max="13049" width="14.85546875" style="1" customWidth="1"/>
    <col min="13050" max="13051" width="0" style="1" hidden="1" customWidth="1"/>
    <col min="13052" max="13053" width="14.85546875" style="1" customWidth="1"/>
    <col min="13054" max="13054" width="44.42578125" style="1" customWidth="1"/>
    <col min="13055" max="13059" width="14.85546875" style="1" customWidth="1"/>
    <col min="13060" max="13060" width="63.85546875" style="1" customWidth="1"/>
    <col min="13061" max="13061" width="13.28515625" style="1" customWidth="1"/>
    <col min="13062" max="13247" width="9.140625" style="1"/>
    <col min="13248" max="13249" width="0" style="1" hidden="1" customWidth="1"/>
    <col min="13250" max="13250" width="13.7109375" style="1" customWidth="1"/>
    <col min="13251" max="13251" width="52.85546875" style="1" customWidth="1"/>
    <col min="13252" max="13291" width="0" style="1" hidden="1" customWidth="1"/>
    <col min="13292" max="13293" width="14.85546875" style="1" customWidth="1"/>
    <col min="13294" max="13295" width="0" style="1" hidden="1" customWidth="1"/>
    <col min="13296" max="13296" width="14.85546875" style="1" customWidth="1"/>
    <col min="13297" max="13298" width="0" style="1" hidden="1" customWidth="1"/>
    <col min="13299" max="13299" width="14.85546875" style="1" customWidth="1"/>
    <col min="13300" max="13301" width="0" style="1" hidden="1" customWidth="1"/>
    <col min="13302" max="13302" width="14.85546875" style="1" customWidth="1"/>
    <col min="13303" max="13304" width="0" style="1" hidden="1" customWidth="1"/>
    <col min="13305" max="13305" width="14.85546875" style="1" customWidth="1"/>
    <col min="13306" max="13307" width="0" style="1" hidden="1" customWidth="1"/>
    <col min="13308" max="13309" width="14.85546875" style="1" customWidth="1"/>
    <col min="13310" max="13310" width="44.42578125" style="1" customWidth="1"/>
    <col min="13311" max="13315" width="14.85546875" style="1" customWidth="1"/>
    <col min="13316" max="13316" width="63.85546875" style="1" customWidth="1"/>
    <col min="13317" max="13317" width="13.28515625" style="1" customWidth="1"/>
    <col min="13318" max="13503" width="9.140625" style="1"/>
    <col min="13504" max="13505" width="0" style="1" hidden="1" customWidth="1"/>
    <col min="13506" max="13506" width="13.7109375" style="1" customWidth="1"/>
    <col min="13507" max="13507" width="52.85546875" style="1" customWidth="1"/>
    <col min="13508" max="13547" width="0" style="1" hidden="1" customWidth="1"/>
    <col min="13548" max="13549" width="14.85546875" style="1" customWidth="1"/>
    <col min="13550" max="13551" width="0" style="1" hidden="1" customWidth="1"/>
    <col min="13552" max="13552" width="14.85546875" style="1" customWidth="1"/>
    <col min="13553" max="13554" width="0" style="1" hidden="1" customWidth="1"/>
    <col min="13555" max="13555" width="14.85546875" style="1" customWidth="1"/>
    <col min="13556" max="13557" width="0" style="1" hidden="1" customWidth="1"/>
    <col min="13558" max="13558" width="14.85546875" style="1" customWidth="1"/>
    <col min="13559" max="13560" width="0" style="1" hidden="1" customWidth="1"/>
    <col min="13561" max="13561" width="14.85546875" style="1" customWidth="1"/>
    <col min="13562" max="13563" width="0" style="1" hidden="1" customWidth="1"/>
    <col min="13564" max="13565" width="14.85546875" style="1" customWidth="1"/>
    <col min="13566" max="13566" width="44.42578125" style="1" customWidth="1"/>
    <col min="13567" max="13571" width="14.85546875" style="1" customWidth="1"/>
    <col min="13572" max="13572" width="63.85546875" style="1" customWidth="1"/>
    <col min="13573" max="13573" width="13.28515625" style="1" customWidth="1"/>
    <col min="13574" max="13759" width="9.140625" style="1"/>
    <col min="13760" max="13761" width="0" style="1" hidden="1" customWidth="1"/>
    <col min="13762" max="13762" width="13.7109375" style="1" customWidth="1"/>
    <col min="13763" max="13763" width="52.85546875" style="1" customWidth="1"/>
    <col min="13764" max="13803" width="0" style="1" hidden="1" customWidth="1"/>
    <col min="13804" max="13805" width="14.85546875" style="1" customWidth="1"/>
    <col min="13806" max="13807" width="0" style="1" hidden="1" customWidth="1"/>
    <col min="13808" max="13808" width="14.85546875" style="1" customWidth="1"/>
    <col min="13809" max="13810" width="0" style="1" hidden="1" customWidth="1"/>
    <col min="13811" max="13811" width="14.85546875" style="1" customWidth="1"/>
    <col min="13812" max="13813" width="0" style="1" hidden="1" customWidth="1"/>
    <col min="13814" max="13814" width="14.85546875" style="1" customWidth="1"/>
    <col min="13815" max="13816" width="0" style="1" hidden="1" customWidth="1"/>
    <col min="13817" max="13817" width="14.85546875" style="1" customWidth="1"/>
    <col min="13818" max="13819" width="0" style="1" hidden="1" customWidth="1"/>
    <col min="13820" max="13821" width="14.85546875" style="1" customWidth="1"/>
    <col min="13822" max="13822" width="44.42578125" style="1" customWidth="1"/>
    <col min="13823" max="13827" width="14.85546875" style="1" customWidth="1"/>
    <col min="13828" max="13828" width="63.85546875" style="1" customWidth="1"/>
    <col min="13829" max="13829" width="13.28515625" style="1" customWidth="1"/>
    <col min="13830" max="14015" width="9.140625" style="1"/>
    <col min="14016" max="14017" width="0" style="1" hidden="1" customWidth="1"/>
    <col min="14018" max="14018" width="13.7109375" style="1" customWidth="1"/>
    <col min="14019" max="14019" width="52.85546875" style="1" customWidth="1"/>
    <col min="14020" max="14059" width="0" style="1" hidden="1" customWidth="1"/>
    <col min="14060" max="14061" width="14.85546875" style="1" customWidth="1"/>
    <col min="14062" max="14063" width="0" style="1" hidden="1" customWidth="1"/>
    <col min="14064" max="14064" width="14.85546875" style="1" customWidth="1"/>
    <col min="14065" max="14066" width="0" style="1" hidden="1" customWidth="1"/>
    <col min="14067" max="14067" width="14.85546875" style="1" customWidth="1"/>
    <col min="14068" max="14069" width="0" style="1" hidden="1" customWidth="1"/>
    <col min="14070" max="14070" width="14.85546875" style="1" customWidth="1"/>
    <col min="14071" max="14072" width="0" style="1" hidden="1" customWidth="1"/>
    <col min="14073" max="14073" width="14.85546875" style="1" customWidth="1"/>
    <col min="14074" max="14075" width="0" style="1" hidden="1" customWidth="1"/>
    <col min="14076" max="14077" width="14.85546875" style="1" customWidth="1"/>
    <col min="14078" max="14078" width="44.42578125" style="1" customWidth="1"/>
    <col min="14079" max="14083" width="14.85546875" style="1" customWidth="1"/>
    <col min="14084" max="14084" width="63.85546875" style="1" customWidth="1"/>
    <col min="14085" max="14085" width="13.28515625" style="1" customWidth="1"/>
    <col min="14086" max="14271" width="9.140625" style="1"/>
    <col min="14272" max="14273" width="0" style="1" hidden="1" customWidth="1"/>
    <col min="14274" max="14274" width="13.7109375" style="1" customWidth="1"/>
    <col min="14275" max="14275" width="52.85546875" style="1" customWidth="1"/>
    <col min="14276" max="14315" width="0" style="1" hidden="1" customWidth="1"/>
    <col min="14316" max="14317" width="14.85546875" style="1" customWidth="1"/>
    <col min="14318" max="14319" width="0" style="1" hidden="1" customWidth="1"/>
    <col min="14320" max="14320" width="14.85546875" style="1" customWidth="1"/>
    <col min="14321" max="14322" width="0" style="1" hidden="1" customWidth="1"/>
    <col min="14323" max="14323" width="14.85546875" style="1" customWidth="1"/>
    <col min="14324" max="14325" width="0" style="1" hidden="1" customWidth="1"/>
    <col min="14326" max="14326" width="14.85546875" style="1" customWidth="1"/>
    <col min="14327" max="14328" width="0" style="1" hidden="1" customWidth="1"/>
    <col min="14329" max="14329" width="14.85546875" style="1" customWidth="1"/>
    <col min="14330" max="14331" width="0" style="1" hidden="1" customWidth="1"/>
    <col min="14332" max="14333" width="14.85546875" style="1" customWidth="1"/>
    <col min="14334" max="14334" width="44.42578125" style="1" customWidth="1"/>
    <col min="14335" max="14339" width="14.85546875" style="1" customWidth="1"/>
    <col min="14340" max="14340" width="63.85546875" style="1" customWidth="1"/>
    <col min="14341" max="14341" width="13.28515625" style="1" customWidth="1"/>
    <col min="14342" max="14527" width="9.140625" style="1"/>
    <col min="14528" max="14529" width="0" style="1" hidden="1" customWidth="1"/>
    <col min="14530" max="14530" width="13.7109375" style="1" customWidth="1"/>
    <col min="14531" max="14531" width="52.85546875" style="1" customWidth="1"/>
    <col min="14532" max="14571" width="0" style="1" hidden="1" customWidth="1"/>
    <col min="14572" max="14573" width="14.85546875" style="1" customWidth="1"/>
    <col min="14574" max="14575" width="0" style="1" hidden="1" customWidth="1"/>
    <col min="14576" max="14576" width="14.85546875" style="1" customWidth="1"/>
    <col min="14577" max="14578" width="0" style="1" hidden="1" customWidth="1"/>
    <col min="14579" max="14579" width="14.85546875" style="1" customWidth="1"/>
    <col min="14580" max="14581" width="0" style="1" hidden="1" customWidth="1"/>
    <col min="14582" max="14582" width="14.85546875" style="1" customWidth="1"/>
    <col min="14583" max="14584" width="0" style="1" hidden="1" customWidth="1"/>
    <col min="14585" max="14585" width="14.85546875" style="1" customWidth="1"/>
    <col min="14586" max="14587" width="0" style="1" hidden="1" customWidth="1"/>
    <col min="14588" max="14589" width="14.85546875" style="1" customWidth="1"/>
    <col min="14590" max="14590" width="44.42578125" style="1" customWidth="1"/>
    <col min="14591" max="14595" width="14.85546875" style="1" customWidth="1"/>
    <col min="14596" max="14596" width="63.85546875" style="1" customWidth="1"/>
    <col min="14597" max="14597" width="13.28515625" style="1" customWidth="1"/>
    <col min="14598" max="14783" width="9.140625" style="1"/>
    <col min="14784" max="14785" width="0" style="1" hidden="1" customWidth="1"/>
    <col min="14786" max="14786" width="13.7109375" style="1" customWidth="1"/>
    <col min="14787" max="14787" width="52.85546875" style="1" customWidth="1"/>
    <col min="14788" max="14827" width="0" style="1" hidden="1" customWidth="1"/>
    <col min="14828" max="14829" width="14.85546875" style="1" customWidth="1"/>
    <col min="14830" max="14831" width="0" style="1" hidden="1" customWidth="1"/>
    <col min="14832" max="14832" width="14.85546875" style="1" customWidth="1"/>
    <col min="14833" max="14834" width="0" style="1" hidden="1" customWidth="1"/>
    <col min="14835" max="14835" width="14.85546875" style="1" customWidth="1"/>
    <col min="14836" max="14837" width="0" style="1" hidden="1" customWidth="1"/>
    <col min="14838" max="14838" width="14.85546875" style="1" customWidth="1"/>
    <col min="14839" max="14840" width="0" style="1" hidden="1" customWidth="1"/>
    <col min="14841" max="14841" width="14.85546875" style="1" customWidth="1"/>
    <col min="14842" max="14843" width="0" style="1" hidden="1" customWidth="1"/>
    <col min="14844" max="14845" width="14.85546875" style="1" customWidth="1"/>
    <col min="14846" max="14846" width="44.42578125" style="1" customWidth="1"/>
    <col min="14847" max="14851" width="14.85546875" style="1" customWidth="1"/>
    <col min="14852" max="14852" width="63.85546875" style="1" customWidth="1"/>
    <col min="14853" max="14853" width="13.28515625" style="1" customWidth="1"/>
    <col min="14854" max="15039" width="9.140625" style="1"/>
    <col min="15040" max="15041" width="0" style="1" hidden="1" customWidth="1"/>
    <col min="15042" max="15042" width="13.7109375" style="1" customWidth="1"/>
    <col min="15043" max="15043" width="52.85546875" style="1" customWidth="1"/>
    <col min="15044" max="15083" width="0" style="1" hidden="1" customWidth="1"/>
    <col min="15084" max="15085" width="14.85546875" style="1" customWidth="1"/>
    <col min="15086" max="15087" width="0" style="1" hidden="1" customWidth="1"/>
    <col min="15088" max="15088" width="14.85546875" style="1" customWidth="1"/>
    <col min="15089" max="15090" width="0" style="1" hidden="1" customWidth="1"/>
    <col min="15091" max="15091" width="14.85546875" style="1" customWidth="1"/>
    <col min="15092" max="15093" width="0" style="1" hidden="1" customWidth="1"/>
    <col min="15094" max="15094" width="14.85546875" style="1" customWidth="1"/>
    <col min="15095" max="15096" width="0" style="1" hidden="1" customWidth="1"/>
    <col min="15097" max="15097" width="14.85546875" style="1" customWidth="1"/>
    <col min="15098" max="15099" width="0" style="1" hidden="1" customWidth="1"/>
    <col min="15100" max="15101" width="14.85546875" style="1" customWidth="1"/>
    <col min="15102" max="15102" width="44.42578125" style="1" customWidth="1"/>
    <col min="15103" max="15107" width="14.85546875" style="1" customWidth="1"/>
    <col min="15108" max="15108" width="63.85546875" style="1" customWidth="1"/>
    <col min="15109" max="15109" width="13.28515625" style="1" customWidth="1"/>
    <col min="15110" max="15295" width="9.140625" style="1"/>
    <col min="15296" max="15297" width="0" style="1" hidden="1" customWidth="1"/>
    <col min="15298" max="15298" width="13.7109375" style="1" customWidth="1"/>
    <col min="15299" max="15299" width="52.85546875" style="1" customWidth="1"/>
    <col min="15300" max="15339" width="0" style="1" hidden="1" customWidth="1"/>
    <col min="15340" max="15341" width="14.85546875" style="1" customWidth="1"/>
    <col min="15342" max="15343" width="0" style="1" hidden="1" customWidth="1"/>
    <col min="15344" max="15344" width="14.85546875" style="1" customWidth="1"/>
    <col min="15345" max="15346" width="0" style="1" hidden="1" customWidth="1"/>
    <col min="15347" max="15347" width="14.85546875" style="1" customWidth="1"/>
    <col min="15348" max="15349" width="0" style="1" hidden="1" customWidth="1"/>
    <col min="15350" max="15350" width="14.85546875" style="1" customWidth="1"/>
    <col min="15351" max="15352" width="0" style="1" hidden="1" customWidth="1"/>
    <col min="15353" max="15353" width="14.85546875" style="1" customWidth="1"/>
    <col min="15354" max="15355" width="0" style="1" hidden="1" customWidth="1"/>
    <col min="15356" max="15357" width="14.85546875" style="1" customWidth="1"/>
    <col min="15358" max="15358" width="44.42578125" style="1" customWidth="1"/>
    <col min="15359" max="15363" width="14.85546875" style="1" customWidth="1"/>
    <col min="15364" max="15364" width="63.85546875" style="1" customWidth="1"/>
    <col min="15365" max="15365" width="13.28515625" style="1" customWidth="1"/>
    <col min="15366" max="15551" width="9.140625" style="1"/>
    <col min="15552" max="15553" width="0" style="1" hidden="1" customWidth="1"/>
    <col min="15554" max="15554" width="13.7109375" style="1" customWidth="1"/>
    <col min="15555" max="15555" width="52.85546875" style="1" customWidth="1"/>
    <col min="15556" max="15595" width="0" style="1" hidden="1" customWidth="1"/>
    <col min="15596" max="15597" width="14.85546875" style="1" customWidth="1"/>
    <col min="15598" max="15599" width="0" style="1" hidden="1" customWidth="1"/>
    <col min="15600" max="15600" width="14.85546875" style="1" customWidth="1"/>
    <col min="15601" max="15602" width="0" style="1" hidden="1" customWidth="1"/>
    <col min="15603" max="15603" width="14.85546875" style="1" customWidth="1"/>
    <col min="15604" max="15605" width="0" style="1" hidden="1" customWidth="1"/>
    <col min="15606" max="15606" width="14.85546875" style="1" customWidth="1"/>
    <col min="15607" max="15608" width="0" style="1" hidden="1" customWidth="1"/>
    <col min="15609" max="15609" width="14.85546875" style="1" customWidth="1"/>
    <col min="15610" max="15611" width="0" style="1" hidden="1" customWidth="1"/>
    <col min="15612" max="15613" width="14.85546875" style="1" customWidth="1"/>
    <col min="15614" max="15614" width="44.42578125" style="1" customWidth="1"/>
    <col min="15615" max="15619" width="14.85546875" style="1" customWidth="1"/>
    <col min="15620" max="15620" width="63.85546875" style="1" customWidth="1"/>
    <col min="15621" max="15621" width="13.28515625" style="1" customWidth="1"/>
    <col min="15622" max="15807" width="9.140625" style="1"/>
    <col min="15808" max="15809" width="0" style="1" hidden="1" customWidth="1"/>
    <col min="15810" max="15810" width="13.7109375" style="1" customWidth="1"/>
    <col min="15811" max="15811" width="52.85546875" style="1" customWidth="1"/>
    <col min="15812" max="15851" width="0" style="1" hidden="1" customWidth="1"/>
    <col min="15852" max="15853" width="14.85546875" style="1" customWidth="1"/>
    <col min="15854" max="15855" width="0" style="1" hidden="1" customWidth="1"/>
    <col min="15856" max="15856" width="14.85546875" style="1" customWidth="1"/>
    <col min="15857" max="15858" width="0" style="1" hidden="1" customWidth="1"/>
    <col min="15859" max="15859" width="14.85546875" style="1" customWidth="1"/>
    <col min="15860" max="15861" width="0" style="1" hidden="1" customWidth="1"/>
    <col min="15862" max="15862" width="14.85546875" style="1" customWidth="1"/>
    <col min="15863" max="15864" width="0" style="1" hidden="1" customWidth="1"/>
    <col min="15865" max="15865" width="14.85546875" style="1" customWidth="1"/>
    <col min="15866" max="15867" width="0" style="1" hidden="1" customWidth="1"/>
    <col min="15868" max="15869" width="14.85546875" style="1" customWidth="1"/>
    <col min="15870" max="15870" width="44.42578125" style="1" customWidth="1"/>
    <col min="15871" max="15875" width="14.85546875" style="1" customWidth="1"/>
    <col min="15876" max="15876" width="63.85546875" style="1" customWidth="1"/>
    <col min="15877" max="15877" width="13.28515625" style="1" customWidth="1"/>
    <col min="15878" max="16063" width="9.140625" style="1"/>
    <col min="16064" max="16065" width="0" style="1" hidden="1" customWidth="1"/>
    <col min="16066" max="16066" width="13.7109375" style="1" customWidth="1"/>
    <col min="16067" max="16067" width="52.85546875" style="1" customWidth="1"/>
    <col min="16068" max="16107" width="0" style="1" hidden="1" customWidth="1"/>
    <col min="16108" max="16109" width="14.85546875" style="1" customWidth="1"/>
    <col min="16110" max="16111" width="0" style="1" hidden="1" customWidth="1"/>
    <col min="16112" max="16112" width="14.85546875" style="1" customWidth="1"/>
    <col min="16113" max="16114" width="0" style="1" hidden="1" customWidth="1"/>
    <col min="16115" max="16115" width="14.85546875" style="1" customWidth="1"/>
    <col min="16116" max="16117" width="0" style="1" hidden="1" customWidth="1"/>
    <col min="16118" max="16118" width="14.85546875" style="1" customWidth="1"/>
    <col min="16119" max="16120" width="0" style="1" hidden="1" customWidth="1"/>
    <col min="16121" max="16121" width="14.85546875" style="1" customWidth="1"/>
    <col min="16122" max="16123" width="0" style="1" hidden="1" customWidth="1"/>
    <col min="16124" max="16125" width="14.85546875" style="1" customWidth="1"/>
    <col min="16126" max="16126" width="44.42578125" style="1" customWidth="1"/>
    <col min="16127" max="16131" width="14.85546875" style="1" customWidth="1"/>
    <col min="16132" max="16132" width="63.85546875" style="1" customWidth="1"/>
    <col min="16133" max="16133" width="13.28515625" style="1" customWidth="1"/>
    <col min="16134" max="16332" width="9.140625" style="1"/>
    <col min="16333" max="16365" width="9.140625" style="1" customWidth="1"/>
    <col min="16366" max="16384" width="9.140625" style="1"/>
  </cols>
  <sheetData>
    <row r="1" spans="1:29" ht="25.5" outlineLevel="1" x14ac:dyDescent="0.35">
      <c r="C1" s="2" t="s">
        <v>0</v>
      </c>
      <c r="D1" s="3"/>
      <c r="E1" s="5"/>
      <c r="F1" s="271"/>
      <c r="G1" s="272"/>
      <c r="H1" s="273"/>
      <c r="I1" s="274"/>
      <c r="J1" s="272"/>
      <c r="K1" s="275"/>
      <c r="L1" s="276"/>
      <c r="M1" s="272"/>
      <c r="N1" s="275"/>
      <c r="O1" s="277"/>
      <c r="P1" s="272"/>
      <c r="Q1" s="275"/>
      <c r="R1" s="277"/>
      <c r="S1" s="272"/>
      <c r="T1" s="275"/>
      <c r="U1" s="276"/>
      <c r="V1" s="272"/>
      <c r="W1" s="275"/>
      <c r="X1" s="276"/>
      <c r="Y1" s="272"/>
      <c r="Z1" s="275"/>
      <c r="AA1" s="276"/>
      <c r="AB1" s="4"/>
      <c r="AC1" s="6"/>
    </row>
    <row r="2" spans="1:29" ht="25.5" outlineLevel="1" x14ac:dyDescent="0.35">
      <c r="C2" s="7" t="s">
        <v>2</v>
      </c>
      <c r="D2" s="7"/>
      <c r="F2" s="278"/>
      <c r="G2" s="279"/>
      <c r="H2" s="11"/>
      <c r="I2" s="279"/>
      <c r="J2" s="279"/>
      <c r="K2" s="12"/>
      <c r="L2" s="279"/>
      <c r="M2" s="279"/>
      <c r="N2" s="12"/>
      <c r="O2" s="279"/>
      <c r="P2" s="279"/>
      <c r="Q2" s="12"/>
      <c r="R2" s="279"/>
      <c r="S2" s="279"/>
      <c r="T2" s="12"/>
      <c r="U2" s="279"/>
      <c r="V2" s="279"/>
      <c r="W2" s="12"/>
      <c r="X2" s="279"/>
      <c r="Y2" s="280"/>
      <c r="Z2" s="12"/>
      <c r="AA2" s="279"/>
      <c r="AC2" s="12"/>
    </row>
    <row r="3" spans="1:29" ht="20.25" outlineLevel="1" x14ac:dyDescent="0.3">
      <c r="C3" s="14" t="s">
        <v>4</v>
      </c>
      <c r="D3" s="14"/>
      <c r="E3" s="15"/>
      <c r="F3" s="281"/>
      <c r="G3" s="282"/>
      <c r="H3" s="283"/>
      <c r="I3" s="282"/>
      <c r="J3" s="282"/>
      <c r="K3" s="284"/>
      <c r="L3" s="281"/>
      <c r="M3" s="282"/>
      <c r="N3" s="284"/>
      <c r="O3" s="281"/>
      <c r="P3" s="282"/>
      <c r="Q3" s="284"/>
      <c r="R3" s="281"/>
      <c r="S3" s="282"/>
      <c r="T3" s="284"/>
      <c r="U3" s="281"/>
      <c r="V3" s="282"/>
      <c r="W3" s="284"/>
      <c r="X3" s="281"/>
      <c r="Y3" s="280"/>
      <c r="Z3" s="284"/>
      <c r="AA3" s="281"/>
    </row>
    <row r="4" spans="1:29" ht="15.75" outlineLevel="1" thickBot="1" x14ac:dyDescent="0.3">
      <c r="C4" s="19"/>
      <c r="E4" s="15"/>
      <c r="F4" s="16"/>
      <c r="G4" s="18"/>
      <c r="I4" s="16"/>
      <c r="J4" s="18"/>
      <c r="L4" s="16"/>
      <c r="M4" s="18"/>
      <c r="O4" s="16"/>
      <c r="P4" s="18"/>
      <c r="R4" s="16"/>
      <c r="S4" s="18"/>
      <c r="U4" s="16"/>
      <c r="V4" s="18"/>
      <c r="X4" s="16"/>
      <c r="Y4" s="18"/>
      <c r="AA4" s="16"/>
      <c r="AB4" s="18"/>
    </row>
    <row r="5" spans="1:29" ht="55.15" customHeight="1" thickBot="1" x14ac:dyDescent="0.3">
      <c r="C5" s="20" t="s">
        <v>5</v>
      </c>
      <c r="D5" s="21" t="s">
        <v>6</v>
      </c>
      <c r="E5" s="23" t="s">
        <v>7</v>
      </c>
      <c r="F5" s="23" t="s">
        <v>8</v>
      </c>
      <c r="G5" s="22" t="s">
        <v>9</v>
      </c>
      <c r="H5" s="24" t="s">
        <v>10</v>
      </c>
      <c r="I5" s="22" t="s">
        <v>11</v>
      </c>
      <c r="J5" s="22" t="s">
        <v>12</v>
      </c>
      <c r="K5" s="25" t="s">
        <v>10</v>
      </c>
      <c r="L5" s="22" t="s">
        <v>13</v>
      </c>
      <c r="M5" s="22" t="s">
        <v>14</v>
      </c>
      <c r="N5" s="25" t="s">
        <v>10</v>
      </c>
      <c r="O5" s="22" t="s">
        <v>15</v>
      </c>
      <c r="P5" s="22" t="s">
        <v>16</v>
      </c>
      <c r="Q5" s="25" t="s">
        <v>10</v>
      </c>
      <c r="R5" s="22" t="s">
        <v>17</v>
      </c>
      <c r="S5" s="22" t="s">
        <v>18</v>
      </c>
      <c r="T5" s="25" t="s">
        <v>10</v>
      </c>
      <c r="U5" s="22" t="s">
        <v>19</v>
      </c>
      <c r="V5" s="22" t="s">
        <v>20</v>
      </c>
      <c r="W5" s="25" t="s">
        <v>10</v>
      </c>
      <c r="X5" s="22" t="s">
        <v>21</v>
      </c>
      <c r="Y5" s="22" t="s">
        <v>22</v>
      </c>
      <c r="Z5" s="25" t="s">
        <v>10</v>
      </c>
      <c r="AA5" s="22" t="s">
        <v>23</v>
      </c>
      <c r="AB5" s="22" t="s">
        <v>24</v>
      </c>
      <c r="AC5" s="25" t="s">
        <v>10</v>
      </c>
    </row>
    <row r="6" spans="1:29" x14ac:dyDescent="0.25">
      <c r="C6" s="26" t="s">
        <v>25</v>
      </c>
      <c r="D6" s="27" t="s">
        <v>26</v>
      </c>
      <c r="E6" s="28">
        <v>38074624</v>
      </c>
      <c r="F6" s="28">
        <f t="shared" ref="F6" si="0">ROUND((F7+F10+F13+F16+F19),0)</f>
        <v>38074624</v>
      </c>
      <c r="G6" s="29">
        <f>F6-E6</f>
        <v>0</v>
      </c>
      <c r="H6" s="30"/>
      <c r="I6" s="28">
        <f>ROUND((I7+I10+I13+I16+I19),0)</f>
        <v>38519847</v>
      </c>
      <c r="J6" s="29">
        <f>I6-F6</f>
        <v>445223</v>
      </c>
      <c r="K6" s="31"/>
      <c r="L6" s="28">
        <f>ROUND((L7+L10+L13+L16+L19),0)</f>
        <v>38519847</v>
      </c>
      <c r="M6" s="29">
        <f>L6-I6</f>
        <v>0</v>
      </c>
      <c r="N6" s="31"/>
      <c r="O6" s="28">
        <f>ROUND((O7+O10+O13+O16+O19),0)</f>
        <v>38519847</v>
      </c>
      <c r="P6" s="29">
        <f>O6-L6</f>
        <v>0</v>
      </c>
      <c r="Q6" s="31"/>
      <c r="R6" s="28">
        <f>ROUND((R7+R10+R13+R16+R19),0)</f>
        <v>38539687</v>
      </c>
      <c r="S6" s="29">
        <f>R6-O6</f>
        <v>19840</v>
      </c>
      <c r="T6" s="31"/>
      <c r="U6" s="28">
        <f>ROUND((U7+U10+U13+U16+U19),0)</f>
        <v>38539687</v>
      </c>
      <c r="V6" s="29">
        <f>U6-R6</f>
        <v>0</v>
      </c>
      <c r="W6" s="31"/>
      <c r="X6" s="28">
        <f>ROUND((X7+X10+X13+X16+X19),0)</f>
        <v>38539687</v>
      </c>
      <c r="Y6" s="29">
        <f>X6-U6</f>
        <v>0</v>
      </c>
      <c r="Z6" s="31"/>
      <c r="AA6" s="28">
        <f>ROUND((AA7+AA10+AA13+AA16+AA19),0)</f>
        <v>38539687</v>
      </c>
      <c r="AB6" s="29">
        <f>AA6-X6</f>
        <v>0</v>
      </c>
      <c r="AC6" s="31"/>
    </row>
    <row r="7" spans="1:29" x14ac:dyDescent="0.25">
      <c r="B7" s="1" t="s">
        <v>27</v>
      </c>
      <c r="C7" s="32" t="s">
        <v>28</v>
      </c>
      <c r="D7" s="33" t="s">
        <v>29</v>
      </c>
      <c r="E7" s="35">
        <v>34831773</v>
      </c>
      <c r="F7" s="35">
        <f t="shared" ref="F7" si="1">SUM(F8:F8)</f>
        <v>34831773</v>
      </c>
      <c r="G7" s="34">
        <f t="shared" ref="G7:G71" si="2">F7-E7</f>
        <v>0</v>
      </c>
      <c r="H7" s="36"/>
      <c r="I7" s="34">
        <f>SUM(I8:I8)</f>
        <v>35276996</v>
      </c>
      <c r="J7" s="34">
        <f>I7-F7</f>
        <v>445223</v>
      </c>
      <c r="K7" s="37"/>
      <c r="L7" s="34">
        <f>SUM(L8:L8)</f>
        <v>35276996</v>
      </c>
      <c r="M7" s="34">
        <f>L7-I7</f>
        <v>0</v>
      </c>
      <c r="N7" s="37"/>
      <c r="O7" s="34">
        <f>SUM(O8:O8)</f>
        <v>35276996</v>
      </c>
      <c r="P7" s="34">
        <f>O7-L7</f>
        <v>0</v>
      </c>
      <c r="Q7" s="37"/>
      <c r="R7" s="34">
        <f>SUM(R8:R8)</f>
        <v>35296836</v>
      </c>
      <c r="S7" s="34">
        <f>R7-O7</f>
        <v>19840</v>
      </c>
      <c r="T7" s="37"/>
      <c r="U7" s="34">
        <f>SUM(U8:U8)</f>
        <v>35296836</v>
      </c>
      <c r="V7" s="34">
        <f>U7-R7</f>
        <v>0</v>
      </c>
      <c r="W7" s="37"/>
      <c r="X7" s="34">
        <f>SUM(X8:X8)</f>
        <v>35296836</v>
      </c>
      <c r="Y7" s="34">
        <f>X7-U7</f>
        <v>0</v>
      </c>
      <c r="Z7" s="37"/>
      <c r="AA7" s="34">
        <f>SUM(AA8:AA8)</f>
        <v>35296836</v>
      </c>
      <c r="AB7" s="34">
        <f>AA7-X7</f>
        <v>0</v>
      </c>
      <c r="AC7" s="37"/>
    </row>
    <row r="8" spans="1:29" ht="43.5" customHeight="1" x14ac:dyDescent="0.25">
      <c r="A8" s="1" t="s">
        <v>30</v>
      </c>
      <c r="B8" s="38" t="s">
        <v>31</v>
      </c>
      <c r="C8" s="39" t="s">
        <v>32</v>
      </c>
      <c r="D8" s="40" t="s">
        <v>33</v>
      </c>
      <c r="E8" s="42">
        <v>34831773</v>
      </c>
      <c r="F8" s="42">
        <f>ROUND(E8,0)</f>
        <v>34831773</v>
      </c>
      <c r="G8" s="41">
        <f t="shared" si="2"/>
        <v>0</v>
      </c>
      <c r="H8" s="43"/>
      <c r="I8" s="41">
        <f>ROUND(F8,0)+331540+113683</f>
        <v>35276996</v>
      </c>
      <c r="J8" s="41">
        <f>I8-F8</f>
        <v>445223</v>
      </c>
      <c r="K8" s="44" t="s">
        <v>34</v>
      </c>
      <c r="L8" s="41">
        <f>ROUND(I8,0)</f>
        <v>35276996</v>
      </c>
      <c r="M8" s="41">
        <f>L8-I8</f>
        <v>0</v>
      </c>
      <c r="N8" s="44"/>
      <c r="O8" s="41">
        <f>ROUND(L8,0)</f>
        <v>35276996</v>
      </c>
      <c r="P8" s="41">
        <f>O8-L8</f>
        <v>0</v>
      </c>
      <c r="Q8" s="44"/>
      <c r="R8" s="41">
        <f>ROUND(O8,0)+19840</f>
        <v>35296836</v>
      </c>
      <c r="S8" s="41">
        <f>R8-O8</f>
        <v>19840</v>
      </c>
      <c r="T8" s="45" t="s">
        <v>35</v>
      </c>
      <c r="U8" s="41">
        <f>ROUND(R8,0)</f>
        <v>35296836</v>
      </c>
      <c r="V8" s="41">
        <f>U8-R8</f>
        <v>0</v>
      </c>
      <c r="W8" s="45"/>
      <c r="X8" s="41">
        <f>ROUND(U8,0)</f>
        <v>35296836</v>
      </c>
      <c r="Y8" s="41">
        <f>X8-U8</f>
        <v>0</v>
      </c>
      <c r="Z8" s="45"/>
      <c r="AA8" s="41">
        <f>ROUND(X8,0)</f>
        <v>35296836</v>
      </c>
      <c r="AB8" s="41">
        <f>AA8-X8</f>
        <v>0</v>
      </c>
      <c r="AC8" s="45"/>
    </row>
    <row r="9" spans="1:29" ht="32.450000000000003" customHeight="1" x14ac:dyDescent="0.25">
      <c r="C9" s="26" t="s">
        <v>36</v>
      </c>
      <c r="D9" s="27" t="s">
        <v>37</v>
      </c>
      <c r="E9" s="28">
        <v>3172850.61</v>
      </c>
      <c r="F9" s="28">
        <f>F10+F13+F16</f>
        <v>3172851</v>
      </c>
      <c r="G9" s="29">
        <f t="shared" si="2"/>
        <v>0.39000000013038516</v>
      </c>
      <c r="H9" s="30"/>
      <c r="I9" s="28">
        <f>I10+I13+I16</f>
        <v>3172851</v>
      </c>
      <c r="J9" s="29">
        <f t="shared" ref="J9:J76" si="3">I9-F9</f>
        <v>0</v>
      </c>
      <c r="K9" s="31"/>
      <c r="L9" s="28">
        <f>L10+L13+L16</f>
        <v>3172851</v>
      </c>
      <c r="M9" s="29">
        <f t="shared" ref="M9:M76" si="4">L9-I9</f>
        <v>0</v>
      </c>
      <c r="N9" s="31"/>
      <c r="O9" s="28">
        <f>O10+O13+O16</f>
        <v>3172851</v>
      </c>
      <c r="P9" s="29">
        <f t="shared" ref="P9:P76" si="5">O9-L9</f>
        <v>0</v>
      </c>
      <c r="Q9" s="31"/>
      <c r="R9" s="28">
        <f>R10+R13+R16</f>
        <v>3172851</v>
      </c>
      <c r="S9" s="29">
        <f t="shared" ref="S9:S63" si="6">R9-O9</f>
        <v>0</v>
      </c>
      <c r="T9" s="31"/>
      <c r="U9" s="28">
        <f>U10+U13+U16</f>
        <v>3172851</v>
      </c>
      <c r="V9" s="29">
        <f t="shared" ref="V9:V63" si="7">U9-R9</f>
        <v>0</v>
      </c>
      <c r="W9" s="31"/>
      <c r="X9" s="28">
        <f>X10+X13+X16</f>
        <v>3172851</v>
      </c>
      <c r="Y9" s="29">
        <f t="shared" ref="Y9:Y63" si="8">X9-U9</f>
        <v>0</v>
      </c>
      <c r="Z9" s="31"/>
      <c r="AA9" s="28">
        <f>AA10+AA13+AA16</f>
        <v>3172851</v>
      </c>
      <c r="AB9" s="29">
        <f t="shared" ref="AB9:AB63" si="9">AA9-X9</f>
        <v>0</v>
      </c>
      <c r="AC9" s="31"/>
    </row>
    <row r="10" spans="1:29" x14ac:dyDescent="0.25">
      <c r="B10" s="1" t="s">
        <v>38</v>
      </c>
      <c r="C10" s="46" t="s">
        <v>39</v>
      </c>
      <c r="D10" s="47" t="s">
        <v>40</v>
      </c>
      <c r="E10" s="49">
        <v>2040017.74</v>
      </c>
      <c r="F10" s="49">
        <f>SUM(F11:F12)</f>
        <v>2040018</v>
      </c>
      <c r="G10" s="48">
        <f t="shared" si="2"/>
        <v>0.26000000000931323</v>
      </c>
      <c r="H10" s="50"/>
      <c r="I10" s="48">
        <f>SUM(I11:I12)</f>
        <v>2040018</v>
      </c>
      <c r="J10" s="48">
        <f t="shared" si="3"/>
        <v>0</v>
      </c>
      <c r="K10" s="51"/>
      <c r="L10" s="48">
        <f>SUM(L11:L12)</f>
        <v>2040018</v>
      </c>
      <c r="M10" s="48">
        <f t="shared" si="4"/>
        <v>0</v>
      </c>
      <c r="N10" s="51"/>
      <c r="O10" s="48">
        <f>SUM(O11:O12)</f>
        <v>2040018</v>
      </c>
      <c r="P10" s="48">
        <f t="shared" si="5"/>
        <v>0</v>
      </c>
      <c r="Q10" s="51"/>
      <c r="R10" s="48">
        <f>SUM(R11:R12)</f>
        <v>2040018</v>
      </c>
      <c r="S10" s="48">
        <f t="shared" si="6"/>
        <v>0</v>
      </c>
      <c r="T10" s="51"/>
      <c r="U10" s="48">
        <f>SUM(U11:U12)</f>
        <v>2040018</v>
      </c>
      <c r="V10" s="48">
        <f t="shared" si="7"/>
        <v>0</v>
      </c>
      <c r="W10" s="51"/>
      <c r="X10" s="48">
        <f>SUM(X11:X12)</f>
        <v>2040018</v>
      </c>
      <c r="Y10" s="48">
        <f t="shared" si="8"/>
        <v>0</v>
      </c>
      <c r="Z10" s="51"/>
      <c r="AA10" s="48">
        <f>SUM(AA11:AA12)</f>
        <v>2040018</v>
      </c>
      <c r="AB10" s="48">
        <f t="shared" si="9"/>
        <v>0</v>
      </c>
      <c r="AC10" s="51"/>
    </row>
    <row r="11" spans="1:29" x14ac:dyDescent="0.25">
      <c r="A11" s="1" t="s">
        <v>30</v>
      </c>
      <c r="B11" s="38" t="s">
        <v>41</v>
      </c>
      <c r="C11" s="39" t="s">
        <v>42</v>
      </c>
      <c r="D11" s="40" t="s">
        <v>33</v>
      </c>
      <c r="E11" s="42">
        <v>1900000</v>
      </c>
      <c r="F11" s="42">
        <f>ROUND(E11,0)</f>
        <v>1900000</v>
      </c>
      <c r="G11" s="41">
        <f t="shared" si="2"/>
        <v>0</v>
      </c>
      <c r="H11" s="53"/>
      <c r="I11" s="41">
        <f>ROUND(F11,0)</f>
        <v>1900000</v>
      </c>
      <c r="J11" s="41">
        <f t="shared" si="3"/>
        <v>0</v>
      </c>
      <c r="K11" s="54"/>
      <c r="L11" s="41">
        <f>ROUND(I11,0)</f>
        <v>1900000</v>
      </c>
      <c r="M11" s="41">
        <f t="shared" si="4"/>
        <v>0</v>
      </c>
      <c r="N11" s="54"/>
      <c r="O11" s="41">
        <f>ROUND(L11,0)</f>
        <v>1900000</v>
      </c>
      <c r="P11" s="41">
        <f t="shared" si="5"/>
        <v>0</v>
      </c>
      <c r="Q11" s="54"/>
      <c r="R11" s="41">
        <f>ROUND(O11,0)</f>
        <v>1900000</v>
      </c>
      <c r="S11" s="41">
        <f t="shared" si="6"/>
        <v>0</v>
      </c>
      <c r="T11" s="54"/>
      <c r="U11" s="41">
        <f>ROUND(R11,0)</f>
        <v>1900000</v>
      </c>
      <c r="V11" s="41">
        <f t="shared" si="7"/>
        <v>0</v>
      </c>
      <c r="W11" s="54"/>
      <c r="X11" s="41">
        <f>ROUND(U11,0)</f>
        <v>1900000</v>
      </c>
      <c r="Y11" s="41">
        <f t="shared" si="8"/>
        <v>0</v>
      </c>
      <c r="Z11" s="54"/>
      <c r="AA11" s="41">
        <f>ROUND(X11,0)</f>
        <v>1900000</v>
      </c>
      <c r="AB11" s="41">
        <f t="shared" si="9"/>
        <v>0</v>
      </c>
      <c r="AC11" s="54"/>
    </row>
    <row r="12" spans="1:29" x14ac:dyDescent="0.25">
      <c r="A12" s="1" t="s">
        <v>30</v>
      </c>
      <c r="B12" s="38" t="s">
        <v>43</v>
      </c>
      <c r="C12" s="39" t="s">
        <v>44</v>
      </c>
      <c r="D12" s="40" t="s">
        <v>45</v>
      </c>
      <c r="E12" s="42">
        <v>140017.74</v>
      </c>
      <c r="F12" s="42">
        <f>ROUND(E12,0)</f>
        <v>140018</v>
      </c>
      <c r="G12" s="41">
        <f t="shared" si="2"/>
        <v>0.26000000000931323</v>
      </c>
      <c r="H12" s="43"/>
      <c r="I12" s="41">
        <f>ROUND(F12,0)</f>
        <v>140018</v>
      </c>
      <c r="J12" s="41">
        <f t="shared" si="3"/>
        <v>0</v>
      </c>
      <c r="K12" s="44"/>
      <c r="L12" s="41">
        <f>ROUND(I12,0)</f>
        <v>140018</v>
      </c>
      <c r="M12" s="41">
        <f t="shared" si="4"/>
        <v>0</v>
      </c>
      <c r="N12" s="44"/>
      <c r="O12" s="41">
        <f>ROUND(L12,0)</f>
        <v>140018</v>
      </c>
      <c r="P12" s="41">
        <f t="shared" si="5"/>
        <v>0</v>
      </c>
      <c r="Q12" s="44"/>
      <c r="R12" s="41">
        <f>ROUND(O12,0)</f>
        <v>140018</v>
      </c>
      <c r="S12" s="41">
        <f t="shared" si="6"/>
        <v>0</v>
      </c>
      <c r="T12" s="44"/>
      <c r="U12" s="41">
        <f>ROUND(R12,0)</f>
        <v>140018</v>
      </c>
      <c r="V12" s="41">
        <f t="shared" si="7"/>
        <v>0</v>
      </c>
      <c r="W12" s="44"/>
      <c r="X12" s="41">
        <f>ROUND(U12,0)</f>
        <v>140018</v>
      </c>
      <c r="Y12" s="41">
        <f t="shared" si="8"/>
        <v>0</v>
      </c>
      <c r="Z12" s="44"/>
      <c r="AA12" s="41">
        <f>ROUND(X12,0)</f>
        <v>140018</v>
      </c>
      <c r="AB12" s="41">
        <f t="shared" si="9"/>
        <v>0</v>
      </c>
      <c r="AC12" s="44"/>
    </row>
    <row r="13" spans="1:29" x14ac:dyDescent="0.25">
      <c r="B13" s="1" t="s">
        <v>46</v>
      </c>
      <c r="C13" s="46" t="s">
        <v>47</v>
      </c>
      <c r="D13" s="47" t="s">
        <v>48</v>
      </c>
      <c r="E13" s="49">
        <v>410966.93</v>
      </c>
      <c r="F13" s="49">
        <f>SUM(F14:F15)</f>
        <v>410967</v>
      </c>
      <c r="G13" s="48">
        <f t="shared" si="2"/>
        <v>7.0000000006984919E-2</v>
      </c>
      <c r="H13" s="50"/>
      <c r="I13" s="48">
        <f>SUM(I14:I15)</f>
        <v>410967</v>
      </c>
      <c r="J13" s="48">
        <f t="shared" si="3"/>
        <v>0</v>
      </c>
      <c r="K13" s="51"/>
      <c r="L13" s="48">
        <f>SUM(L14:L15)</f>
        <v>410967</v>
      </c>
      <c r="M13" s="48">
        <f t="shared" si="4"/>
        <v>0</v>
      </c>
      <c r="N13" s="51"/>
      <c r="O13" s="48">
        <f>SUM(O14:O15)</f>
        <v>410967</v>
      </c>
      <c r="P13" s="48">
        <f t="shared" si="5"/>
        <v>0</v>
      </c>
      <c r="Q13" s="51"/>
      <c r="R13" s="48">
        <f>SUM(R14:R15)</f>
        <v>410967</v>
      </c>
      <c r="S13" s="48">
        <f t="shared" si="6"/>
        <v>0</v>
      </c>
      <c r="T13" s="51"/>
      <c r="U13" s="48">
        <f>SUM(U14:U15)</f>
        <v>410967</v>
      </c>
      <c r="V13" s="48">
        <f t="shared" si="7"/>
        <v>0</v>
      </c>
      <c r="W13" s="51"/>
      <c r="X13" s="48">
        <f>SUM(X14:X15)</f>
        <v>410967</v>
      </c>
      <c r="Y13" s="48">
        <f t="shared" si="8"/>
        <v>0</v>
      </c>
      <c r="Z13" s="51"/>
      <c r="AA13" s="48">
        <f>SUM(AA14:AA15)</f>
        <v>410967</v>
      </c>
      <c r="AB13" s="48">
        <f t="shared" si="9"/>
        <v>0</v>
      </c>
      <c r="AC13" s="51"/>
    </row>
    <row r="14" spans="1:29" x14ac:dyDescent="0.25">
      <c r="A14" s="1" t="s">
        <v>30</v>
      </c>
      <c r="B14" s="38" t="s">
        <v>49</v>
      </c>
      <c r="C14" s="39" t="s">
        <v>50</v>
      </c>
      <c r="D14" s="40" t="s">
        <v>51</v>
      </c>
      <c r="E14" s="42">
        <v>350989</v>
      </c>
      <c r="F14" s="42">
        <f>ROUND(E14,0)</f>
        <v>350989</v>
      </c>
      <c r="G14" s="41">
        <f t="shared" si="2"/>
        <v>0</v>
      </c>
      <c r="H14" s="56"/>
      <c r="I14" s="41">
        <f>ROUND(F14,0)</f>
        <v>350989</v>
      </c>
      <c r="J14" s="41">
        <f t="shared" si="3"/>
        <v>0</v>
      </c>
      <c r="K14" s="57"/>
      <c r="L14" s="41">
        <f>ROUND(I14,0)</f>
        <v>350989</v>
      </c>
      <c r="M14" s="41">
        <f t="shared" si="4"/>
        <v>0</v>
      </c>
      <c r="N14" s="57"/>
      <c r="O14" s="41">
        <f>ROUND(L14,0)</f>
        <v>350989</v>
      </c>
      <c r="P14" s="41">
        <f t="shared" si="5"/>
        <v>0</v>
      </c>
      <c r="Q14" s="57"/>
      <c r="R14" s="41">
        <f>ROUND(O14,0)</f>
        <v>350989</v>
      </c>
      <c r="S14" s="41">
        <f t="shared" si="6"/>
        <v>0</v>
      </c>
      <c r="T14" s="57"/>
      <c r="U14" s="41">
        <f>ROUND(R14,0)</f>
        <v>350989</v>
      </c>
      <c r="V14" s="41">
        <f t="shared" si="7"/>
        <v>0</v>
      </c>
      <c r="W14" s="57"/>
      <c r="X14" s="41">
        <f>ROUND(U14,0)</f>
        <v>350989</v>
      </c>
      <c r="Y14" s="41">
        <f t="shared" si="8"/>
        <v>0</v>
      </c>
      <c r="Z14" s="57"/>
      <c r="AA14" s="41">
        <f>ROUND(X14,0)</f>
        <v>350989</v>
      </c>
      <c r="AB14" s="41">
        <f t="shared" si="9"/>
        <v>0</v>
      </c>
      <c r="AC14" s="57"/>
    </row>
    <row r="15" spans="1:29" x14ac:dyDescent="0.25">
      <c r="A15" s="1" t="s">
        <v>30</v>
      </c>
      <c r="B15" s="38" t="s">
        <v>52</v>
      </c>
      <c r="C15" s="39" t="s">
        <v>53</v>
      </c>
      <c r="D15" s="40" t="s">
        <v>45</v>
      </c>
      <c r="E15" s="42">
        <v>59977.93</v>
      </c>
      <c r="F15" s="42">
        <f>ROUND(E15,0)</f>
        <v>59978</v>
      </c>
      <c r="G15" s="41">
        <f t="shared" si="2"/>
        <v>6.9999999999708962E-2</v>
      </c>
      <c r="H15" s="43"/>
      <c r="I15" s="41">
        <f>ROUND(F15,0)</f>
        <v>59978</v>
      </c>
      <c r="J15" s="41">
        <f t="shared" si="3"/>
        <v>0</v>
      </c>
      <c r="K15" s="44"/>
      <c r="L15" s="41">
        <f>ROUND(I15,0)</f>
        <v>59978</v>
      </c>
      <c r="M15" s="41">
        <f t="shared" si="4"/>
        <v>0</v>
      </c>
      <c r="N15" s="44"/>
      <c r="O15" s="41">
        <f>ROUND(L15,0)</f>
        <v>59978</v>
      </c>
      <c r="P15" s="41">
        <f t="shared" si="5"/>
        <v>0</v>
      </c>
      <c r="Q15" s="44"/>
      <c r="R15" s="41">
        <f>ROUND(O15,0)</f>
        <v>59978</v>
      </c>
      <c r="S15" s="41">
        <f t="shared" si="6"/>
        <v>0</v>
      </c>
      <c r="T15" s="44"/>
      <c r="U15" s="41">
        <f>ROUND(R15,0)</f>
        <v>59978</v>
      </c>
      <c r="V15" s="41">
        <f t="shared" si="7"/>
        <v>0</v>
      </c>
      <c r="W15" s="44"/>
      <c r="X15" s="41">
        <f>ROUND(U15,0)</f>
        <v>59978</v>
      </c>
      <c r="Y15" s="41">
        <f t="shared" si="8"/>
        <v>0</v>
      </c>
      <c r="Z15" s="44"/>
      <c r="AA15" s="41">
        <f>ROUND(X15,0)</f>
        <v>59978</v>
      </c>
      <c r="AB15" s="41">
        <f t="shared" si="9"/>
        <v>0</v>
      </c>
      <c r="AC15" s="44"/>
    </row>
    <row r="16" spans="1:29" ht="29.25" x14ac:dyDescent="0.25">
      <c r="B16" s="1" t="s">
        <v>54</v>
      </c>
      <c r="C16" s="46" t="s">
        <v>55</v>
      </c>
      <c r="D16" s="47" t="s">
        <v>56</v>
      </c>
      <c r="E16" s="49">
        <v>721865.94</v>
      </c>
      <c r="F16" s="49">
        <f>SUM(F17:F18)</f>
        <v>721866</v>
      </c>
      <c r="G16" s="48">
        <f t="shared" si="2"/>
        <v>6.0000000055879354E-2</v>
      </c>
      <c r="H16" s="50"/>
      <c r="I16" s="48">
        <f>SUM(I17:I18)</f>
        <v>721866</v>
      </c>
      <c r="J16" s="48">
        <f t="shared" si="3"/>
        <v>0</v>
      </c>
      <c r="K16" s="51"/>
      <c r="L16" s="48">
        <f>SUM(L17:L18)</f>
        <v>721866</v>
      </c>
      <c r="M16" s="48">
        <f t="shared" si="4"/>
        <v>0</v>
      </c>
      <c r="N16" s="51"/>
      <c r="O16" s="48">
        <f>SUM(O17:O18)</f>
        <v>721866</v>
      </c>
      <c r="P16" s="48">
        <f t="shared" si="5"/>
        <v>0</v>
      </c>
      <c r="Q16" s="51"/>
      <c r="R16" s="48">
        <f>SUM(R17:R18)</f>
        <v>721866</v>
      </c>
      <c r="S16" s="48">
        <f t="shared" si="6"/>
        <v>0</v>
      </c>
      <c r="T16" s="51"/>
      <c r="U16" s="48">
        <f>SUM(U17:U18)</f>
        <v>721866</v>
      </c>
      <c r="V16" s="48">
        <f t="shared" si="7"/>
        <v>0</v>
      </c>
      <c r="W16" s="51"/>
      <c r="X16" s="48">
        <f>SUM(X17:X18)</f>
        <v>721866</v>
      </c>
      <c r="Y16" s="48">
        <f t="shared" si="8"/>
        <v>0</v>
      </c>
      <c r="Z16" s="51"/>
      <c r="AA16" s="48">
        <f>SUM(AA17:AA18)</f>
        <v>721866</v>
      </c>
      <c r="AB16" s="48">
        <f t="shared" si="9"/>
        <v>0</v>
      </c>
      <c r="AC16" s="51"/>
    </row>
    <row r="17" spans="1:29" ht="18.75" customHeight="1" x14ac:dyDescent="0.25">
      <c r="A17" s="1" t="s">
        <v>30</v>
      </c>
      <c r="B17" s="38" t="s">
        <v>57</v>
      </c>
      <c r="C17" s="39" t="s">
        <v>58</v>
      </c>
      <c r="D17" s="40" t="s">
        <v>51</v>
      </c>
      <c r="E17" s="42">
        <v>650000</v>
      </c>
      <c r="F17" s="42">
        <f>ROUND(E17,0)</f>
        <v>650000</v>
      </c>
      <c r="G17" s="41">
        <f t="shared" si="2"/>
        <v>0</v>
      </c>
      <c r="H17" s="56"/>
      <c r="I17" s="41">
        <f>ROUND(F17,0)</f>
        <v>650000</v>
      </c>
      <c r="J17" s="41">
        <f t="shared" si="3"/>
        <v>0</v>
      </c>
      <c r="K17" s="57"/>
      <c r="L17" s="41">
        <f>ROUND(I17,0)</f>
        <v>650000</v>
      </c>
      <c r="M17" s="41">
        <f t="shared" si="4"/>
        <v>0</v>
      </c>
      <c r="N17" s="57"/>
      <c r="O17" s="41">
        <f>ROUND(L17,0)</f>
        <v>650000</v>
      </c>
      <c r="P17" s="41">
        <f t="shared" si="5"/>
        <v>0</v>
      </c>
      <c r="Q17" s="57"/>
      <c r="R17" s="41">
        <f>ROUND(O17,0)</f>
        <v>650000</v>
      </c>
      <c r="S17" s="41">
        <f t="shared" si="6"/>
        <v>0</v>
      </c>
      <c r="T17" s="57"/>
      <c r="U17" s="41">
        <f>ROUND(R17,0)</f>
        <v>650000</v>
      </c>
      <c r="V17" s="41">
        <f t="shared" si="7"/>
        <v>0</v>
      </c>
      <c r="W17" s="57"/>
      <c r="X17" s="41">
        <f>ROUND(U17,0)</f>
        <v>650000</v>
      </c>
      <c r="Y17" s="41">
        <f t="shared" si="8"/>
        <v>0</v>
      </c>
      <c r="Z17" s="57"/>
      <c r="AA17" s="41">
        <f>ROUND(X17,0)</f>
        <v>650000</v>
      </c>
      <c r="AB17" s="41">
        <f t="shared" si="9"/>
        <v>0</v>
      </c>
      <c r="AC17" s="57"/>
    </row>
    <row r="18" spans="1:29" x14ac:dyDescent="0.25">
      <c r="A18" s="1" t="s">
        <v>30</v>
      </c>
      <c r="B18" s="38" t="s">
        <v>59</v>
      </c>
      <c r="C18" s="39" t="s">
        <v>60</v>
      </c>
      <c r="D18" s="40" t="s">
        <v>45</v>
      </c>
      <c r="E18" s="42">
        <v>71865.94</v>
      </c>
      <c r="F18" s="42">
        <f>ROUND(E18,0)</f>
        <v>71866</v>
      </c>
      <c r="G18" s="41">
        <f t="shared" si="2"/>
        <v>5.9999999997671694E-2</v>
      </c>
      <c r="H18" s="53"/>
      <c r="I18" s="41">
        <f>ROUND(F18,0)</f>
        <v>71866</v>
      </c>
      <c r="J18" s="41">
        <f t="shared" si="3"/>
        <v>0</v>
      </c>
      <c r="K18" s="54"/>
      <c r="L18" s="41">
        <f>ROUND(I18,0)</f>
        <v>71866</v>
      </c>
      <c r="M18" s="41">
        <f t="shared" si="4"/>
        <v>0</v>
      </c>
      <c r="N18" s="54"/>
      <c r="O18" s="41">
        <f>ROUND(L18,0)</f>
        <v>71866</v>
      </c>
      <c r="P18" s="41">
        <f t="shared" si="5"/>
        <v>0</v>
      </c>
      <c r="Q18" s="54"/>
      <c r="R18" s="41">
        <f>ROUND(O18,0)</f>
        <v>71866</v>
      </c>
      <c r="S18" s="41">
        <f t="shared" si="6"/>
        <v>0</v>
      </c>
      <c r="T18" s="54"/>
      <c r="U18" s="41">
        <f>ROUND(R18,0)</f>
        <v>71866</v>
      </c>
      <c r="V18" s="41">
        <f t="shared" si="7"/>
        <v>0</v>
      </c>
      <c r="W18" s="54"/>
      <c r="X18" s="41">
        <f>ROUND(U18,0)</f>
        <v>71866</v>
      </c>
      <c r="Y18" s="41">
        <f t="shared" si="8"/>
        <v>0</v>
      </c>
      <c r="Z18" s="54"/>
      <c r="AA18" s="41">
        <f>ROUND(X18,0)</f>
        <v>71866</v>
      </c>
      <c r="AB18" s="41">
        <f t="shared" si="9"/>
        <v>0</v>
      </c>
      <c r="AC18" s="54"/>
    </row>
    <row r="19" spans="1:29" ht="29.25" x14ac:dyDescent="0.25">
      <c r="B19" s="58"/>
      <c r="C19" s="46" t="s">
        <v>61</v>
      </c>
      <c r="D19" s="47" t="s">
        <v>62</v>
      </c>
      <c r="E19" s="49">
        <v>70000</v>
      </c>
      <c r="F19" s="49">
        <f t="shared" ref="F19" si="10">SUM(F20:F21)</f>
        <v>70000</v>
      </c>
      <c r="G19" s="48">
        <f t="shared" si="2"/>
        <v>0</v>
      </c>
      <c r="H19" s="50"/>
      <c r="I19" s="48">
        <f>SUM(I20:I21)</f>
        <v>70000</v>
      </c>
      <c r="J19" s="48">
        <f t="shared" si="3"/>
        <v>0</v>
      </c>
      <c r="K19" s="51"/>
      <c r="L19" s="48">
        <f>SUM(L20:L21)</f>
        <v>70000</v>
      </c>
      <c r="M19" s="48">
        <f t="shared" si="4"/>
        <v>0</v>
      </c>
      <c r="N19" s="51"/>
      <c r="O19" s="48">
        <f>SUM(O20:O21)</f>
        <v>70000</v>
      </c>
      <c r="P19" s="48">
        <f t="shared" si="5"/>
        <v>0</v>
      </c>
      <c r="Q19" s="51"/>
      <c r="R19" s="48">
        <f>SUM(R20:R21)</f>
        <v>70000</v>
      </c>
      <c r="S19" s="48">
        <f t="shared" si="6"/>
        <v>0</v>
      </c>
      <c r="T19" s="51"/>
      <c r="U19" s="48">
        <f>SUM(U20:U21)</f>
        <v>70000</v>
      </c>
      <c r="V19" s="48">
        <f t="shared" si="7"/>
        <v>0</v>
      </c>
      <c r="W19" s="51"/>
      <c r="X19" s="48">
        <f>SUM(X20:X21)</f>
        <v>70000</v>
      </c>
      <c r="Y19" s="48">
        <f t="shared" si="8"/>
        <v>0</v>
      </c>
      <c r="Z19" s="51"/>
      <c r="AA19" s="48">
        <f>SUM(AA20:AA21)</f>
        <v>70000</v>
      </c>
      <c r="AB19" s="48">
        <f t="shared" si="9"/>
        <v>0</v>
      </c>
      <c r="AC19" s="51"/>
    </row>
    <row r="20" spans="1:29" ht="14.45" customHeight="1" outlineLevel="1" x14ac:dyDescent="0.25">
      <c r="B20" s="38" t="s">
        <v>63</v>
      </c>
      <c r="C20" s="39" t="s">
        <v>64</v>
      </c>
      <c r="D20" s="40" t="s">
        <v>65</v>
      </c>
      <c r="E20" s="42">
        <v>0</v>
      </c>
      <c r="F20" s="42">
        <f>ROUND(E20,0)</f>
        <v>0</v>
      </c>
      <c r="G20" s="41">
        <f t="shared" si="2"/>
        <v>0</v>
      </c>
      <c r="H20" s="56"/>
      <c r="I20" s="41">
        <f>ROUND(F20,0)</f>
        <v>0</v>
      </c>
      <c r="J20" s="41">
        <f t="shared" si="3"/>
        <v>0</v>
      </c>
      <c r="K20" s="57"/>
      <c r="L20" s="41">
        <f>ROUND(I20,0)</f>
        <v>0</v>
      </c>
      <c r="M20" s="41">
        <f t="shared" si="4"/>
        <v>0</v>
      </c>
      <c r="N20" s="57"/>
      <c r="O20" s="41">
        <f>ROUND(L20,0)</f>
        <v>0</v>
      </c>
      <c r="P20" s="41">
        <f t="shared" si="5"/>
        <v>0</v>
      </c>
      <c r="Q20" s="57"/>
      <c r="R20" s="41">
        <f>ROUND(O20,0)</f>
        <v>0</v>
      </c>
      <c r="S20" s="41">
        <f t="shared" si="6"/>
        <v>0</v>
      </c>
      <c r="T20" s="57"/>
      <c r="U20" s="41">
        <f>ROUND(R20,0)</f>
        <v>0</v>
      </c>
      <c r="V20" s="41">
        <f t="shared" si="7"/>
        <v>0</v>
      </c>
      <c r="W20" s="57"/>
      <c r="X20" s="41">
        <f>ROUND(U20,0)</f>
        <v>0</v>
      </c>
      <c r="Y20" s="41">
        <f t="shared" si="8"/>
        <v>0</v>
      </c>
      <c r="Z20" s="57"/>
      <c r="AA20" s="41">
        <f>ROUND(X20,0)</f>
        <v>0</v>
      </c>
      <c r="AB20" s="41">
        <f t="shared" si="9"/>
        <v>0</v>
      </c>
      <c r="AC20" s="57"/>
    </row>
    <row r="21" spans="1:29" ht="15.6" customHeight="1" x14ac:dyDescent="0.25">
      <c r="B21" s="38" t="s">
        <v>66</v>
      </c>
      <c r="C21" s="39" t="s">
        <v>64</v>
      </c>
      <c r="D21" s="40" t="s">
        <v>67</v>
      </c>
      <c r="E21" s="42">
        <v>70000</v>
      </c>
      <c r="F21" s="42">
        <f>ROUND(E21,0)</f>
        <v>70000</v>
      </c>
      <c r="G21" s="41">
        <f t="shared" si="2"/>
        <v>0</v>
      </c>
      <c r="H21" s="59"/>
      <c r="I21" s="41">
        <f>ROUND(F21,0)</f>
        <v>70000</v>
      </c>
      <c r="J21" s="41">
        <f t="shared" si="3"/>
        <v>0</v>
      </c>
      <c r="K21" s="60"/>
      <c r="L21" s="41">
        <f>ROUND(I21,0)</f>
        <v>70000</v>
      </c>
      <c r="M21" s="41">
        <f t="shared" si="4"/>
        <v>0</v>
      </c>
      <c r="N21" s="60"/>
      <c r="O21" s="41">
        <f>ROUND(L21,0)</f>
        <v>70000</v>
      </c>
      <c r="P21" s="41">
        <f t="shared" si="5"/>
        <v>0</v>
      </c>
      <c r="Q21" s="60"/>
      <c r="R21" s="41">
        <f>ROUND(O21,0)</f>
        <v>70000</v>
      </c>
      <c r="S21" s="41">
        <f t="shared" si="6"/>
        <v>0</v>
      </c>
      <c r="T21" s="60"/>
      <c r="U21" s="41">
        <f>ROUND(R21,0)</f>
        <v>70000</v>
      </c>
      <c r="V21" s="41">
        <f t="shared" si="7"/>
        <v>0</v>
      </c>
      <c r="W21" s="60"/>
      <c r="X21" s="41">
        <f>ROUND(U21,0)</f>
        <v>70000</v>
      </c>
      <c r="Y21" s="41">
        <f t="shared" si="8"/>
        <v>0</v>
      </c>
      <c r="Z21" s="60"/>
      <c r="AA21" s="41">
        <f>ROUND(X21,0)</f>
        <v>70000</v>
      </c>
      <c r="AB21" s="41">
        <f t="shared" si="9"/>
        <v>0</v>
      </c>
      <c r="AC21" s="60"/>
    </row>
    <row r="22" spans="1:29" ht="15.75" customHeight="1" x14ac:dyDescent="0.25">
      <c r="B22" s="1" t="s">
        <v>68</v>
      </c>
      <c r="C22" s="46" t="s">
        <v>69</v>
      </c>
      <c r="D22" s="47" t="s">
        <v>70</v>
      </c>
      <c r="E22" s="49">
        <v>160000</v>
      </c>
      <c r="F22" s="49">
        <f t="shared" ref="F22" si="11">F23+F27</f>
        <v>160000</v>
      </c>
      <c r="G22" s="48">
        <f t="shared" si="2"/>
        <v>0</v>
      </c>
      <c r="H22" s="50"/>
      <c r="I22" s="48">
        <f>I23+I27</f>
        <v>160000</v>
      </c>
      <c r="J22" s="48">
        <f t="shared" si="3"/>
        <v>0</v>
      </c>
      <c r="K22" s="51"/>
      <c r="L22" s="48">
        <f>L23+L27</f>
        <v>160000</v>
      </c>
      <c r="M22" s="48">
        <f t="shared" si="4"/>
        <v>0</v>
      </c>
      <c r="N22" s="51"/>
      <c r="O22" s="48">
        <f>O23+O27</f>
        <v>167000</v>
      </c>
      <c r="P22" s="48">
        <f t="shared" si="5"/>
        <v>7000</v>
      </c>
      <c r="Q22" s="51"/>
      <c r="R22" s="48">
        <f>R23+R27</f>
        <v>167000</v>
      </c>
      <c r="S22" s="48">
        <f t="shared" si="6"/>
        <v>0</v>
      </c>
      <c r="T22" s="51"/>
      <c r="U22" s="48">
        <f>U23+U27</f>
        <v>167000</v>
      </c>
      <c r="V22" s="48">
        <f t="shared" si="7"/>
        <v>0</v>
      </c>
      <c r="W22" s="51"/>
      <c r="X22" s="48">
        <f>X23+X27</f>
        <v>167000</v>
      </c>
      <c r="Y22" s="48">
        <f t="shared" si="8"/>
        <v>0</v>
      </c>
      <c r="Z22" s="51"/>
      <c r="AA22" s="48">
        <f>AA23+AA27</f>
        <v>167000</v>
      </c>
      <c r="AB22" s="48">
        <f t="shared" si="9"/>
        <v>0</v>
      </c>
      <c r="AC22" s="51"/>
    </row>
    <row r="23" spans="1:29" x14ac:dyDescent="0.25">
      <c r="A23" s="1" t="s">
        <v>30</v>
      </c>
      <c r="B23" s="1" t="s">
        <v>71</v>
      </c>
      <c r="C23" s="39" t="s">
        <v>72</v>
      </c>
      <c r="D23" s="40" t="s">
        <v>73</v>
      </c>
      <c r="E23" s="42">
        <v>6700</v>
      </c>
      <c r="F23" s="42">
        <f>F24+F25+F26</f>
        <v>6700</v>
      </c>
      <c r="G23" s="41">
        <f>F23-E23</f>
        <v>0</v>
      </c>
      <c r="H23" s="53"/>
      <c r="I23" s="41">
        <f>I24+I25+I26</f>
        <v>6700</v>
      </c>
      <c r="J23" s="41">
        <f t="shared" si="3"/>
        <v>0</v>
      </c>
      <c r="K23" s="54"/>
      <c r="L23" s="41">
        <f>L24+L25+L26</f>
        <v>6700</v>
      </c>
      <c r="M23" s="41">
        <f t="shared" si="4"/>
        <v>0</v>
      </c>
      <c r="N23" s="54"/>
      <c r="O23" s="41">
        <f>O24+O25+O26</f>
        <v>6700</v>
      </c>
      <c r="P23" s="41">
        <f t="shared" si="5"/>
        <v>0</v>
      </c>
      <c r="Q23" s="54"/>
      <c r="R23" s="41">
        <f>R24+R25+R26</f>
        <v>6700</v>
      </c>
      <c r="S23" s="41">
        <f t="shared" si="6"/>
        <v>0</v>
      </c>
      <c r="T23" s="54"/>
      <c r="U23" s="41">
        <f>U24+U25+U26</f>
        <v>6700</v>
      </c>
      <c r="V23" s="41">
        <f t="shared" si="7"/>
        <v>0</v>
      </c>
      <c r="W23" s="54"/>
      <c r="X23" s="41">
        <f>X24+X25+X26</f>
        <v>6700</v>
      </c>
      <c r="Y23" s="41">
        <f t="shared" si="8"/>
        <v>0</v>
      </c>
      <c r="Z23" s="54"/>
      <c r="AA23" s="41">
        <f>AA24+AA25+AA26</f>
        <v>6700</v>
      </c>
      <c r="AB23" s="41">
        <f t="shared" si="9"/>
        <v>0</v>
      </c>
      <c r="AC23" s="54"/>
    </row>
    <row r="24" spans="1:29" ht="26.25" x14ac:dyDescent="0.25">
      <c r="B24" s="38" t="s">
        <v>74</v>
      </c>
      <c r="C24" s="61" t="s">
        <v>75</v>
      </c>
      <c r="D24" s="62" t="s">
        <v>76</v>
      </c>
      <c r="E24" s="42">
        <v>1700</v>
      </c>
      <c r="F24" s="42">
        <f>ROUND(E24,0)</f>
        <v>1700</v>
      </c>
      <c r="G24" s="41">
        <f t="shared" si="2"/>
        <v>0</v>
      </c>
      <c r="H24" s="53"/>
      <c r="I24" s="41">
        <f>ROUND(F24,0)</f>
        <v>1700</v>
      </c>
      <c r="J24" s="41">
        <f t="shared" si="3"/>
        <v>0</v>
      </c>
      <c r="K24" s="54"/>
      <c r="L24" s="41">
        <f>ROUND(I24,0)</f>
        <v>1700</v>
      </c>
      <c r="M24" s="41">
        <f t="shared" si="4"/>
        <v>0</v>
      </c>
      <c r="N24" s="54"/>
      <c r="O24" s="41">
        <f>ROUND(L24,0)</f>
        <v>1700</v>
      </c>
      <c r="P24" s="41">
        <f t="shared" si="5"/>
        <v>0</v>
      </c>
      <c r="Q24" s="54"/>
      <c r="R24" s="41">
        <f>ROUND(O24,0)</f>
        <v>1700</v>
      </c>
      <c r="S24" s="41">
        <f t="shared" si="6"/>
        <v>0</v>
      </c>
      <c r="T24" s="54"/>
      <c r="U24" s="41">
        <f>ROUND(R24,0)</f>
        <v>1700</v>
      </c>
      <c r="V24" s="41">
        <f t="shared" si="7"/>
        <v>0</v>
      </c>
      <c r="W24" s="54"/>
      <c r="X24" s="41">
        <f>ROUND(U24,0)</f>
        <v>1700</v>
      </c>
      <c r="Y24" s="41">
        <f t="shared" si="8"/>
        <v>0</v>
      </c>
      <c r="Z24" s="54"/>
      <c r="AA24" s="41">
        <f>ROUND(X24,0)</f>
        <v>1700</v>
      </c>
      <c r="AB24" s="41">
        <f t="shared" si="9"/>
        <v>0</v>
      </c>
      <c r="AC24" s="54"/>
    </row>
    <row r="25" spans="1:29" ht="26.25" x14ac:dyDescent="0.25">
      <c r="B25" s="38" t="s">
        <v>77</v>
      </c>
      <c r="C25" s="61" t="s">
        <v>78</v>
      </c>
      <c r="D25" s="62" t="s">
        <v>79</v>
      </c>
      <c r="E25" s="42">
        <v>4500</v>
      </c>
      <c r="F25" s="42">
        <f>ROUND(E25,0)</f>
        <v>4500</v>
      </c>
      <c r="G25" s="41">
        <f t="shared" si="2"/>
        <v>0</v>
      </c>
      <c r="H25" s="53"/>
      <c r="I25" s="41">
        <f>ROUND(F25,0)</f>
        <v>4500</v>
      </c>
      <c r="J25" s="41">
        <f t="shared" si="3"/>
        <v>0</v>
      </c>
      <c r="K25" s="54"/>
      <c r="L25" s="41">
        <f>ROUND(I25,0)</f>
        <v>4500</v>
      </c>
      <c r="M25" s="41">
        <f t="shared" si="4"/>
        <v>0</v>
      </c>
      <c r="N25" s="54"/>
      <c r="O25" s="41">
        <f>ROUND(L25,0)</f>
        <v>4500</v>
      </c>
      <c r="P25" s="41">
        <f t="shared" si="5"/>
        <v>0</v>
      </c>
      <c r="Q25" s="54"/>
      <c r="R25" s="41">
        <f>ROUND(O25,0)</f>
        <v>4500</v>
      </c>
      <c r="S25" s="41">
        <f t="shared" si="6"/>
        <v>0</v>
      </c>
      <c r="T25" s="54"/>
      <c r="U25" s="41">
        <f>ROUND(R25,0)</f>
        <v>4500</v>
      </c>
      <c r="V25" s="41">
        <f t="shared" si="7"/>
        <v>0</v>
      </c>
      <c r="W25" s="54"/>
      <c r="X25" s="41">
        <f>ROUND(U25,0)</f>
        <v>4500</v>
      </c>
      <c r="Y25" s="41">
        <f t="shared" si="8"/>
        <v>0</v>
      </c>
      <c r="Z25" s="54"/>
      <c r="AA25" s="41">
        <f>ROUND(X25,0)</f>
        <v>4500</v>
      </c>
      <c r="AB25" s="41">
        <f t="shared" si="9"/>
        <v>0</v>
      </c>
      <c r="AC25" s="54"/>
    </row>
    <row r="26" spans="1:29" ht="26.25" x14ac:dyDescent="0.25">
      <c r="B26" s="38" t="s">
        <v>80</v>
      </c>
      <c r="C26" s="61" t="s">
        <v>81</v>
      </c>
      <c r="D26" s="62" t="s">
        <v>82</v>
      </c>
      <c r="E26" s="42">
        <v>500</v>
      </c>
      <c r="F26" s="42">
        <f>ROUND(E26,0)</f>
        <v>500</v>
      </c>
      <c r="G26" s="41">
        <f t="shared" si="2"/>
        <v>0</v>
      </c>
      <c r="H26" s="53"/>
      <c r="I26" s="41">
        <f>ROUND(F26,0)</f>
        <v>500</v>
      </c>
      <c r="J26" s="41">
        <f t="shared" si="3"/>
        <v>0</v>
      </c>
      <c r="K26" s="54"/>
      <c r="L26" s="41">
        <f>ROUND(I26,0)</f>
        <v>500</v>
      </c>
      <c r="M26" s="41">
        <f t="shared" si="4"/>
        <v>0</v>
      </c>
      <c r="N26" s="54"/>
      <c r="O26" s="41">
        <f>ROUND(L26,0)</f>
        <v>500</v>
      </c>
      <c r="P26" s="41">
        <f t="shared" si="5"/>
        <v>0</v>
      </c>
      <c r="Q26" s="54"/>
      <c r="R26" s="41">
        <f>ROUND(O26,0)</f>
        <v>500</v>
      </c>
      <c r="S26" s="41">
        <f t="shared" si="6"/>
        <v>0</v>
      </c>
      <c r="T26" s="54"/>
      <c r="U26" s="41">
        <f>ROUND(R26,0)</f>
        <v>500</v>
      </c>
      <c r="V26" s="41">
        <f t="shared" si="7"/>
        <v>0</v>
      </c>
      <c r="W26" s="54"/>
      <c r="X26" s="41">
        <f>ROUND(U26,0)</f>
        <v>500</v>
      </c>
      <c r="Y26" s="41">
        <f t="shared" si="8"/>
        <v>0</v>
      </c>
      <c r="Z26" s="54"/>
      <c r="AA26" s="41">
        <f>ROUND(X26,0)</f>
        <v>500</v>
      </c>
      <c r="AB26" s="41">
        <f t="shared" si="9"/>
        <v>0</v>
      </c>
      <c r="AC26" s="54"/>
    </row>
    <row r="27" spans="1:29" x14ac:dyDescent="0.25">
      <c r="A27" s="1" t="s">
        <v>30</v>
      </c>
      <c r="B27" s="1" t="s">
        <v>83</v>
      </c>
      <c r="C27" s="39" t="s">
        <v>84</v>
      </c>
      <c r="D27" s="40" t="s">
        <v>85</v>
      </c>
      <c r="E27" s="42">
        <v>153300</v>
      </c>
      <c r="F27" s="42">
        <f t="shared" ref="F27" si="12">SUM(F28:F33)</f>
        <v>153300</v>
      </c>
      <c r="G27" s="41">
        <f t="shared" si="2"/>
        <v>0</v>
      </c>
      <c r="H27" s="53"/>
      <c r="I27" s="41">
        <f>SUM(I28:I33)</f>
        <v>153300</v>
      </c>
      <c r="J27" s="41">
        <f t="shared" si="3"/>
        <v>0</v>
      </c>
      <c r="K27" s="54"/>
      <c r="L27" s="41">
        <f>SUM(L28:L33)</f>
        <v>153300</v>
      </c>
      <c r="M27" s="41">
        <f t="shared" si="4"/>
        <v>0</v>
      </c>
      <c r="N27" s="54"/>
      <c r="O27" s="41">
        <f>SUM(O28:O33)</f>
        <v>160300</v>
      </c>
      <c r="P27" s="41">
        <f t="shared" si="5"/>
        <v>7000</v>
      </c>
      <c r="Q27" s="54"/>
      <c r="R27" s="41">
        <f>SUM(R28:R33)</f>
        <v>160300</v>
      </c>
      <c r="S27" s="41">
        <f t="shared" si="6"/>
        <v>0</v>
      </c>
      <c r="T27" s="54"/>
      <c r="U27" s="41">
        <f>SUM(U28:U33)</f>
        <v>160300</v>
      </c>
      <c r="V27" s="41">
        <f t="shared" si="7"/>
        <v>0</v>
      </c>
      <c r="W27" s="54"/>
      <c r="X27" s="41">
        <f>SUM(X28:X33)</f>
        <v>160300</v>
      </c>
      <c r="Y27" s="41">
        <f t="shared" si="8"/>
        <v>0</v>
      </c>
      <c r="Z27" s="54"/>
      <c r="AA27" s="41">
        <f>SUM(AA28:AA33)</f>
        <v>160300</v>
      </c>
      <c r="AB27" s="41">
        <f t="shared" si="9"/>
        <v>0</v>
      </c>
      <c r="AC27" s="54"/>
    </row>
    <row r="28" spans="1:29" ht="26.25" x14ac:dyDescent="0.25">
      <c r="B28" s="38" t="s">
        <v>86</v>
      </c>
      <c r="C28" s="61" t="s">
        <v>87</v>
      </c>
      <c r="D28" s="62" t="s">
        <v>88</v>
      </c>
      <c r="E28" s="42">
        <v>350</v>
      </c>
      <c r="F28" s="42">
        <f t="shared" ref="F28:F33" si="13">ROUND(E28,0)</f>
        <v>350</v>
      </c>
      <c r="G28" s="41">
        <f t="shared" si="2"/>
        <v>0</v>
      </c>
      <c r="H28" s="53"/>
      <c r="I28" s="41">
        <f t="shared" ref="I28:I33" si="14">ROUND(F28,0)</f>
        <v>350</v>
      </c>
      <c r="J28" s="41">
        <f t="shared" si="3"/>
        <v>0</v>
      </c>
      <c r="K28" s="54"/>
      <c r="L28" s="41">
        <f t="shared" ref="L28:L33" si="15">ROUND(I28,0)</f>
        <v>350</v>
      </c>
      <c r="M28" s="41">
        <f t="shared" si="4"/>
        <v>0</v>
      </c>
      <c r="N28" s="54"/>
      <c r="O28" s="41">
        <f t="shared" ref="O28:O33" si="16">ROUND(L28,0)</f>
        <v>350</v>
      </c>
      <c r="P28" s="41">
        <f t="shared" si="5"/>
        <v>0</v>
      </c>
      <c r="Q28" s="54"/>
      <c r="R28" s="41">
        <f t="shared" ref="R28:R33" si="17">ROUND(O28,0)</f>
        <v>350</v>
      </c>
      <c r="S28" s="41">
        <f t="shared" si="6"/>
        <v>0</v>
      </c>
      <c r="T28" s="54"/>
      <c r="U28" s="41">
        <f t="shared" ref="U28:U33" si="18">ROUND(R28,0)</f>
        <v>350</v>
      </c>
      <c r="V28" s="41">
        <f t="shared" si="7"/>
        <v>0</v>
      </c>
      <c r="W28" s="54"/>
      <c r="X28" s="41">
        <f t="shared" ref="X28:X33" si="19">ROUND(U28,0)</f>
        <v>350</v>
      </c>
      <c r="Y28" s="41">
        <f t="shared" si="8"/>
        <v>0</v>
      </c>
      <c r="Z28" s="54"/>
      <c r="AA28" s="41">
        <f t="shared" ref="AA28:AA33" si="20">ROUND(X28,0)</f>
        <v>350</v>
      </c>
      <c r="AB28" s="41">
        <f t="shared" si="9"/>
        <v>0</v>
      </c>
      <c r="AC28" s="54"/>
    </row>
    <row r="29" spans="1:29" ht="26.25" x14ac:dyDescent="0.25">
      <c r="B29" s="63" t="s">
        <v>89</v>
      </c>
      <c r="C29" s="61" t="s">
        <v>90</v>
      </c>
      <c r="D29" s="62" t="s">
        <v>91</v>
      </c>
      <c r="E29" s="42">
        <v>1100</v>
      </c>
      <c r="F29" s="42">
        <f t="shared" si="13"/>
        <v>1100</v>
      </c>
      <c r="G29" s="41">
        <f t="shared" si="2"/>
        <v>0</v>
      </c>
      <c r="H29" s="53"/>
      <c r="I29" s="41">
        <f t="shared" si="14"/>
        <v>1100</v>
      </c>
      <c r="J29" s="41">
        <f t="shared" si="3"/>
        <v>0</v>
      </c>
      <c r="K29" s="54"/>
      <c r="L29" s="41">
        <f t="shared" si="15"/>
        <v>1100</v>
      </c>
      <c r="M29" s="41">
        <f t="shared" si="4"/>
        <v>0</v>
      </c>
      <c r="N29" s="54"/>
      <c r="O29" s="41">
        <f t="shared" si="16"/>
        <v>1100</v>
      </c>
      <c r="P29" s="41">
        <f t="shared" si="5"/>
        <v>0</v>
      </c>
      <c r="Q29" s="54"/>
      <c r="R29" s="41">
        <f t="shared" si="17"/>
        <v>1100</v>
      </c>
      <c r="S29" s="41">
        <f t="shared" si="6"/>
        <v>0</v>
      </c>
      <c r="T29" s="54"/>
      <c r="U29" s="41">
        <f t="shared" si="18"/>
        <v>1100</v>
      </c>
      <c r="V29" s="41">
        <f t="shared" si="7"/>
        <v>0</v>
      </c>
      <c r="W29" s="54"/>
      <c r="X29" s="41">
        <f t="shared" si="19"/>
        <v>1100</v>
      </c>
      <c r="Y29" s="41">
        <f t="shared" si="8"/>
        <v>0</v>
      </c>
      <c r="Z29" s="54"/>
      <c r="AA29" s="41">
        <f t="shared" si="20"/>
        <v>1100</v>
      </c>
      <c r="AB29" s="41">
        <f t="shared" si="9"/>
        <v>0</v>
      </c>
      <c r="AC29" s="54"/>
    </row>
    <row r="30" spans="1:29" ht="60" x14ac:dyDescent="0.25">
      <c r="B30" s="38" t="s">
        <v>92</v>
      </c>
      <c r="C30" s="61" t="s">
        <v>93</v>
      </c>
      <c r="D30" s="62" t="s">
        <v>94</v>
      </c>
      <c r="E30" s="42">
        <v>27000</v>
      </c>
      <c r="F30" s="42">
        <f t="shared" si="13"/>
        <v>27000</v>
      </c>
      <c r="G30" s="41">
        <f t="shared" si="2"/>
        <v>0</v>
      </c>
      <c r="H30" s="53"/>
      <c r="I30" s="41">
        <f t="shared" si="14"/>
        <v>27000</v>
      </c>
      <c r="J30" s="41">
        <f t="shared" si="3"/>
        <v>0</v>
      </c>
      <c r="K30" s="54"/>
      <c r="L30" s="41">
        <f t="shared" si="15"/>
        <v>27000</v>
      </c>
      <c r="M30" s="41">
        <f t="shared" si="4"/>
        <v>0</v>
      </c>
      <c r="N30" s="54"/>
      <c r="O30" s="41">
        <f>ROUND(L30,0)+7000</f>
        <v>34000</v>
      </c>
      <c r="P30" s="41">
        <f t="shared" si="5"/>
        <v>7000</v>
      </c>
      <c r="Q30" s="64" t="s">
        <v>95</v>
      </c>
      <c r="R30" s="41">
        <f t="shared" si="17"/>
        <v>34000</v>
      </c>
      <c r="S30" s="41">
        <f t="shared" si="6"/>
        <v>0</v>
      </c>
      <c r="T30" s="64"/>
      <c r="U30" s="41">
        <f t="shared" si="18"/>
        <v>34000</v>
      </c>
      <c r="V30" s="41">
        <f t="shared" si="7"/>
        <v>0</v>
      </c>
      <c r="W30" s="64"/>
      <c r="X30" s="41">
        <f t="shared" si="19"/>
        <v>34000</v>
      </c>
      <c r="Y30" s="41">
        <f t="shared" si="8"/>
        <v>0</v>
      </c>
      <c r="Z30" s="64"/>
      <c r="AA30" s="41">
        <f t="shared" si="20"/>
        <v>34000</v>
      </c>
      <c r="AB30" s="41">
        <f t="shared" si="9"/>
        <v>0</v>
      </c>
      <c r="AC30" s="64"/>
    </row>
    <row r="31" spans="1:29" ht="26.25" x14ac:dyDescent="0.25">
      <c r="B31" s="38" t="s">
        <v>96</v>
      </c>
      <c r="C31" s="61" t="s">
        <v>97</v>
      </c>
      <c r="D31" s="62" t="s">
        <v>98</v>
      </c>
      <c r="E31" s="42">
        <v>11500</v>
      </c>
      <c r="F31" s="42">
        <f t="shared" si="13"/>
        <v>11500</v>
      </c>
      <c r="G31" s="41">
        <f t="shared" si="2"/>
        <v>0</v>
      </c>
      <c r="H31" s="53"/>
      <c r="I31" s="41">
        <f t="shared" si="14"/>
        <v>11500</v>
      </c>
      <c r="J31" s="41">
        <f t="shared" si="3"/>
        <v>0</v>
      </c>
      <c r="K31" s="54"/>
      <c r="L31" s="41">
        <f t="shared" si="15"/>
        <v>11500</v>
      </c>
      <c r="M31" s="41">
        <f t="shared" si="4"/>
        <v>0</v>
      </c>
      <c r="N31" s="54"/>
      <c r="O31" s="41">
        <f t="shared" si="16"/>
        <v>11500</v>
      </c>
      <c r="P31" s="41">
        <f t="shared" si="5"/>
        <v>0</v>
      </c>
      <c r="Q31" s="54"/>
      <c r="R31" s="41">
        <f t="shared" si="17"/>
        <v>11500</v>
      </c>
      <c r="S31" s="41">
        <f t="shared" si="6"/>
        <v>0</v>
      </c>
      <c r="T31" s="54"/>
      <c r="U31" s="41">
        <f t="shared" si="18"/>
        <v>11500</v>
      </c>
      <c r="V31" s="41">
        <f t="shared" si="7"/>
        <v>0</v>
      </c>
      <c r="W31" s="54"/>
      <c r="X31" s="41">
        <f t="shared" si="19"/>
        <v>11500</v>
      </c>
      <c r="Y31" s="41">
        <f t="shared" si="8"/>
        <v>0</v>
      </c>
      <c r="Z31" s="54"/>
      <c r="AA31" s="41">
        <f t="shared" si="20"/>
        <v>11500</v>
      </c>
      <c r="AB31" s="41">
        <f t="shared" si="9"/>
        <v>0</v>
      </c>
      <c r="AC31" s="54"/>
    </row>
    <row r="32" spans="1:29" x14ac:dyDescent="0.25">
      <c r="B32" s="38" t="s">
        <v>99</v>
      </c>
      <c r="C32" s="61" t="s">
        <v>100</v>
      </c>
      <c r="D32" s="62" t="s">
        <v>101</v>
      </c>
      <c r="E32" s="42">
        <v>106350</v>
      </c>
      <c r="F32" s="42">
        <f t="shared" si="13"/>
        <v>106350</v>
      </c>
      <c r="G32" s="41">
        <f t="shared" si="2"/>
        <v>0</v>
      </c>
      <c r="H32" s="53"/>
      <c r="I32" s="41">
        <f t="shared" si="14"/>
        <v>106350</v>
      </c>
      <c r="J32" s="41">
        <f t="shared" si="3"/>
        <v>0</v>
      </c>
      <c r="K32" s="54"/>
      <c r="L32" s="41">
        <f t="shared" si="15"/>
        <v>106350</v>
      </c>
      <c r="M32" s="41">
        <f t="shared" si="4"/>
        <v>0</v>
      </c>
      <c r="N32" s="54"/>
      <c r="O32" s="41">
        <f t="shared" si="16"/>
        <v>106350</v>
      </c>
      <c r="P32" s="41">
        <f t="shared" si="5"/>
        <v>0</v>
      </c>
      <c r="Q32" s="54"/>
      <c r="R32" s="41">
        <f t="shared" si="17"/>
        <v>106350</v>
      </c>
      <c r="S32" s="41">
        <f t="shared" si="6"/>
        <v>0</v>
      </c>
      <c r="T32" s="54"/>
      <c r="U32" s="41">
        <f t="shared" si="18"/>
        <v>106350</v>
      </c>
      <c r="V32" s="41">
        <f t="shared" si="7"/>
        <v>0</v>
      </c>
      <c r="W32" s="54"/>
      <c r="X32" s="41">
        <f t="shared" si="19"/>
        <v>106350</v>
      </c>
      <c r="Y32" s="41">
        <f t="shared" si="8"/>
        <v>0</v>
      </c>
      <c r="Z32" s="54"/>
      <c r="AA32" s="41">
        <f t="shared" si="20"/>
        <v>106350</v>
      </c>
      <c r="AB32" s="41">
        <f t="shared" si="9"/>
        <v>0</v>
      </c>
      <c r="AC32" s="54"/>
    </row>
    <row r="33" spans="1:29" x14ac:dyDescent="0.25">
      <c r="B33" s="38" t="s">
        <v>102</v>
      </c>
      <c r="C33" s="61" t="s">
        <v>103</v>
      </c>
      <c r="D33" s="62" t="s">
        <v>104</v>
      </c>
      <c r="E33" s="42">
        <v>7000</v>
      </c>
      <c r="F33" s="42">
        <f t="shared" si="13"/>
        <v>7000</v>
      </c>
      <c r="G33" s="41">
        <f t="shared" si="2"/>
        <v>0</v>
      </c>
      <c r="H33" s="53"/>
      <c r="I33" s="41">
        <f t="shared" si="14"/>
        <v>7000</v>
      </c>
      <c r="J33" s="41">
        <f t="shared" si="3"/>
        <v>0</v>
      </c>
      <c r="K33" s="54"/>
      <c r="L33" s="41">
        <f t="shared" si="15"/>
        <v>7000</v>
      </c>
      <c r="M33" s="41">
        <f t="shared" si="4"/>
        <v>0</v>
      </c>
      <c r="N33" s="54"/>
      <c r="O33" s="41">
        <f t="shared" si="16"/>
        <v>7000</v>
      </c>
      <c r="P33" s="41">
        <f t="shared" si="5"/>
        <v>0</v>
      </c>
      <c r="Q33" s="54"/>
      <c r="R33" s="41">
        <f t="shared" si="17"/>
        <v>7000</v>
      </c>
      <c r="S33" s="41">
        <f t="shared" si="6"/>
        <v>0</v>
      </c>
      <c r="T33" s="54"/>
      <c r="U33" s="41">
        <f t="shared" si="18"/>
        <v>7000</v>
      </c>
      <c r="V33" s="41">
        <f t="shared" si="7"/>
        <v>0</v>
      </c>
      <c r="W33" s="54"/>
      <c r="X33" s="41">
        <f t="shared" si="19"/>
        <v>7000</v>
      </c>
      <c r="Y33" s="41">
        <f t="shared" si="8"/>
        <v>0</v>
      </c>
      <c r="Z33" s="54"/>
      <c r="AA33" s="41">
        <f t="shared" si="20"/>
        <v>7000</v>
      </c>
      <c r="AB33" s="41">
        <f t="shared" si="9"/>
        <v>0</v>
      </c>
      <c r="AC33" s="54"/>
    </row>
    <row r="34" spans="1:29" ht="18" customHeight="1" x14ac:dyDescent="0.25">
      <c r="B34" s="1" t="s">
        <v>105</v>
      </c>
      <c r="C34" s="46" t="s">
        <v>106</v>
      </c>
      <c r="D34" s="47" t="s">
        <v>107</v>
      </c>
      <c r="E34" s="49">
        <v>65000</v>
      </c>
      <c r="F34" s="49">
        <f>F35+F36</f>
        <v>65000</v>
      </c>
      <c r="G34" s="48">
        <f t="shared" si="2"/>
        <v>0</v>
      </c>
      <c r="H34" s="65"/>
      <c r="I34" s="48">
        <f>I35+I36</f>
        <v>65000</v>
      </c>
      <c r="J34" s="48">
        <f t="shared" si="3"/>
        <v>0</v>
      </c>
      <c r="K34" s="66"/>
      <c r="L34" s="48">
        <f>L35+L36</f>
        <v>65000</v>
      </c>
      <c r="M34" s="48">
        <f t="shared" si="4"/>
        <v>0</v>
      </c>
      <c r="N34" s="66"/>
      <c r="O34" s="48">
        <f>O35+O36</f>
        <v>65000</v>
      </c>
      <c r="P34" s="48">
        <f t="shared" si="5"/>
        <v>0</v>
      </c>
      <c r="Q34" s="66"/>
      <c r="R34" s="48">
        <f>R35+R36</f>
        <v>110000</v>
      </c>
      <c r="S34" s="48">
        <f t="shared" si="6"/>
        <v>45000</v>
      </c>
      <c r="T34" s="66"/>
      <c r="U34" s="48">
        <f>U35+U36</f>
        <v>150000</v>
      </c>
      <c r="V34" s="48">
        <f t="shared" si="7"/>
        <v>40000</v>
      </c>
      <c r="W34" s="66"/>
      <c r="X34" s="48">
        <f>X35+X36</f>
        <v>150000</v>
      </c>
      <c r="Y34" s="48">
        <f t="shared" si="8"/>
        <v>0</v>
      </c>
      <c r="Z34" s="66"/>
      <c r="AA34" s="48">
        <f>AA35+AA36</f>
        <v>150000</v>
      </c>
      <c r="AB34" s="48">
        <f t="shared" si="9"/>
        <v>0</v>
      </c>
      <c r="AC34" s="66"/>
    </row>
    <row r="35" spans="1:29" ht="16.5" customHeight="1" x14ac:dyDescent="0.25">
      <c r="B35" s="58" t="s">
        <v>108</v>
      </c>
      <c r="C35" s="39" t="s">
        <v>109</v>
      </c>
      <c r="D35" s="40" t="s">
        <v>107</v>
      </c>
      <c r="E35" s="42">
        <v>31000</v>
      </c>
      <c r="F35" s="42">
        <f>ROUND(E35,0)</f>
        <v>31000</v>
      </c>
      <c r="G35" s="41">
        <f t="shared" si="2"/>
        <v>0</v>
      </c>
      <c r="H35" s="43"/>
      <c r="I35" s="41">
        <f>ROUND(F35,0)</f>
        <v>31000</v>
      </c>
      <c r="J35" s="41">
        <f t="shared" si="3"/>
        <v>0</v>
      </c>
      <c r="K35" s="44"/>
      <c r="L35" s="41">
        <f>ROUND(I35,0)</f>
        <v>31000</v>
      </c>
      <c r="M35" s="41">
        <f t="shared" si="4"/>
        <v>0</v>
      </c>
      <c r="N35" s="44"/>
      <c r="O35" s="41">
        <f>ROUND(L35,0)</f>
        <v>31000</v>
      </c>
      <c r="P35" s="41">
        <f t="shared" si="5"/>
        <v>0</v>
      </c>
      <c r="Q35" s="44"/>
      <c r="R35" s="41">
        <f>ROUND(O35,0)+45000</f>
        <v>76000</v>
      </c>
      <c r="S35" s="41">
        <f t="shared" si="6"/>
        <v>45000</v>
      </c>
      <c r="T35" s="44" t="s">
        <v>110</v>
      </c>
      <c r="U35" s="41">
        <f>ROUND(R35,0)+40000</f>
        <v>116000</v>
      </c>
      <c r="V35" s="41">
        <f t="shared" si="7"/>
        <v>40000</v>
      </c>
      <c r="W35" s="44" t="s">
        <v>111</v>
      </c>
      <c r="X35" s="41">
        <f>ROUND(U35,0)</f>
        <v>116000</v>
      </c>
      <c r="Y35" s="41">
        <f t="shared" si="8"/>
        <v>0</v>
      </c>
      <c r="Z35" s="44"/>
      <c r="AA35" s="41">
        <f>ROUND(X35,0)</f>
        <v>116000</v>
      </c>
      <c r="AB35" s="41">
        <f t="shared" si="9"/>
        <v>0</v>
      </c>
      <c r="AC35" s="44"/>
    </row>
    <row r="36" spans="1:29" ht="30" x14ac:dyDescent="0.25">
      <c r="B36" s="58" t="s">
        <v>112</v>
      </c>
      <c r="C36" s="39" t="s">
        <v>113</v>
      </c>
      <c r="D36" s="40" t="s">
        <v>114</v>
      </c>
      <c r="E36" s="42">
        <v>34000</v>
      </c>
      <c r="F36" s="42">
        <f>ROUND(E36,0)</f>
        <v>34000</v>
      </c>
      <c r="G36" s="41">
        <f t="shared" si="2"/>
        <v>0</v>
      </c>
      <c r="H36" s="43"/>
      <c r="I36" s="41">
        <f>ROUND(F36,0)</f>
        <v>34000</v>
      </c>
      <c r="J36" s="41">
        <f t="shared" si="3"/>
        <v>0</v>
      </c>
      <c r="K36" s="44"/>
      <c r="L36" s="41">
        <f>ROUND(I36,0)</f>
        <v>34000</v>
      </c>
      <c r="M36" s="41">
        <f t="shared" si="4"/>
        <v>0</v>
      </c>
      <c r="N36" s="44"/>
      <c r="O36" s="41">
        <f>ROUND(L36,0)</f>
        <v>34000</v>
      </c>
      <c r="P36" s="41">
        <f t="shared" si="5"/>
        <v>0</v>
      </c>
      <c r="Q36" s="44"/>
      <c r="R36" s="41">
        <f>ROUND(O36,0)</f>
        <v>34000</v>
      </c>
      <c r="S36" s="41">
        <f t="shared" si="6"/>
        <v>0</v>
      </c>
      <c r="T36" s="44"/>
      <c r="U36" s="41">
        <f>ROUND(R36,0)</f>
        <v>34000</v>
      </c>
      <c r="V36" s="41">
        <f t="shared" si="7"/>
        <v>0</v>
      </c>
      <c r="W36" s="44"/>
      <c r="X36" s="41">
        <f>ROUND(U36,0)</f>
        <v>34000</v>
      </c>
      <c r="Y36" s="41">
        <f t="shared" si="8"/>
        <v>0</v>
      </c>
      <c r="Z36" s="44"/>
      <c r="AA36" s="41">
        <f>ROUND(X36,0)</f>
        <v>34000</v>
      </c>
      <c r="AB36" s="41">
        <f t="shared" si="9"/>
        <v>0</v>
      </c>
      <c r="AC36" s="44"/>
    </row>
    <row r="37" spans="1:29" x14ac:dyDescent="0.25">
      <c r="B37" s="1" t="s">
        <v>115</v>
      </c>
      <c r="C37" s="46" t="s">
        <v>116</v>
      </c>
      <c r="D37" s="47" t="s">
        <v>117</v>
      </c>
      <c r="E37" s="49">
        <v>6453</v>
      </c>
      <c r="F37" s="49">
        <f>F38+F39+F40</f>
        <v>6453</v>
      </c>
      <c r="G37" s="48">
        <f t="shared" si="2"/>
        <v>0</v>
      </c>
      <c r="H37" s="50"/>
      <c r="I37" s="48">
        <f>I38+I39+I40</f>
        <v>25797</v>
      </c>
      <c r="J37" s="48">
        <f t="shared" si="3"/>
        <v>19344</v>
      </c>
      <c r="K37" s="51"/>
      <c r="L37" s="48">
        <f>L38+L39+L40</f>
        <v>35106</v>
      </c>
      <c r="M37" s="48">
        <f t="shared" si="4"/>
        <v>9309</v>
      </c>
      <c r="N37" s="51"/>
      <c r="O37" s="48">
        <f>O38+O39+O40</f>
        <v>57106</v>
      </c>
      <c r="P37" s="48">
        <f t="shared" si="5"/>
        <v>22000</v>
      </c>
      <c r="Q37" s="51"/>
      <c r="R37" s="48">
        <f>R38+R39+R40</f>
        <v>124631</v>
      </c>
      <c r="S37" s="48">
        <f t="shared" si="6"/>
        <v>67525</v>
      </c>
      <c r="T37" s="51"/>
      <c r="U37" s="48">
        <f>U38+U39+U40</f>
        <v>161431</v>
      </c>
      <c r="V37" s="48">
        <f t="shared" si="7"/>
        <v>36800</v>
      </c>
      <c r="W37" s="51"/>
      <c r="X37" s="48">
        <f>X38+X39+X40</f>
        <v>161431</v>
      </c>
      <c r="Y37" s="48">
        <f t="shared" si="8"/>
        <v>0</v>
      </c>
      <c r="Z37" s="51"/>
      <c r="AA37" s="48">
        <f>AA38+AA39+AA40</f>
        <v>161431</v>
      </c>
      <c r="AB37" s="48">
        <f t="shared" si="9"/>
        <v>0</v>
      </c>
      <c r="AC37" s="51"/>
    </row>
    <row r="38" spans="1:29" ht="60" customHeight="1" x14ac:dyDescent="0.25">
      <c r="A38" s="1" t="s">
        <v>30</v>
      </c>
      <c r="B38" s="4" t="s">
        <v>118</v>
      </c>
      <c r="C38" s="39" t="s">
        <v>119</v>
      </c>
      <c r="D38" s="67" t="s">
        <v>120</v>
      </c>
      <c r="E38" s="42">
        <v>0</v>
      </c>
      <c r="F38" s="42">
        <f>ROUND(E38,0)</f>
        <v>0</v>
      </c>
      <c r="G38" s="41">
        <f t="shared" si="2"/>
        <v>0</v>
      </c>
      <c r="H38" s="68"/>
      <c r="I38" s="41">
        <f>ROUND(F38,0)+19344</f>
        <v>19344</v>
      </c>
      <c r="J38" s="41">
        <f t="shared" si="3"/>
        <v>19344</v>
      </c>
      <c r="K38" s="45" t="s">
        <v>121</v>
      </c>
      <c r="L38" s="41">
        <f>ROUND(I38,0)+9309</f>
        <v>28653</v>
      </c>
      <c r="M38" s="41">
        <f t="shared" si="4"/>
        <v>9309</v>
      </c>
      <c r="N38" s="45" t="s">
        <v>122</v>
      </c>
      <c r="O38" s="41">
        <f>ROUND(L38,0)+22000</f>
        <v>50653</v>
      </c>
      <c r="P38" s="41">
        <f t="shared" si="5"/>
        <v>22000</v>
      </c>
      <c r="Q38" s="45" t="s">
        <v>123</v>
      </c>
      <c r="R38" s="41">
        <f>ROUND(O38,0)+(10000+20000)+31000</f>
        <v>111653</v>
      </c>
      <c r="S38" s="41">
        <f t="shared" si="6"/>
        <v>61000</v>
      </c>
      <c r="T38" s="45" t="s">
        <v>124</v>
      </c>
      <c r="U38" s="41">
        <f>ROUND(R38,0)+10000+20000</f>
        <v>141653</v>
      </c>
      <c r="V38" s="69">
        <f t="shared" si="7"/>
        <v>30000</v>
      </c>
      <c r="W38" s="45" t="s">
        <v>125</v>
      </c>
      <c r="X38" s="41">
        <f>ROUND(U38,0)</f>
        <v>141653</v>
      </c>
      <c r="Y38" s="41">
        <f t="shared" si="8"/>
        <v>0</v>
      </c>
      <c r="Z38" s="45"/>
      <c r="AA38" s="41">
        <f>ROUND(X38,0)</f>
        <v>141653</v>
      </c>
      <c r="AB38" s="41">
        <f t="shared" si="9"/>
        <v>0</v>
      </c>
      <c r="AC38" s="45"/>
    </row>
    <row r="39" spans="1:29" ht="27.75" customHeight="1" x14ac:dyDescent="0.25">
      <c r="B39" s="1" t="s">
        <v>126</v>
      </c>
      <c r="C39" s="39" t="s">
        <v>127</v>
      </c>
      <c r="D39" s="40" t="s">
        <v>128</v>
      </c>
      <c r="E39" s="42">
        <v>500</v>
      </c>
      <c r="F39" s="42">
        <f>ROUND(E39,0)</f>
        <v>500</v>
      </c>
      <c r="G39" s="41">
        <f t="shared" si="2"/>
        <v>0</v>
      </c>
      <c r="H39" s="68"/>
      <c r="I39" s="41">
        <f>ROUND(F39,0)</f>
        <v>500</v>
      </c>
      <c r="J39" s="41">
        <f t="shared" si="3"/>
        <v>0</v>
      </c>
      <c r="K39" s="45"/>
      <c r="L39" s="41">
        <f>ROUND(I39,0)</f>
        <v>500</v>
      </c>
      <c r="M39" s="41">
        <f t="shared" si="4"/>
        <v>0</v>
      </c>
      <c r="N39" s="45"/>
      <c r="O39" s="41">
        <f>ROUND(L39,0)</f>
        <v>500</v>
      </c>
      <c r="P39" s="41">
        <f t="shared" si="5"/>
        <v>0</v>
      </c>
      <c r="Q39" s="45"/>
      <c r="R39" s="41">
        <f>ROUND(O39,0)</f>
        <v>500</v>
      </c>
      <c r="S39" s="41">
        <f t="shared" si="6"/>
        <v>0</v>
      </c>
      <c r="T39" s="45"/>
      <c r="U39" s="41">
        <f>ROUND(R39,0)+6800</f>
        <v>7300</v>
      </c>
      <c r="V39" s="69">
        <f t="shared" si="7"/>
        <v>6800</v>
      </c>
      <c r="W39" s="45" t="s">
        <v>111</v>
      </c>
      <c r="X39" s="41">
        <f>ROUND(U39,0)</f>
        <v>7300</v>
      </c>
      <c r="Y39" s="41">
        <f t="shared" si="8"/>
        <v>0</v>
      </c>
      <c r="Z39" s="45"/>
      <c r="AA39" s="41">
        <f>ROUND(X39,0)</f>
        <v>7300</v>
      </c>
      <c r="AB39" s="41">
        <f t="shared" si="9"/>
        <v>0</v>
      </c>
      <c r="AC39" s="45"/>
    </row>
    <row r="40" spans="1:29" x14ac:dyDescent="0.25">
      <c r="C40" s="39" t="s">
        <v>129</v>
      </c>
      <c r="D40" s="40" t="s">
        <v>130</v>
      </c>
      <c r="E40" s="42">
        <v>5953</v>
      </c>
      <c r="F40" s="42">
        <f>ROUND(E40,0)</f>
        <v>5953</v>
      </c>
      <c r="G40" s="41">
        <f t="shared" si="2"/>
        <v>0</v>
      </c>
      <c r="H40" s="43"/>
      <c r="I40" s="41">
        <f>ROUND(F40,0)</f>
        <v>5953</v>
      </c>
      <c r="J40" s="41">
        <f t="shared" si="3"/>
        <v>0</v>
      </c>
      <c r="K40" s="44"/>
      <c r="L40" s="41">
        <f>ROUND(I40,0)</f>
        <v>5953</v>
      </c>
      <c r="M40" s="41">
        <f t="shared" si="4"/>
        <v>0</v>
      </c>
      <c r="N40" s="44"/>
      <c r="O40" s="41">
        <f>ROUND(L40,0)</f>
        <v>5953</v>
      </c>
      <c r="P40" s="41">
        <f t="shared" si="5"/>
        <v>0</v>
      </c>
      <c r="Q40" s="44"/>
      <c r="R40" s="41">
        <f>ROUND(O40,0)+6525</f>
        <v>12478</v>
      </c>
      <c r="S40" s="41">
        <f t="shared" si="6"/>
        <v>6525</v>
      </c>
      <c r="T40" s="44" t="s">
        <v>110</v>
      </c>
      <c r="U40" s="41">
        <f>ROUND(R40,0)</f>
        <v>12478</v>
      </c>
      <c r="V40" s="41">
        <f t="shared" si="7"/>
        <v>0</v>
      </c>
      <c r="W40" s="44"/>
      <c r="X40" s="41">
        <f>ROUND(U40,0)</f>
        <v>12478</v>
      </c>
      <c r="Y40" s="41">
        <f t="shared" si="8"/>
        <v>0</v>
      </c>
      <c r="Z40" s="44"/>
      <c r="AA40" s="41">
        <f>ROUND(X40,0)</f>
        <v>12478</v>
      </c>
      <c r="AB40" s="41">
        <f t="shared" si="9"/>
        <v>0</v>
      </c>
      <c r="AC40" s="44"/>
    </row>
    <row r="41" spans="1:29" ht="26.45" customHeight="1" x14ac:dyDescent="0.25">
      <c r="B41" s="1" t="s">
        <v>131</v>
      </c>
      <c r="C41" s="70" t="s">
        <v>132</v>
      </c>
      <c r="D41" s="47" t="s">
        <v>133</v>
      </c>
      <c r="E41" s="49">
        <v>5856</v>
      </c>
      <c r="F41" s="49">
        <f>ROUND(E41,0)</f>
        <v>5856</v>
      </c>
      <c r="G41" s="48">
        <f t="shared" si="2"/>
        <v>0</v>
      </c>
      <c r="H41" s="65"/>
      <c r="I41" s="48">
        <f>ROUND(F41,0)</f>
        <v>5856</v>
      </c>
      <c r="J41" s="48">
        <f t="shared" si="3"/>
        <v>0</v>
      </c>
      <c r="K41" s="66"/>
      <c r="L41" s="48">
        <f>ROUND(I41,0)+23095</f>
        <v>28951</v>
      </c>
      <c r="M41" s="48">
        <f t="shared" si="4"/>
        <v>23095</v>
      </c>
      <c r="N41" s="66" t="s">
        <v>134</v>
      </c>
      <c r="O41" s="48">
        <f>ROUND(L41,0)</f>
        <v>28951</v>
      </c>
      <c r="P41" s="48">
        <f t="shared" si="5"/>
        <v>0</v>
      </c>
      <c r="Q41" s="66"/>
      <c r="R41" s="48">
        <f>ROUND(O41,0)+30205</f>
        <v>59156</v>
      </c>
      <c r="S41" s="48">
        <f t="shared" si="6"/>
        <v>30205</v>
      </c>
      <c r="T41" s="66" t="s">
        <v>110</v>
      </c>
      <c r="U41" s="48">
        <f>ROUND(R41,0)</f>
        <v>59156</v>
      </c>
      <c r="V41" s="48">
        <f t="shared" si="7"/>
        <v>0</v>
      </c>
      <c r="W41" s="66"/>
      <c r="X41" s="48">
        <f>ROUND(U41,0)</f>
        <v>59156</v>
      </c>
      <c r="Y41" s="48">
        <f t="shared" si="8"/>
        <v>0</v>
      </c>
      <c r="Z41" s="66"/>
      <c r="AA41" s="48">
        <f>ROUND(X41,0)+47781</f>
        <v>106937</v>
      </c>
      <c r="AB41" s="48">
        <f t="shared" si="9"/>
        <v>47781</v>
      </c>
      <c r="AC41" s="66" t="s">
        <v>135</v>
      </c>
    </row>
    <row r="42" spans="1:29" ht="31.5" customHeight="1" x14ac:dyDescent="0.25">
      <c r="C42" s="70" t="s">
        <v>136</v>
      </c>
      <c r="D42" s="47" t="s">
        <v>137</v>
      </c>
      <c r="E42" s="49">
        <v>10153512</v>
      </c>
      <c r="F42" s="49">
        <f t="shared" ref="F42" si="21">F43+F66+F87</f>
        <v>10611779</v>
      </c>
      <c r="G42" s="48">
        <f t="shared" si="2"/>
        <v>458267</v>
      </c>
      <c r="H42" s="52"/>
      <c r="I42" s="48">
        <f>I43+I66+I87</f>
        <v>10715183</v>
      </c>
      <c r="J42" s="48">
        <f t="shared" si="3"/>
        <v>103404</v>
      </c>
      <c r="K42" s="48"/>
      <c r="L42" s="48">
        <f>L43+L66+L87</f>
        <v>10765964</v>
      </c>
      <c r="M42" s="48">
        <f t="shared" si="4"/>
        <v>50781</v>
      </c>
      <c r="N42" s="48"/>
      <c r="O42" s="48">
        <f>O43+O66+O87</f>
        <v>10765964</v>
      </c>
      <c r="P42" s="48">
        <f t="shared" si="5"/>
        <v>0</v>
      </c>
      <c r="Q42" s="48"/>
      <c r="R42" s="48">
        <f>R43+R66+R87</f>
        <v>10824662</v>
      </c>
      <c r="S42" s="48">
        <f t="shared" si="6"/>
        <v>58698</v>
      </c>
      <c r="T42" s="48"/>
      <c r="U42" s="48">
        <f>U43+U66+U87</f>
        <v>10941175</v>
      </c>
      <c r="V42" s="48">
        <f t="shared" si="7"/>
        <v>116513</v>
      </c>
      <c r="W42" s="48"/>
      <c r="X42" s="48">
        <f>X43+X66+X87</f>
        <v>11037175</v>
      </c>
      <c r="Y42" s="48">
        <f t="shared" si="8"/>
        <v>96000</v>
      </c>
      <c r="Z42" s="48"/>
      <c r="AA42" s="48">
        <f>AA43+AA66+AA87</f>
        <v>11137263</v>
      </c>
      <c r="AB42" s="48">
        <f t="shared" si="9"/>
        <v>100088</v>
      </c>
      <c r="AC42" s="48"/>
    </row>
    <row r="43" spans="1:29" ht="17.45" customHeight="1" x14ac:dyDescent="0.25">
      <c r="B43" s="38"/>
      <c r="C43" s="71" t="s">
        <v>138</v>
      </c>
      <c r="D43" s="72" t="s">
        <v>139</v>
      </c>
      <c r="E43" s="74">
        <v>8993696</v>
      </c>
      <c r="F43" s="74">
        <f t="shared" ref="F43" si="22">SUM(F44:F47)+F50+SUM(F54:F65)</f>
        <v>9340698</v>
      </c>
      <c r="G43" s="75">
        <f t="shared" si="2"/>
        <v>347002</v>
      </c>
      <c r="H43" s="76"/>
      <c r="I43" s="75">
        <f>SUM(I44:I47)+I50+SUM(I54:I65)</f>
        <v>9468249</v>
      </c>
      <c r="J43" s="75">
        <f t="shared" si="3"/>
        <v>127551</v>
      </c>
      <c r="K43" s="75"/>
      <c r="L43" s="75">
        <f>SUM(L44:L47)+L50+SUM(L54:L65)</f>
        <v>9519030</v>
      </c>
      <c r="M43" s="75">
        <f t="shared" si="4"/>
        <v>50781</v>
      </c>
      <c r="N43" s="75"/>
      <c r="O43" s="75">
        <f>SUM(O44:O47)+O50+SUM(O54:O65)</f>
        <v>9519030</v>
      </c>
      <c r="P43" s="75">
        <f t="shared" si="5"/>
        <v>0</v>
      </c>
      <c r="Q43" s="75"/>
      <c r="R43" s="75">
        <f>SUM(R44:R47)+R50+SUM(R54:R65)</f>
        <v>9519030</v>
      </c>
      <c r="S43" s="75">
        <f t="shared" si="6"/>
        <v>0</v>
      </c>
      <c r="T43" s="75"/>
      <c r="U43" s="75">
        <f>SUM(U44:U47)+U50+SUM(U54:U65)</f>
        <v>9635543</v>
      </c>
      <c r="V43" s="75">
        <f t="shared" si="7"/>
        <v>116513</v>
      </c>
      <c r="W43" s="75"/>
      <c r="X43" s="75">
        <f>SUM(X44:X47)+X50+SUM(X54:X65)</f>
        <v>9731543</v>
      </c>
      <c r="Y43" s="75">
        <f t="shared" si="8"/>
        <v>96000</v>
      </c>
      <c r="Z43" s="75"/>
      <c r="AA43" s="75">
        <f>SUM(AA44:AA47)+AA50+SUM(AA54:AA65)</f>
        <v>9731543</v>
      </c>
      <c r="AB43" s="75">
        <f t="shared" si="9"/>
        <v>0</v>
      </c>
      <c r="AC43" s="75"/>
    </row>
    <row r="44" spans="1:29" ht="16.899999999999999" customHeight="1" x14ac:dyDescent="0.25">
      <c r="A44" s="1" t="s">
        <v>140</v>
      </c>
      <c r="B44" s="1" t="s">
        <v>141</v>
      </c>
      <c r="C44" s="61" t="s">
        <v>142</v>
      </c>
      <c r="D44" s="40" t="s">
        <v>143</v>
      </c>
      <c r="E44" s="42">
        <v>651116</v>
      </c>
      <c r="F44" s="42">
        <f>ROUND(E44,0)+142597</f>
        <v>793713</v>
      </c>
      <c r="G44" s="41">
        <f t="shared" si="2"/>
        <v>142597</v>
      </c>
      <c r="H44" s="45" t="s">
        <v>144</v>
      </c>
      <c r="I44" s="41">
        <f>ROUND(F44,0)</f>
        <v>793713</v>
      </c>
      <c r="J44" s="41">
        <f t="shared" si="3"/>
        <v>0</v>
      </c>
      <c r="K44" s="45"/>
      <c r="L44" s="41">
        <f>ROUND(I44,0)</f>
        <v>793713</v>
      </c>
      <c r="M44" s="41">
        <f t="shared" si="4"/>
        <v>0</v>
      </c>
      <c r="N44" s="45"/>
      <c r="O44" s="41">
        <f>ROUND(L44,0)</f>
        <v>793713</v>
      </c>
      <c r="P44" s="41">
        <f t="shared" si="5"/>
        <v>0</v>
      </c>
      <c r="Q44" s="45"/>
      <c r="R44" s="41">
        <f>ROUND(O44,0)</f>
        <v>793713</v>
      </c>
      <c r="S44" s="41">
        <f t="shared" si="6"/>
        <v>0</v>
      </c>
      <c r="T44" s="45"/>
      <c r="U44" s="41">
        <f>ROUND(R44,0)-4534</f>
        <v>789179</v>
      </c>
      <c r="V44" s="41">
        <f t="shared" si="7"/>
        <v>-4534</v>
      </c>
      <c r="W44" s="45" t="s">
        <v>145</v>
      </c>
      <c r="X44" s="41">
        <f>ROUND(U44,0)</f>
        <v>789179</v>
      </c>
      <c r="Y44" s="41">
        <f t="shared" si="8"/>
        <v>0</v>
      </c>
      <c r="Z44" s="45"/>
      <c r="AA44" s="41">
        <f>ROUND(X44,0)</f>
        <v>789179</v>
      </c>
      <c r="AB44" s="41">
        <f t="shared" si="9"/>
        <v>0</v>
      </c>
      <c r="AC44" s="45"/>
    </row>
    <row r="45" spans="1:29" ht="13.9" customHeight="1" x14ac:dyDescent="0.25">
      <c r="A45" s="1" t="s">
        <v>140</v>
      </c>
      <c r="B45" s="58" t="s">
        <v>146</v>
      </c>
      <c r="C45" s="61" t="s">
        <v>147</v>
      </c>
      <c r="D45" s="40" t="s">
        <v>148</v>
      </c>
      <c r="E45" s="42">
        <v>314606</v>
      </c>
      <c r="F45" s="42">
        <f>ROUND(E45,0)</f>
        <v>314606</v>
      </c>
      <c r="G45" s="41">
        <f t="shared" si="2"/>
        <v>0</v>
      </c>
      <c r="H45" s="43"/>
      <c r="I45" s="41">
        <f>ROUND(F45,0)-22981</f>
        <v>291625</v>
      </c>
      <c r="J45" s="41">
        <f t="shared" si="3"/>
        <v>-22981</v>
      </c>
      <c r="K45" s="44" t="s">
        <v>149</v>
      </c>
      <c r="L45" s="41">
        <f>ROUND(I45,0)</f>
        <v>291625</v>
      </c>
      <c r="M45" s="41">
        <f t="shared" si="4"/>
        <v>0</v>
      </c>
      <c r="N45" s="44"/>
      <c r="O45" s="41">
        <f>ROUND(L45,0)</f>
        <v>291625</v>
      </c>
      <c r="P45" s="41">
        <f t="shared" si="5"/>
        <v>0</v>
      </c>
      <c r="Q45" s="44"/>
      <c r="R45" s="41">
        <f>ROUND(O45,0)</f>
        <v>291625</v>
      </c>
      <c r="S45" s="41">
        <f t="shared" si="6"/>
        <v>0</v>
      </c>
      <c r="T45" s="44"/>
      <c r="U45" s="41">
        <f>ROUND(R45,0)+3904</f>
        <v>295529</v>
      </c>
      <c r="V45" s="41">
        <f t="shared" si="7"/>
        <v>3904</v>
      </c>
      <c r="W45" s="44" t="s">
        <v>150</v>
      </c>
      <c r="X45" s="41">
        <f>ROUND(U45,0)</f>
        <v>295529</v>
      </c>
      <c r="Y45" s="41">
        <f t="shared" si="8"/>
        <v>0</v>
      </c>
      <c r="Z45" s="44"/>
      <c r="AA45" s="41">
        <f>ROUND(X45,0)</f>
        <v>295529</v>
      </c>
      <c r="AB45" s="41">
        <f t="shared" si="9"/>
        <v>0</v>
      </c>
      <c r="AC45" s="44"/>
    </row>
    <row r="46" spans="1:29" ht="46.15" customHeight="1" x14ac:dyDescent="0.25">
      <c r="B46" s="58" t="s">
        <v>151</v>
      </c>
      <c r="C46" s="61" t="s">
        <v>152</v>
      </c>
      <c r="D46" s="40" t="s">
        <v>153</v>
      </c>
      <c r="E46" s="42">
        <v>249276</v>
      </c>
      <c r="F46" s="42">
        <f>ROUND(E46,0)</f>
        <v>249276</v>
      </c>
      <c r="G46" s="41">
        <f t="shared" si="2"/>
        <v>0</v>
      </c>
      <c r="H46" s="68"/>
      <c r="I46" s="41">
        <f>ROUND(F46,0)</f>
        <v>249276</v>
      </c>
      <c r="J46" s="41">
        <f t="shared" si="3"/>
        <v>0</v>
      </c>
      <c r="K46" s="45"/>
      <c r="L46" s="41">
        <f>ROUND(I46,0)</f>
        <v>249276</v>
      </c>
      <c r="M46" s="41">
        <f t="shared" si="4"/>
        <v>0</v>
      </c>
      <c r="N46" s="45"/>
      <c r="O46" s="41">
        <f>ROUND(L46,0)</f>
        <v>249276</v>
      </c>
      <c r="P46" s="41">
        <f t="shared" si="5"/>
        <v>0</v>
      </c>
      <c r="Q46" s="45"/>
      <c r="R46" s="41">
        <f>ROUND(O46,0)</f>
        <v>249276</v>
      </c>
      <c r="S46" s="41">
        <f t="shared" si="6"/>
        <v>0</v>
      </c>
      <c r="T46" s="45"/>
      <c r="U46" s="41">
        <f>ROUND(R46,0)</f>
        <v>249276</v>
      </c>
      <c r="V46" s="41">
        <f t="shared" si="7"/>
        <v>0</v>
      </c>
      <c r="W46" s="45"/>
      <c r="X46" s="41">
        <f>ROUND(U46,0)+53000+28000+15000</f>
        <v>345276</v>
      </c>
      <c r="Y46" s="41">
        <f t="shared" si="8"/>
        <v>96000</v>
      </c>
      <c r="Z46" s="45" t="s">
        <v>154</v>
      </c>
      <c r="AA46" s="41">
        <f>ROUND(X46,0)</f>
        <v>345276</v>
      </c>
      <c r="AB46" s="41">
        <f t="shared" si="9"/>
        <v>0</v>
      </c>
      <c r="AC46" s="45"/>
    </row>
    <row r="47" spans="1:29" ht="14.25" customHeight="1" x14ac:dyDescent="0.25">
      <c r="A47" s="1" t="s">
        <v>140</v>
      </c>
      <c r="B47" s="58" t="s">
        <v>155</v>
      </c>
      <c r="C47" s="61" t="s">
        <v>156</v>
      </c>
      <c r="D47" s="40" t="s">
        <v>157</v>
      </c>
      <c r="E47" s="41">
        <v>0</v>
      </c>
      <c r="F47" s="42">
        <f t="shared" ref="F47" si="23">F48+F49</f>
        <v>0</v>
      </c>
      <c r="G47" s="41">
        <f t="shared" si="2"/>
        <v>0</v>
      </c>
      <c r="H47" s="55"/>
      <c r="I47" s="41">
        <f>I48+I49</f>
        <v>112839</v>
      </c>
      <c r="J47" s="41">
        <f t="shared" si="3"/>
        <v>112839</v>
      </c>
      <c r="K47" s="41" t="s">
        <v>158</v>
      </c>
      <c r="L47" s="41">
        <f>L48+L49</f>
        <v>112839</v>
      </c>
      <c r="M47" s="41">
        <f t="shared" si="4"/>
        <v>0</v>
      </c>
      <c r="N47" s="41"/>
      <c r="O47" s="41">
        <f>O48+O49</f>
        <v>112839</v>
      </c>
      <c r="P47" s="41">
        <f t="shared" si="5"/>
        <v>0</v>
      </c>
      <c r="Q47" s="41"/>
      <c r="R47" s="41">
        <f>R48+R49</f>
        <v>112839</v>
      </c>
      <c r="S47" s="41">
        <f t="shared" si="6"/>
        <v>0</v>
      </c>
      <c r="T47" s="41"/>
      <c r="U47" s="41">
        <f>U48+U49</f>
        <v>112839</v>
      </c>
      <c r="V47" s="41">
        <f t="shared" si="7"/>
        <v>0</v>
      </c>
      <c r="W47" s="41"/>
      <c r="X47" s="41">
        <f>X48+X49</f>
        <v>112839</v>
      </c>
      <c r="Y47" s="41">
        <f t="shared" si="8"/>
        <v>0</v>
      </c>
      <c r="Z47" s="41"/>
      <c r="AA47" s="41">
        <f>AA48+AA49</f>
        <v>112839</v>
      </c>
      <c r="AB47" s="41">
        <f t="shared" si="9"/>
        <v>0</v>
      </c>
      <c r="AC47" s="41"/>
    </row>
    <row r="48" spans="1:29" ht="14.25" customHeight="1" x14ac:dyDescent="0.25">
      <c r="B48" s="58"/>
      <c r="C48" s="61" t="s">
        <v>159</v>
      </c>
      <c r="D48" s="62" t="s">
        <v>160</v>
      </c>
      <c r="E48" s="77"/>
      <c r="F48" s="42"/>
      <c r="G48" s="41">
        <f t="shared" si="2"/>
        <v>0</v>
      </c>
      <c r="H48" s="68"/>
      <c r="I48" s="41">
        <f>3025+2989+4538+2468+7380+112+71355+538+851+19583</f>
        <v>112839</v>
      </c>
      <c r="J48" s="41">
        <f t="shared" si="3"/>
        <v>112839</v>
      </c>
      <c r="K48" s="45"/>
      <c r="L48" s="41">
        <f>ROUND(I48,0)</f>
        <v>112839</v>
      </c>
      <c r="M48" s="41">
        <f t="shared" si="4"/>
        <v>0</v>
      </c>
      <c r="N48" s="45"/>
      <c r="O48" s="41">
        <f>ROUND(L48,0)</f>
        <v>112839</v>
      </c>
      <c r="P48" s="41">
        <f t="shared" si="5"/>
        <v>0</v>
      </c>
      <c r="Q48" s="45"/>
      <c r="R48" s="41">
        <f>ROUND(O48,0)</f>
        <v>112839</v>
      </c>
      <c r="S48" s="41">
        <f t="shared" si="6"/>
        <v>0</v>
      </c>
      <c r="T48" s="45"/>
      <c r="U48" s="41">
        <f>ROUND(R48,0)</f>
        <v>112839</v>
      </c>
      <c r="V48" s="41">
        <f t="shared" si="7"/>
        <v>0</v>
      </c>
      <c r="W48" s="45"/>
      <c r="X48" s="41">
        <f>ROUND(U48,0)</f>
        <v>112839</v>
      </c>
      <c r="Y48" s="41">
        <f t="shared" si="8"/>
        <v>0</v>
      </c>
      <c r="Z48" s="45"/>
      <c r="AA48" s="41">
        <f>ROUND(X48,0)</f>
        <v>112839</v>
      </c>
      <c r="AB48" s="41">
        <f t="shared" si="9"/>
        <v>0</v>
      </c>
      <c r="AC48" s="45"/>
    </row>
    <row r="49" spans="1:29" ht="17.45" customHeight="1" x14ac:dyDescent="0.25">
      <c r="B49" s="58"/>
      <c r="C49" s="61" t="s">
        <v>161</v>
      </c>
      <c r="D49" s="62" t="s">
        <v>162</v>
      </c>
      <c r="E49" s="77"/>
      <c r="F49" s="42"/>
      <c r="G49" s="41">
        <f t="shared" si="2"/>
        <v>0</v>
      </c>
      <c r="H49" s="68"/>
      <c r="I49" s="41"/>
      <c r="J49" s="41">
        <f t="shared" si="3"/>
        <v>0</v>
      </c>
      <c r="K49" s="45"/>
      <c r="L49" s="41">
        <f>ROUND(I49,0)</f>
        <v>0</v>
      </c>
      <c r="M49" s="41">
        <f t="shared" si="4"/>
        <v>0</v>
      </c>
      <c r="N49" s="45"/>
      <c r="O49" s="41"/>
      <c r="P49" s="41">
        <f t="shared" si="5"/>
        <v>0</v>
      </c>
      <c r="Q49" s="45"/>
      <c r="R49" s="41"/>
      <c r="S49" s="41">
        <f t="shared" si="6"/>
        <v>0</v>
      </c>
      <c r="T49" s="45"/>
      <c r="U49" s="41"/>
      <c r="V49" s="41">
        <f t="shared" si="7"/>
        <v>0</v>
      </c>
      <c r="W49" s="45"/>
      <c r="X49" s="41"/>
      <c r="Y49" s="41">
        <f t="shared" si="8"/>
        <v>0</v>
      </c>
      <c r="Z49" s="45"/>
      <c r="AA49" s="41"/>
      <c r="AB49" s="41">
        <f t="shared" si="9"/>
        <v>0</v>
      </c>
      <c r="AC49" s="45"/>
    </row>
    <row r="50" spans="1:29" ht="13.9" customHeight="1" x14ac:dyDescent="0.25">
      <c r="B50" s="1" t="s">
        <v>163</v>
      </c>
      <c r="C50" s="61" t="s">
        <v>164</v>
      </c>
      <c r="D50" s="40" t="s">
        <v>165</v>
      </c>
      <c r="E50" s="79">
        <v>6510554</v>
      </c>
      <c r="F50" s="79">
        <f>F51+F52+F53</f>
        <v>6646187</v>
      </c>
      <c r="G50" s="78">
        <f t="shared" si="2"/>
        <v>135633</v>
      </c>
      <c r="H50" s="80"/>
      <c r="I50" s="78">
        <f>I51+I52+I53</f>
        <v>6646187</v>
      </c>
      <c r="J50" s="78">
        <f t="shared" si="3"/>
        <v>0</v>
      </c>
      <c r="K50" s="81"/>
      <c r="L50" s="78">
        <f>L51+L52+L53</f>
        <v>6646187</v>
      </c>
      <c r="M50" s="78">
        <f t="shared" si="4"/>
        <v>0</v>
      </c>
      <c r="N50" s="81"/>
      <c r="O50" s="78">
        <f>O51+O52+O53</f>
        <v>6646187</v>
      </c>
      <c r="P50" s="78">
        <f t="shared" si="5"/>
        <v>0</v>
      </c>
      <c r="Q50" s="81"/>
      <c r="R50" s="78">
        <f>R51+R52+R53</f>
        <v>6646187</v>
      </c>
      <c r="S50" s="78">
        <f t="shared" si="6"/>
        <v>0</v>
      </c>
      <c r="T50" s="81"/>
      <c r="U50" s="78">
        <f>U51+U52+U53</f>
        <v>6727374</v>
      </c>
      <c r="V50" s="78">
        <f t="shared" si="7"/>
        <v>81187</v>
      </c>
      <c r="W50" s="81" t="s">
        <v>145</v>
      </c>
      <c r="X50" s="78">
        <f>X51+X52+X53</f>
        <v>6727374</v>
      </c>
      <c r="Y50" s="78">
        <f t="shared" si="8"/>
        <v>0</v>
      </c>
      <c r="Z50" s="81"/>
      <c r="AA50" s="78">
        <f>AA51+AA52+AA53</f>
        <v>6727374</v>
      </c>
      <c r="AB50" s="78">
        <f t="shared" si="9"/>
        <v>0</v>
      </c>
      <c r="AC50" s="81"/>
    </row>
    <row r="51" spans="1:29" s="86" customFormat="1" x14ac:dyDescent="0.25">
      <c r="A51" s="1" t="s">
        <v>140</v>
      </c>
      <c r="B51" s="58" t="s">
        <v>166</v>
      </c>
      <c r="C51" s="61" t="s">
        <v>167</v>
      </c>
      <c r="D51" s="62" t="s">
        <v>168</v>
      </c>
      <c r="E51" s="83">
        <v>1100762</v>
      </c>
      <c r="F51" s="83">
        <f t="shared" ref="F51:F64" si="24">ROUND(E51,0)</f>
        <v>1100762</v>
      </c>
      <c r="G51" s="82">
        <f t="shared" si="2"/>
        <v>0</v>
      </c>
      <c r="H51" s="84"/>
      <c r="I51" s="82">
        <f t="shared" ref="I51:I58" si="25">ROUND(F51,0)</f>
        <v>1100762</v>
      </c>
      <c r="J51" s="82">
        <f t="shared" si="3"/>
        <v>0</v>
      </c>
      <c r="K51" s="85"/>
      <c r="L51" s="82">
        <f t="shared" ref="L51:L58" si="26">ROUND(I51,0)</f>
        <v>1100762</v>
      </c>
      <c r="M51" s="82">
        <f t="shared" si="4"/>
        <v>0</v>
      </c>
      <c r="N51" s="85"/>
      <c r="O51" s="82">
        <f t="shared" ref="O51:O58" si="27">ROUND(L51,0)</f>
        <v>1100762</v>
      </c>
      <c r="P51" s="82">
        <f t="shared" si="5"/>
        <v>0</v>
      </c>
      <c r="Q51" s="85"/>
      <c r="R51" s="82">
        <f t="shared" ref="R51:R58" si="28">ROUND(O51,0)</f>
        <v>1100762</v>
      </c>
      <c r="S51" s="82">
        <f t="shared" si="6"/>
        <v>0</v>
      </c>
      <c r="T51" s="85"/>
      <c r="U51" s="82">
        <f>ROUND(R51,0)-15145+33858-18775-2065-5439-13078</f>
        <v>1080118</v>
      </c>
      <c r="V51" s="82">
        <f t="shared" si="7"/>
        <v>-20644</v>
      </c>
      <c r="W51" s="85"/>
      <c r="X51" s="82">
        <f t="shared" ref="X51:X58" si="29">ROUND(U51,0)</f>
        <v>1080118</v>
      </c>
      <c r="Y51" s="82">
        <f t="shared" si="8"/>
        <v>0</v>
      </c>
      <c r="Z51" s="85"/>
      <c r="AA51" s="82">
        <f t="shared" ref="AA51:AA58" si="30">ROUND(X51,0)</f>
        <v>1080118</v>
      </c>
      <c r="AB51" s="82">
        <f t="shared" si="9"/>
        <v>0</v>
      </c>
      <c r="AC51" s="85"/>
    </row>
    <row r="52" spans="1:29" s="86" customFormat="1" x14ac:dyDescent="0.25">
      <c r="A52" s="1" t="s">
        <v>140</v>
      </c>
      <c r="B52" s="58" t="s">
        <v>169</v>
      </c>
      <c r="C52" s="61" t="s">
        <v>170</v>
      </c>
      <c r="D52" s="62" t="s">
        <v>171</v>
      </c>
      <c r="E52" s="83">
        <v>5092428</v>
      </c>
      <c r="F52" s="83">
        <f>ROUND(E52,0)+17418</f>
        <v>5109846</v>
      </c>
      <c r="G52" s="82">
        <f t="shared" si="2"/>
        <v>17418</v>
      </c>
      <c r="H52" s="87" t="s">
        <v>144</v>
      </c>
      <c r="I52" s="82">
        <f t="shared" si="25"/>
        <v>5109846</v>
      </c>
      <c r="J52" s="82">
        <f t="shared" si="3"/>
        <v>0</v>
      </c>
      <c r="K52" s="85"/>
      <c r="L52" s="82">
        <f t="shared" si="26"/>
        <v>5109846</v>
      </c>
      <c r="M52" s="82">
        <f t="shared" si="4"/>
        <v>0</v>
      </c>
      <c r="N52" s="85"/>
      <c r="O52" s="82">
        <f t="shared" si="27"/>
        <v>5109846</v>
      </c>
      <c r="P52" s="82">
        <f t="shared" si="5"/>
        <v>0</v>
      </c>
      <c r="Q52" s="85"/>
      <c r="R52" s="82">
        <f t="shared" si="28"/>
        <v>5109846</v>
      </c>
      <c r="S52" s="82">
        <f t="shared" si="6"/>
        <v>0</v>
      </c>
      <c r="T52" s="85"/>
      <c r="U52" s="82">
        <f>ROUND(R52,0)+(14311-2258)+85381</f>
        <v>5207280</v>
      </c>
      <c r="V52" s="82">
        <f t="shared" si="7"/>
        <v>97434</v>
      </c>
      <c r="W52" s="85"/>
      <c r="X52" s="82">
        <f t="shared" si="29"/>
        <v>5207280</v>
      </c>
      <c r="Y52" s="82">
        <f t="shared" si="8"/>
        <v>0</v>
      </c>
      <c r="Z52" s="85"/>
      <c r="AA52" s="82">
        <f t="shared" si="30"/>
        <v>5207280</v>
      </c>
      <c r="AB52" s="82">
        <f t="shared" si="9"/>
        <v>0</v>
      </c>
      <c r="AC52" s="85"/>
    </row>
    <row r="53" spans="1:29" s="86" customFormat="1" x14ac:dyDescent="0.25">
      <c r="A53" s="1" t="s">
        <v>140</v>
      </c>
      <c r="B53" s="1"/>
      <c r="C53" s="61" t="s">
        <v>172</v>
      </c>
      <c r="D53" s="62" t="s">
        <v>173</v>
      </c>
      <c r="E53" s="83">
        <v>317364</v>
      </c>
      <c r="F53" s="83">
        <f>ROUND(E53,0)-44403+110614+52004</f>
        <v>435579</v>
      </c>
      <c r="G53" s="88">
        <f t="shared" si="2"/>
        <v>118215</v>
      </c>
      <c r="H53" s="87" t="s">
        <v>144</v>
      </c>
      <c r="I53" s="82">
        <f t="shared" si="25"/>
        <v>435579</v>
      </c>
      <c r="J53" s="88">
        <f t="shared" si="3"/>
        <v>0</v>
      </c>
      <c r="K53" s="89"/>
      <c r="L53" s="82">
        <f t="shared" si="26"/>
        <v>435579</v>
      </c>
      <c r="M53" s="88">
        <f t="shared" si="4"/>
        <v>0</v>
      </c>
      <c r="N53" s="89"/>
      <c r="O53" s="82">
        <f t="shared" si="27"/>
        <v>435579</v>
      </c>
      <c r="P53" s="88">
        <f t="shared" si="5"/>
        <v>0</v>
      </c>
      <c r="Q53" s="89"/>
      <c r="R53" s="82">
        <f t="shared" si="28"/>
        <v>435579</v>
      </c>
      <c r="S53" s="88">
        <f t="shared" si="6"/>
        <v>0</v>
      </c>
      <c r="T53" s="89"/>
      <c r="U53" s="82">
        <f>ROUND(R53,0)-4668-2660+30088-18363</f>
        <v>439976</v>
      </c>
      <c r="V53" s="88">
        <f t="shared" si="7"/>
        <v>4397</v>
      </c>
      <c r="W53" s="89"/>
      <c r="X53" s="82">
        <f t="shared" si="29"/>
        <v>439976</v>
      </c>
      <c r="Y53" s="82">
        <f t="shared" si="8"/>
        <v>0</v>
      </c>
      <c r="Z53" s="85"/>
      <c r="AA53" s="82">
        <f t="shared" si="30"/>
        <v>439976</v>
      </c>
      <c r="AB53" s="82">
        <f t="shared" si="9"/>
        <v>0</v>
      </c>
      <c r="AC53" s="85"/>
    </row>
    <row r="54" spans="1:29" ht="31.5" customHeight="1" x14ac:dyDescent="0.25">
      <c r="A54" s="1" t="s">
        <v>140</v>
      </c>
      <c r="B54" s="1" t="s">
        <v>174</v>
      </c>
      <c r="C54" s="61" t="s">
        <v>175</v>
      </c>
      <c r="D54" s="40" t="s">
        <v>176</v>
      </c>
      <c r="E54" s="42">
        <v>13088</v>
      </c>
      <c r="F54" s="42">
        <f t="shared" si="24"/>
        <v>13088</v>
      </c>
      <c r="G54" s="41">
        <f t="shared" si="2"/>
        <v>0</v>
      </c>
      <c r="H54" s="53"/>
      <c r="I54" s="41">
        <f t="shared" si="25"/>
        <v>13088</v>
      </c>
      <c r="J54" s="41">
        <f t="shared" si="3"/>
        <v>0</v>
      </c>
      <c r="K54" s="54"/>
      <c r="L54" s="41">
        <f t="shared" si="26"/>
        <v>13088</v>
      </c>
      <c r="M54" s="41">
        <f t="shared" si="4"/>
        <v>0</v>
      </c>
      <c r="N54" s="54"/>
      <c r="O54" s="41">
        <f t="shared" si="27"/>
        <v>13088</v>
      </c>
      <c r="P54" s="41">
        <f t="shared" si="5"/>
        <v>0</v>
      </c>
      <c r="Q54" s="54"/>
      <c r="R54" s="41">
        <f t="shared" si="28"/>
        <v>13088</v>
      </c>
      <c r="S54" s="41">
        <f t="shared" si="6"/>
        <v>0</v>
      </c>
      <c r="T54" s="54"/>
      <c r="U54" s="41">
        <f>ROUND(R54,0)+7079+7679</f>
        <v>27846</v>
      </c>
      <c r="V54" s="41">
        <f t="shared" si="7"/>
        <v>14758</v>
      </c>
      <c r="W54" s="44" t="s">
        <v>177</v>
      </c>
      <c r="X54" s="41">
        <f t="shared" si="29"/>
        <v>27846</v>
      </c>
      <c r="Y54" s="41">
        <f t="shared" si="8"/>
        <v>0</v>
      </c>
      <c r="Z54" s="44"/>
      <c r="AA54" s="41">
        <f t="shared" si="30"/>
        <v>27846</v>
      </c>
      <c r="AB54" s="41">
        <f t="shared" si="9"/>
        <v>0</v>
      </c>
      <c r="AC54" s="44"/>
    </row>
    <row r="55" spans="1:29" ht="19.149999999999999" customHeight="1" x14ac:dyDescent="0.25">
      <c r="A55" s="1" t="s">
        <v>140</v>
      </c>
      <c r="B55" s="58" t="s">
        <v>178</v>
      </c>
      <c r="C55" s="61" t="s">
        <v>179</v>
      </c>
      <c r="D55" s="40" t="s">
        <v>180</v>
      </c>
      <c r="E55" s="42">
        <v>14485</v>
      </c>
      <c r="F55" s="42">
        <f>ROUND(E55,0)</f>
        <v>14485</v>
      </c>
      <c r="G55" s="41">
        <f t="shared" si="2"/>
        <v>0</v>
      </c>
      <c r="H55" s="43"/>
      <c r="I55" s="41">
        <f>ROUND(F55,0)+26175</f>
        <v>40660</v>
      </c>
      <c r="J55" s="41">
        <f t="shared" si="3"/>
        <v>26175</v>
      </c>
      <c r="K55" s="44" t="s">
        <v>181</v>
      </c>
      <c r="L55" s="41">
        <f t="shared" si="26"/>
        <v>40660</v>
      </c>
      <c r="M55" s="41">
        <f t="shared" si="4"/>
        <v>0</v>
      </c>
      <c r="N55" s="44"/>
      <c r="O55" s="41">
        <f t="shared" si="27"/>
        <v>40660</v>
      </c>
      <c r="P55" s="41">
        <f t="shared" si="5"/>
        <v>0</v>
      </c>
      <c r="Q55" s="44"/>
      <c r="R55" s="41">
        <f t="shared" si="28"/>
        <v>40660</v>
      </c>
      <c r="S55" s="41">
        <f t="shared" si="6"/>
        <v>0</v>
      </c>
      <c r="T55" s="44"/>
      <c r="U55" s="41">
        <f>ROUND(R55,0)</f>
        <v>40660</v>
      </c>
      <c r="V55" s="41">
        <f t="shared" si="7"/>
        <v>0</v>
      </c>
      <c r="W55" s="44"/>
      <c r="X55" s="41">
        <f t="shared" si="29"/>
        <v>40660</v>
      </c>
      <c r="Y55" s="41">
        <f t="shared" si="8"/>
        <v>0</v>
      </c>
      <c r="Z55" s="44"/>
      <c r="AA55" s="41">
        <f t="shared" si="30"/>
        <v>40660</v>
      </c>
      <c r="AB55" s="41">
        <f t="shared" si="9"/>
        <v>0</v>
      </c>
      <c r="AC55" s="44"/>
    </row>
    <row r="56" spans="1:29" ht="19.149999999999999" customHeight="1" x14ac:dyDescent="0.25">
      <c r="B56" s="58"/>
      <c r="C56" s="61" t="s">
        <v>182</v>
      </c>
      <c r="D56" s="40" t="s">
        <v>183</v>
      </c>
      <c r="E56" s="42">
        <v>3668</v>
      </c>
      <c r="F56" s="42">
        <f>ROUND(E56,0)</f>
        <v>3668</v>
      </c>
      <c r="G56" s="41">
        <f t="shared" si="2"/>
        <v>0</v>
      </c>
      <c r="H56" s="43"/>
      <c r="I56" s="41">
        <f>ROUND(F56,0)+7552</f>
        <v>11220</v>
      </c>
      <c r="J56" s="41">
        <f t="shared" si="3"/>
        <v>7552</v>
      </c>
      <c r="K56" s="44" t="s">
        <v>181</v>
      </c>
      <c r="L56" s="41">
        <f t="shared" si="26"/>
        <v>11220</v>
      </c>
      <c r="M56" s="41">
        <f t="shared" si="4"/>
        <v>0</v>
      </c>
      <c r="N56" s="44"/>
      <c r="O56" s="41">
        <f t="shared" si="27"/>
        <v>11220</v>
      </c>
      <c r="P56" s="41">
        <f t="shared" si="5"/>
        <v>0</v>
      </c>
      <c r="Q56" s="44"/>
      <c r="R56" s="41">
        <f t="shared" si="28"/>
        <v>11220</v>
      </c>
      <c r="S56" s="41">
        <f t="shared" si="6"/>
        <v>0</v>
      </c>
      <c r="T56" s="44"/>
      <c r="U56" s="41">
        <f>ROUND(R56,0)</f>
        <v>11220</v>
      </c>
      <c r="V56" s="41">
        <f t="shared" si="7"/>
        <v>0</v>
      </c>
      <c r="W56" s="44"/>
      <c r="X56" s="41">
        <f t="shared" si="29"/>
        <v>11220</v>
      </c>
      <c r="Y56" s="41">
        <f t="shared" si="8"/>
        <v>0</v>
      </c>
      <c r="Z56" s="44"/>
      <c r="AA56" s="41">
        <f t="shared" si="30"/>
        <v>11220</v>
      </c>
      <c r="AB56" s="41">
        <f t="shared" si="9"/>
        <v>0</v>
      </c>
      <c r="AC56" s="44"/>
    </row>
    <row r="57" spans="1:29" ht="30.6" customHeight="1" x14ac:dyDescent="0.25">
      <c r="B57" s="1" t="s">
        <v>184</v>
      </c>
      <c r="C57" s="61" t="s">
        <v>185</v>
      </c>
      <c r="D57" s="40" t="s">
        <v>186</v>
      </c>
      <c r="E57" s="42">
        <v>501000</v>
      </c>
      <c r="F57" s="42">
        <f t="shared" si="24"/>
        <v>501000</v>
      </c>
      <c r="G57" s="41">
        <f t="shared" si="2"/>
        <v>0</v>
      </c>
      <c r="H57" s="68"/>
      <c r="I57" s="41">
        <f t="shared" si="25"/>
        <v>501000</v>
      </c>
      <c r="J57" s="41">
        <f t="shared" si="3"/>
        <v>0</v>
      </c>
      <c r="K57" s="45"/>
      <c r="L57" s="41">
        <f t="shared" si="26"/>
        <v>501000</v>
      </c>
      <c r="M57" s="41">
        <f t="shared" si="4"/>
        <v>0</v>
      </c>
      <c r="N57" s="45"/>
      <c r="O57" s="41">
        <f t="shared" si="27"/>
        <v>501000</v>
      </c>
      <c r="P57" s="41">
        <f t="shared" si="5"/>
        <v>0</v>
      </c>
      <c r="Q57" s="45"/>
      <c r="R57" s="41">
        <f t="shared" si="28"/>
        <v>501000</v>
      </c>
      <c r="S57" s="41">
        <f t="shared" si="6"/>
        <v>0</v>
      </c>
      <c r="T57" s="45"/>
      <c r="U57" s="41">
        <f>ROUND(R57,0)</f>
        <v>501000</v>
      </c>
      <c r="V57" s="41">
        <f t="shared" si="7"/>
        <v>0</v>
      </c>
      <c r="W57" s="45"/>
      <c r="X57" s="41">
        <f t="shared" si="29"/>
        <v>501000</v>
      </c>
      <c r="Y57" s="41">
        <f t="shared" si="8"/>
        <v>0</v>
      </c>
      <c r="Z57" s="45"/>
      <c r="AA57" s="41">
        <f t="shared" si="30"/>
        <v>501000</v>
      </c>
      <c r="AB57" s="41">
        <f t="shared" si="9"/>
        <v>0</v>
      </c>
      <c r="AC57" s="45"/>
    </row>
    <row r="58" spans="1:29" ht="31.5" customHeight="1" x14ac:dyDescent="0.25">
      <c r="C58" s="61" t="s">
        <v>187</v>
      </c>
      <c r="D58" s="40" t="s">
        <v>188</v>
      </c>
      <c r="E58" s="42">
        <v>0</v>
      </c>
      <c r="F58" s="42">
        <f t="shared" si="24"/>
        <v>0</v>
      </c>
      <c r="G58" s="41">
        <f t="shared" si="2"/>
        <v>0</v>
      </c>
      <c r="H58" s="43"/>
      <c r="I58" s="41">
        <f t="shared" si="25"/>
        <v>0</v>
      </c>
      <c r="J58" s="41">
        <f t="shared" si="3"/>
        <v>0</v>
      </c>
      <c r="K58" s="44"/>
      <c r="L58" s="41">
        <f t="shared" si="26"/>
        <v>0</v>
      </c>
      <c r="M58" s="41">
        <f t="shared" si="4"/>
        <v>0</v>
      </c>
      <c r="N58" s="44"/>
      <c r="O58" s="41">
        <f t="shared" si="27"/>
        <v>0</v>
      </c>
      <c r="P58" s="41">
        <f t="shared" si="5"/>
        <v>0</v>
      </c>
      <c r="Q58" s="44"/>
      <c r="R58" s="41">
        <f t="shared" si="28"/>
        <v>0</v>
      </c>
      <c r="S58" s="41">
        <f t="shared" si="6"/>
        <v>0</v>
      </c>
      <c r="T58" s="44"/>
      <c r="U58" s="41">
        <f>ROUND(R58,0)</f>
        <v>0</v>
      </c>
      <c r="V58" s="41">
        <f t="shared" si="7"/>
        <v>0</v>
      </c>
      <c r="W58" s="44"/>
      <c r="X58" s="41">
        <f t="shared" si="29"/>
        <v>0</v>
      </c>
      <c r="Y58" s="41">
        <f t="shared" si="8"/>
        <v>0</v>
      </c>
      <c r="Z58" s="44"/>
      <c r="AA58" s="41">
        <f t="shared" si="30"/>
        <v>0</v>
      </c>
      <c r="AB58" s="41">
        <f t="shared" si="9"/>
        <v>0</v>
      </c>
      <c r="AC58" s="44"/>
    </row>
    <row r="59" spans="1:29" ht="31.5" customHeight="1" x14ac:dyDescent="0.25">
      <c r="C59" s="61"/>
      <c r="D59" s="40" t="s">
        <v>189</v>
      </c>
      <c r="E59" s="42">
        <v>0</v>
      </c>
      <c r="F59" s="42"/>
      <c r="G59" s="41">
        <f t="shared" si="2"/>
        <v>0</v>
      </c>
      <c r="H59" s="43"/>
      <c r="I59" s="41"/>
      <c r="J59" s="41">
        <f t="shared" si="3"/>
        <v>0</v>
      </c>
      <c r="K59" s="44"/>
      <c r="L59" s="41"/>
      <c r="M59" s="41">
        <f t="shared" si="4"/>
        <v>0</v>
      </c>
      <c r="N59" s="44"/>
      <c r="O59" s="41"/>
      <c r="P59" s="41">
        <f t="shared" si="5"/>
        <v>0</v>
      </c>
      <c r="Q59" s="44"/>
      <c r="R59" s="41"/>
      <c r="S59" s="41">
        <f t="shared" si="6"/>
        <v>0</v>
      </c>
      <c r="T59" s="44"/>
      <c r="U59" s="41"/>
      <c r="V59" s="41">
        <f t="shared" si="7"/>
        <v>0</v>
      </c>
      <c r="W59" s="44"/>
      <c r="X59" s="41"/>
      <c r="Y59" s="41">
        <f t="shared" si="8"/>
        <v>0</v>
      </c>
      <c r="Z59" s="44"/>
      <c r="AA59" s="41"/>
      <c r="AB59" s="41">
        <f t="shared" si="9"/>
        <v>0</v>
      </c>
      <c r="AC59" s="44"/>
    </row>
    <row r="60" spans="1:29" ht="28.15" customHeight="1" x14ac:dyDescent="0.25">
      <c r="B60" s="90" t="s">
        <v>190</v>
      </c>
      <c r="C60" s="61" t="s">
        <v>191</v>
      </c>
      <c r="D60" s="91" t="s">
        <v>192</v>
      </c>
      <c r="E60" s="42">
        <v>342263</v>
      </c>
      <c r="F60" s="42">
        <f>ROUND(E60,0)+59292+1248</f>
        <v>402803</v>
      </c>
      <c r="G60" s="41">
        <f t="shared" si="2"/>
        <v>60540</v>
      </c>
      <c r="H60" s="45" t="s">
        <v>193</v>
      </c>
      <c r="I60" s="41">
        <f>ROUND(F60,0)+3966</f>
        <v>406769</v>
      </c>
      <c r="J60" s="41">
        <f t="shared" si="3"/>
        <v>3966</v>
      </c>
      <c r="K60" s="44" t="s">
        <v>194</v>
      </c>
      <c r="L60" s="41">
        <f>ROUND(I60,0)</f>
        <v>406769</v>
      </c>
      <c r="M60" s="41">
        <f t="shared" si="4"/>
        <v>0</v>
      </c>
      <c r="N60" s="44"/>
      <c r="O60" s="41">
        <f t="shared" ref="O60:O65" si="31">ROUND(L60,0)</f>
        <v>406769</v>
      </c>
      <c r="P60" s="41">
        <f t="shared" si="5"/>
        <v>0</v>
      </c>
      <c r="Q60" s="44"/>
      <c r="R60" s="41">
        <f t="shared" ref="R60:R65" si="32">ROUND(O60,0)</f>
        <v>406769</v>
      </c>
      <c r="S60" s="41">
        <f t="shared" si="6"/>
        <v>0</v>
      </c>
      <c r="T60" s="44"/>
      <c r="U60" s="41">
        <f t="shared" ref="U60:U64" si="33">ROUND(R60,0)</f>
        <v>406769</v>
      </c>
      <c r="V60" s="41">
        <f t="shared" si="7"/>
        <v>0</v>
      </c>
      <c r="W60" s="44"/>
      <c r="X60" s="41">
        <f t="shared" ref="X60:X61" si="34">ROUND(U60,0)</f>
        <v>406769</v>
      </c>
      <c r="Y60" s="41">
        <f t="shared" si="8"/>
        <v>0</v>
      </c>
      <c r="Z60" s="44"/>
      <c r="AA60" s="41">
        <f t="shared" ref="AA60:AA61" si="35">ROUND(X60,0)</f>
        <v>406769</v>
      </c>
      <c r="AB60" s="41">
        <f t="shared" si="9"/>
        <v>0</v>
      </c>
      <c r="AC60" s="44"/>
    </row>
    <row r="61" spans="1:29" ht="58.9" customHeight="1" x14ac:dyDescent="0.25">
      <c r="C61" s="61"/>
      <c r="D61" s="40" t="s">
        <v>195</v>
      </c>
      <c r="E61" s="42">
        <v>0</v>
      </c>
      <c r="F61" s="42">
        <f t="shared" si="24"/>
        <v>0</v>
      </c>
      <c r="G61" s="41">
        <f t="shared" si="2"/>
        <v>0</v>
      </c>
      <c r="H61" s="68"/>
      <c r="I61" s="41">
        <f>ROUND(F61,0)</f>
        <v>0</v>
      </c>
      <c r="J61" s="41">
        <f t="shared" si="3"/>
        <v>0</v>
      </c>
      <c r="K61" s="45"/>
      <c r="L61" s="41">
        <f>ROUND(I61,0)</f>
        <v>0</v>
      </c>
      <c r="M61" s="41">
        <f t="shared" si="4"/>
        <v>0</v>
      </c>
      <c r="N61" s="45"/>
      <c r="O61" s="41">
        <f t="shared" si="31"/>
        <v>0</v>
      </c>
      <c r="P61" s="41">
        <f t="shared" si="5"/>
        <v>0</v>
      </c>
      <c r="Q61" s="45"/>
      <c r="R61" s="41">
        <f t="shared" si="32"/>
        <v>0</v>
      </c>
      <c r="S61" s="41">
        <f t="shared" si="6"/>
        <v>0</v>
      </c>
      <c r="T61" s="45"/>
      <c r="U61" s="41">
        <f t="shared" si="33"/>
        <v>0</v>
      </c>
      <c r="V61" s="41">
        <f t="shared" si="7"/>
        <v>0</v>
      </c>
      <c r="W61" s="45"/>
      <c r="X61" s="41">
        <f t="shared" si="34"/>
        <v>0</v>
      </c>
      <c r="Y61" s="41">
        <f t="shared" si="8"/>
        <v>0</v>
      </c>
      <c r="Z61" s="45"/>
      <c r="AA61" s="41">
        <f t="shared" si="35"/>
        <v>0</v>
      </c>
      <c r="AB61" s="41">
        <f t="shared" si="9"/>
        <v>0</v>
      </c>
      <c r="AC61" s="45"/>
    </row>
    <row r="62" spans="1:29" ht="33.75" customHeight="1" x14ac:dyDescent="0.25">
      <c r="C62" s="61" t="s">
        <v>196</v>
      </c>
      <c r="D62" s="40" t="s">
        <v>197</v>
      </c>
      <c r="E62" s="42">
        <v>50000</v>
      </c>
      <c r="F62" s="42">
        <f t="shared" si="24"/>
        <v>50000</v>
      </c>
      <c r="G62" s="41">
        <f t="shared" si="2"/>
        <v>0</v>
      </c>
      <c r="H62" s="68"/>
      <c r="I62" s="41">
        <f>ROUND(F62,0)</f>
        <v>50000</v>
      </c>
      <c r="J62" s="41">
        <f t="shared" si="3"/>
        <v>0</v>
      </c>
      <c r="K62" s="45"/>
      <c r="L62" s="41">
        <f>ROUND(I62,0)</f>
        <v>50000</v>
      </c>
      <c r="M62" s="41">
        <f t="shared" si="4"/>
        <v>0</v>
      </c>
      <c r="N62" s="45"/>
      <c r="O62" s="41">
        <f t="shared" si="31"/>
        <v>50000</v>
      </c>
      <c r="P62" s="41">
        <f t="shared" si="5"/>
        <v>0</v>
      </c>
      <c r="Q62" s="45"/>
      <c r="R62" s="41">
        <f t="shared" si="32"/>
        <v>50000</v>
      </c>
      <c r="S62" s="41">
        <f t="shared" si="6"/>
        <v>0</v>
      </c>
      <c r="T62" s="45"/>
      <c r="U62" s="41">
        <f>ROUND(R62,0)+20000</f>
        <v>70000</v>
      </c>
      <c r="V62" s="41">
        <f t="shared" si="7"/>
        <v>20000</v>
      </c>
      <c r="W62" s="45" t="s">
        <v>198</v>
      </c>
      <c r="X62" s="41">
        <f>ROUND(U62,0)</f>
        <v>70000</v>
      </c>
      <c r="Y62" s="41">
        <f t="shared" si="8"/>
        <v>0</v>
      </c>
      <c r="Z62" s="45"/>
      <c r="AA62" s="41">
        <f>ROUND(X62,0)</f>
        <v>70000</v>
      </c>
      <c r="AB62" s="41">
        <f t="shared" si="9"/>
        <v>0</v>
      </c>
      <c r="AC62" s="45"/>
    </row>
    <row r="63" spans="1:29" ht="17.45" customHeight="1" x14ac:dyDescent="0.25">
      <c r="B63" s="1" t="s">
        <v>163</v>
      </c>
      <c r="C63" s="61" t="s">
        <v>199</v>
      </c>
      <c r="D63" s="40" t="s">
        <v>200</v>
      </c>
      <c r="E63" s="42">
        <v>200000</v>
      </c>
      <c r="F63" s="42">
        <f t="shared" si="24"/>
        <v>200000</v>
      </c>
      <c r="G63" s="41">
        <f t="shared" si="2"/>
        <v>0</v>
      </c>
      <c r="H63" s="68"/>
      <c r="I63" s="41">
        <f>ROUND(F63,0)</f>
        <v>200000</v>
      </c>
      <c r="J63" s="41">
        <f t="shared" si="3"/>
        <v>0</v>
      </c>
      <c r="K63" s="45"/>
      <c r="L63" s="41">
        <f>ROUND(I63,0)</f>
        <v>200000</v>
      </c>
      <c r="M63" s="41">
        <f t="shared" si="4"/>
        <v>0</v>
      </c>
      <c r="N63" s="45"/>
      <c r="O63" s="41">
        <f t="shared" si="31"/>
        <v>200000</v>
      </c>
      <c r="P63" s="41">
        <f t="shared" si="5"/>
        <v>0</v>
      </c>
      <c r="Q63" s="45"/>
      <c r="R63" s="41">
        <f t="shared" si="32"/>
        <v>200000</v>
      </c>
      <c r="S63" s="41">
        <f t="shared" si="6"/>
        <v>0</v>
      </c>
      <c r="T63" s="45"/>
      <c r="U63" s="41">
        <f t="shared" si="33"/>
        <v>200000</v>
      </c>
      <c r="V63" s="41">
        <f t="shared" si="7"/>
        <v>0</v>
      </c>
      <c r="W63" s="45"/>
      <c r="X63" s="41">
        <f t="shared" ref="X63:X64" si="36">ROUND(U63,0)</f>
        <v>200000</v>
      </c>
      <c r="Y63" s="41">
        <f t="shared" si="8"/>
        <v>0</v>
      </c>
      <c r="Z63" s="45"/>
      <c r="AA63" s="41">
        <f t="shared" ref="AA63:AA64" si="37">ROUND(X63,0)</f>
        <v>200000</v>
      </c>
      <c r="AB63" s="41">
        <f t="shared" si="9"/>
        <v>0</v>
      </c>
      <c r="AC63" s="45"/>
    </row>
    <row r="64" spans="1:29" x14ac:dyDescent="0.25">
      <c r="A64" s="1" t="s">
        <v>140</v>
      </c>
      <c r="B64" s="58" t="s">
        <v>201</v>
      </c>
      <c r="C64" s="61" t="s">
        <v>202</v>
      </c>
      <c r="D64" s="93" t="s">
        <v>203</v>
      </c>
      <c r="E64" s="42">
        <v>0</v>
      </c>
      <c r="F64" s="42">
        <f t="shared" si="24"/>
        <v>0</v>
      </c>
      <c r="G64" s="41">
        <f>F64-E64</f>
        <v>0</v>
      </c>
      <c r="H64" s="94"/>
      <c r="I64" s="41">
        <f>ROUND(F64,0)</f>
        <v>0</v>
      </c>
      <c r="J64" s="41">
        <f>I64-F64</f>
        <v>0</v>
      </c>
      <c r="K64" s="95"/>
      <c r="L64" s="41">
        <f>ROUND(I64,0)</f>
        <v>0</v>
      </c>
      <c r="M64" s="41">
        <f>L64-I64</f>
        <v>0</v>
      </c>
      <c r="N64" s="95"/>
      <c r="O64" s="41">
        <f t="shared" si="31"/>
        <v>0</v>
      </c>
      <c r="P64" s="41">
        <f>O64-L64</f>
        <v>0</v>
      </c>
      <c r="Q64" s="95"/>
      <c r="R64" s="41">
        <f t="shared" si="32"/>
        <v>0</v>
      </c>
      <c r="S64" s="41">
        <f>R64-O64</f>
        <v>0</v>
      </c>
      <c r="T64" s="95"/>
      <c r="U64" s="41">
        <f t="shared" si="33"/>
        <v>0</v>
      </c>
      <c r="V64" s="41">
        <f>U64-R64</f>
        <v>0</v>
      </c>
      <c r="W64" s="95"/>
      <c r="X64" s="41">
        <f t="shared" si="36"/>
        <v>0</v>
      </c>
      <c r="Y64" s="41">
        <f>X64-U64</f>
        <v>0</v>
      </c>
      <c r="Z64" s="95"/>
      <c r="AA64" s="41">
        <f t="shared" si="37"/>
        <v>0</v>
      </c>
      <c r="AB64" s="41">
        <f>AA64-X64</f>
        <v>0</v>
      </c>
      <c r="AC64" s="95"/>
    </row>
    <row r="65" spans="1:29" ht="26.45" customHeight="1" x14ac:dyDescent="0.25">
      <c r="A65" s="90" t="s">
        <v>204</v>
      </c>
      <c r="B65" s="1" t="s">
        <v>205</v>
      </c>
      <c r="C65" s="61" t="s">
        <v>206</v>
      </c>
      <c r="D65" s="40" t="s">
        <v>207</v>
      </c>
      <c r="E65" s="42">
        <v>143640</v>
      </c>
      <c r="F65" s="42">
        <f>ROUND(E65,0)+8232</f>
        <v>151872</v>
      </c>
      <c r="G65" s="41">
        <f t="shared" si="2"/>
        <v>8232</v>
      </c>
      <c r="H65" s="96" t="s">
        <v>208</v>
      </c>
      <c r="I65" s="41">
        <f>ROUND(F65,0)</f>
        <v>151872</v>
      </c>
      <c r="J65" s="41">
        <f t="shared" si="3"/>
        <v>0</v>
      </c>
      <c r="K65" s="45"/>
      <c r="L65" s="41">
        <f>ROUND(I65,0)+50781</f>
        <v>202653</v>
      </c>
      <c r="M65" s="41">
        <f t="shared" si="4"/>
        <v>50781</v>
      </c>
      <c r="N65" s="45" t="s">
        <v>209</v>
      </c>
      <c r="O65" s="41">
        <f t="shared" si="31"/>
        <v>202653</v>
      </c>
      <c r="P65" s="41">
        <f t="shared" si="5"/>
        <v>0</v>
      </c>
      <c r="Q65" s="45"/>
      <c r="R65" s="41">
        <f t="shared" si="32"/>
        <v>202653</v>
      </c>
      <c r="S65" s="41">
        <f t="shared" ref="S65:S124" si="38">R65-O65</f>
        <v>0</v>
      </c>
      <c r="T65" s="45"/>
      <c r="U65" s="41">
        <f>ROUND(R65,0)+1198</f>
        <v>203851</v>
      </c>
      <c r="V65" s="41">
        <f t="shared" ref="V65:V124" si="39">U65-R65</f>
        <v>1198</v>
      </c>
      <c r="W65" s="45" t="s">
        <v>210</v>
      </c>
      <c r="X65" s="41">
        <f>ROUND(U65,0)</f>
        <v>203851</v>
      </c>
      <c r="Y65" s="41">
        <f t="shared" ref="Y65:Y124" si="40">X65-U65</f>
        <v>0</v>
      </c>
      <c r="Z65" s="45"/>
      <c r="AA65" s="41">
        <f>ROUND(X65,0)</f>
        <v>203851</v>
      </c>
      <c r="AB65" s="41">
        <f t="shared" ref="AB65:AB124" si="41">AA65-X65</f>
        <v>0</v>
      </c>
      <c r="AC65" s="45"/>
    </row>
    <row r="66" spans="1:29" ht="25.9" customHeight="1" x14ac:dyDescent="0.25">
      <c r="C66" s="71" t="s">
        <v>211</v>
      </c>
      <c r="D66" s="72" t="s">
        <v>212</v>
      </c>
      <c r="E66" s="97">
        <v>1159816</v>
      </c>
      <c r="F66" s="97">
        <f t="shared" ref="F66" si="42">SUM(F67:F86)</f>
        <v>1271081</v>
      </c>
      <c r="G66" s="73">
        <f t="shared" si="2"/>
        <v>111265</v>
      </c>
      <c r="H66" s="98"/>
      <c r="I66" s="73">
        <f>SUM(I67:I86)</f>
        <v>1246934</v>
      </c>
      <c r="J66" s="73">
        <f t="shared" si="3"/>
        <v>-24147</v>
      </c>
      <c r="K66" s="99"/>
      <c r="L66" s="73">
        <f>SUM(L67:L86)</f>
        <v>1246934</v>
      </c>
      <c r="M66" s="73">
        <f t="shared" si="4"/>
        <v>0</v>
      </c>
      <c r="N66" s="99"/>
      <c r="O66" s="73">
        <f>SUM(O67:O86)</f>
        <v>1246934</v>
      </c>
      <c r="P66" s="73">
        <f t="shared" si="5"/>
        <v>0</v>
      </c>
      <c r="Q66" s="99"/>
      <c r="R66" s="73">
        <f>SUM(R67:R86)</f>
        <v>1305632</v>
      </c>
      <c r="S66" s="73">
        <f t="shared" si="38"/>
        <v>58698</v>
      </c>
      <c r="T66" s="99"/>
      <c r="U66" s="73">
        <f>SUM(U67:U86)</f>
        <v>1305632</v>
      </c>
      <c r="V66" s="73">
        <f t="shared" si="39"/>
        <v>0</v>
      </c>
      <c r="W66" s="99"/>
      <c r="X66" s="73">
        <f>SUM(X67:X86)</f>
        <v>1305632</v>
      </c>
      <c r="Y66" s="73">
        <f t="shared" si="40"/>
        <v>0</v>
      </c>
      <c r="Z66" s="99"/>
      <c r="AA66" s="73">
        <f>SUM(AA67:AA86)</f>
        <v>1405720</v>
      </c>
      <c r="AB66" s="73">
        <f t="shared" si="41"/>
        <v>100088</v>
      </c>
      <c r="AC66" s="99"/>
    </row>
    <row r="67" spans="1:29" x14ac:dyDescent="0.25">
      <c r="A67" s="1" t="s">
        <v>213</v>
      </c>
      <c r="B67" s="1" t="s">
        <v>214</v>
      </c>
      <c r="C67" s="61" t="s">
        <v>215</v>
      </c>
      <c r="D67" s="93" t="s">
        <v>216</v>
      </c>
      <c r="E67" s="42">
        <v>0</v>
      </c>
      <c r="F67" s="42">
        <f>ROUND(E67,0)+(109839-16873)</f>
        <v>92966</v>
      </c>
      <c r="G67" s="41">
        <f t="shared" si="2"/>
        <v>92966</v>
      </c>
      <c r="H67" s="57" t="s">
        <v>217</v>
      </c>
      <c r="I67" s="41">
        <f t="shared" ref="I67:I87" si="43">ROUND(F67,0)</f>
        <v>92966</v>
      </c>
      <c r="J67" s="41">
        <f t="shared" si="3"/>
        <v>0</v>
      </c>
      <c r="K67" s="57"/>
      <c r="L67" s="41">
        <f t="shared" ref="L67:L87" si="44">ROUND(I67,0)</f>
        <v>92966</v>
      </c>
      <c r="M67" s="41">
        <f t="shared" si="4"/>
        <v>0</v>
      </c>
      <c r="N67" s="57"/>
      <c r="O67" s="41">
        <f t="shared" ref="O67:O87" si="45">ROUND(L67,0)</f>
        <v>92966</v>
      </c>
      <c r="P67" s="41">
        <f t="shared" si="5"/>
        <v>0</v>
      </c>
      <c r="Q67" s="57"/>
      <c r="R67" s="41">
        <f t="shared" ref="R67:R87" si="46">ROUND(O67,0)</f>
        <v>92966</v>
      </c>
      <c r="S67" s="41">
        <f t="shared" si="38"/>
        <v>0</v>
      </c>
      <c r="T67" s="57"/>
      <c r="U67" s="41">
        <f>ROUND(R67,0)</f>
        <v>92966</v>
      </c>
      <c r="V67" s="41">
        <f t="shared" si="39"/>
        <v>0</v>
      </c>
      <c r="W67" s="57"/>
      <c r="X67" s="41">
        <f>ROUND(U67,0)</f>
        <v>92966</v>
      </c>
      <c r="Y67" s="41">
        <f t="shared" si="40"/>
        <v>0</v>
      </c>
      <c r="Z67" s="57"/>
      <c r="AA67" s="41">
        <f>ROUND(X67,0)</f>
        <v>92966</v>
      </c>
      <c r="AB67" s="41">
        <f t="shared" si="41"/>
        <v>0</v>
      </c>
      <c r="AC67" s="57"/>
    </row>
    <row r="68" spans="1:29" ht="14.25" customHeight="1" x14ac:dyDescent="0.25">
      <c r="C68" s="61" t="s">
        <v>218</v>
      </c>
      <c r="D68" s="93" t="s">
        <v>219</v>
      </c>
      <c r="E68" s="42">
        <v>63988</v>
      </c>
      <c r="F68" s="42">
        <f t="shared" ref="F68:F87" si="47">ROUND(E68,0)</f>
        <v>63988</v>
      </c>
      <c r="G68" s="41">
        <f t="shared" si="2"/>
        <v>0</v>
      </c>
      <c r="H68" s="68"/>
      <c r="I68" s="41">
        <f t="shared" si="43"/>
        <v>63988</v>
      </c>
      <c r="J68" s="41">
        <f t="shared" si="3"/>
        <v>0</v>
      </c>
      <c r="K68" s="45"/>
      <c r="L68" s="41">
        <f t="shared" si="44"/>
        <v>63988</v>
      </c>
      <c r="M68" s="41">
        <f t="shared" si="4"/>
        <v>0</v>
      </c>
      <c r="N68" s="45"/>
      <c r="O68" s="41">
        <f t="shared" si="45"/>
        <v>63988</v>
      </c>
      <c r="P68" s="41">
        <f t="shared" si="5"/>
        <v>0</v>
      </c>
      <c r="Q68" s="45"/>
      <c r="R68" s="41">
        <f t="shared" si="46"/>
        <v>63988</v>
      </c>
      <c r="S68" s="41">
        <f t="shared" si="38"/>
        <v>0</v>
      </c>
      <c r="T68" s="45"/>
      <c r="U68" s="41">
        <f>ROUND(R68,0)</f>
        <v>63988</v>
      </c>
      <c r="V68" s="41">
        <f t="shared" si="39"/>
        <v>0</v>
      </c>
      <c r="W68" s="45"/>
      <c r="X68" s="41">
        <f>ROUND(U68,0)</f>
        <v>63988</v>
      </c>
      <c r="Y68" s="41">
        <f t="shared" si="40"/>
        <v>0</v>
      </c>
      <c r="Z68" s="45"/>
      <c r="AA68" s="41">
        <f>ROUND(X68,0)</f>
        <v>63988</v>
      </c>
      <c r="AB68" s="41">
        <f t="shared" si="41"/>
        <v>0</v>
      </c>
      <c r="AC68" s="45"/>
    </row>
    <row r="69" spans="1:29" ht="30" x14ac:dyDescent="0.25">
      <c r="B69" s="13" t="s">
        <v>220</v>
      </c>
      <c r="C69" s="61" t="s">
        <v>221</v>
      </c>
      <c r="D69" s="93" t="s">
        <v>222</v>
      </c>
      <c r="E69" s="42">
        <v>2532</v>
      </c>
      <c r="F69" s="42">
        <f t="shared" si="47"/>
        <v>2532</v>
      </c>
      <c r="G69" s="41">
        <f t="shared" si="2"/>
        <v>0</v>
      </c>
      <c r="H69" s="56"/>
      <c r="I69" s="41">
        <f t="shared" si="43"/>
        <v>2532</v>
      </c>
      <c r="J69" s="41">
        <f t="shared" si="3"/>
        <v>0</v>
      </c>
      <c r="K69" s="57"/>
      <c r="L69" s="41">
        <f t="shared" si="44"/>
        <v>2532</v>
      </c>
      <c r="M69" s="41">
        <f t="shared" si="4"/>
        <v>0</v>
      </c>
      <c r="N69" s="57"/>
      <c r="O69" s="41">
        <f t="shared" si="45"/>
        <v>2532</v>
      </c>
      <c r="P69" s="41">
        <f t="shared" si="5"/>
        <v>0</v>
      </c>
      <c r="Q69" s="57"/>
      <c r="R69" s="41">
        <f t="shared" si="46"/>
        <v>2532</v>
      </c>
      <c r="S69" s="41">
        <f t="shared" si="38"/>
        <v>0</v>
      </c>
      <c r="T69" s="57"/>
      <c r="U69" s="41">
        <f>ROUND(R69,0)</f>
        <v>2532</v>
      </c>
      <c r="V69" s="41">
        <f t="shared" si="39"/>
        <v>0</v>
      </c>
      <c r="W69" s="57"/>
      <c r="X69" s="41">
        <f>ROUND(U69,0)</f>
        <v>2532</v>
      </c>
      <c r="Y69" s="41">
        <f t="shared" si="40"/>
        <v>0</v>
      </c>
      <c r="Z69" s="57"/>
      <c r="AA69" s="41">
        <f>ROUND(X69,0)</f>
        <v>2532</v>
      </c>
      <c r="AB69" s="41">
        <f t="shared" si="41"/>
        <v>0</v>
      </c>
      <c r="AC69" s="57"/>
    </row>
    <row r="70" spans="1:29" ht="30" x14ac:dyDescent="0.25">
      <c r="B70" s="13"/>
      <c r="C70" s="61" t="s">
        <v>223</v>
      </c>
      <c r="D70" s="93" t="s">
        <v>224</v>
      </c>
      <c r="E70" s="42">
        <v>5135</v>
      </c>
      <c r="F70" s="42">
        <f t="shared" si="47"/>
        <v>5135</v>
      </c>
      <c r="G70" s="41">
        <f t="shared" si="2"/>
        <v>0</v>
      </c>
      <c r="H70" s="56"/>
      <c r="I70" s="41">
        <f t="shared" si="43"/>
        <v>5135</v>
      </c>
      <c r="J70" s="41">
        <f t="shared" si="3"/>
        <v>0</v>
      </c>
      <c r="K70" s="57"/>
      <c r="L70" s="41">
        <f t="shared" si="44"/>
        <v>5135</v>
      </c>
      <c r="M70" s="41">
        <f t="shared" si="4"/>
        <v>0</v>
      </c>
      <c r="N70" s="57"/>
      <c r="O70" s="41">
        <f t="shared" si="45"/>
        <v>5135</v>
      </c>
      <c r="P70" s="41">
        <f t="shared" si="5"/>
        <v>0</v>
      </c>
      <c r="Q70" s="57"/>
      <c r="R70" s="41">
        <f>ROUND(O70,0)+12598</f>
        <v>17733</v>
      </c>
      <c r="S70" s="41">
        <f t="shared" si="38"/>
        <v>12598</v>
      </c>
      <c r="T70" s="57" t="s">
        <v>225</v>
      </c>
      <c r="U70" s="41">
        <f>ROUND(R70,0)</f>
        <v>17733</v>
      </c>
      <c r="V70" s="41">
        <f t="shared" si="39"/>
        <v>0</v>
      </c>
      <c r="W70" s="57"/>
      <c r="X70" s="41">
        <f>ROUND(U70,0)</f>
        <v>17733</v>
      </c>
      <c r="Y70" s="41">
        <f t="shared" si="40"/>
        <v>0</v>
      </c>
      <c r="Z70" s="57"/>
      <c r="AA70" s="41">
        <f>ROUND(X70,0)</f>
        <v>17733</v>
      </c>
      <c r="AB70" s="41">
        <f t="shared" si="41"/>
        <v>0</v>
      </c>
      <c r="AC70" s="57"/>
    </row>
    <row r="71" spans="1:29" x14ac:dyDescent="0.25">
      <c r="B71" s="13"/>
      <c r="C71" s="61" t="s">
        <v>226</v>
      </c>
      <c r="D71" s="93" t="s">
        <v>227</v>
      </c>
      <c r="E71" s="42">
        <v>9000</v>
      </c>
      <c r="F71" s="42">
        <f t="shared" si="47"/>
        <v>9000</v>
      </c>
      <c r="G71" s="41">
        <f t="shared" si="2"/>
        <v>0</v>
      </c>
      <c r="H71" s="56"/>
      <c r="I71" s="41">
        <f t="shared" si="43"/>
        <v>9000</v>
      </c>
      <c r="J71" s="41">
        <f t="shared" si="3"/>
        <v>0</v>
      </c>
      <c r="K71" s="57"/>
      <c r="L71" s="41">
        <f t="shared" si="44"/>
        <v>9000</v>
      </c>
      <c r="M71" s="41">
        <f t="shared" si="4"/>
        <v>0</v>
      </c>
      <c r="N71" s="57"/>
      <c r="O71" s="41">
        <f t="shared" si="45"/>
        <v>9000</v>
      </c>
      <c r="P71" s="41">
        <f t="shared" si="5"/>
        <v>0</v>
      </c>
      <c r="Q71" s="57"/>
      <c r="R71" s="41">
        <f t="shared" si="46"/>
        <v>9000</v>
      </c>
      <c r="S71" s="41">
        <f t="shared" si="38"/>
        <v>0</v>
      </c>
      <c r="T71" s="57"/>
      <c r="U71" s="41">
        <f t="shared" ref="U71:U87" si="48">ROUND(R71,0)</f>
        <v>9000</v>
      </c>
      <c r="V71" s="41">
        <f t="shared" si="39"/>
        <v>0</v>
      </c>
      <c r="W71" s="57"/>
      <c r="X71" s="41">
        <f t="shared" ref="X71:X87" si="49">ROUND(U71,0)</f>
        <v>9000</v>
      </c>
      <c r="Y71" s="41">
        <f t="shared" si="40"/>
        <v>0</v>
      </c>
      <c r="Z71" s="57"/>
      <c r="AA71" s="41">
        <f t="shared" ref="AA71:AA87" si="50">ROUND(X71,0)</f>
        <v>9000</v>
      </c>
      <c r="AB71" s="41">
        <f t="shared" si="41"/>
        <v>0</v>
      </c>
      <c r="AC71" s="57"/>
    </row>
    <row r="72" spans="1:29" ht="60" x14ac:dyDescent="0.25">
      <c r="B72" s="13"/>
      <c r="C72" s="61" t="s">
        <v>228</v>
      </c>
      <c r="D72" s="93" t="s">
        <v>229</v>
      </c>
      <c r="E72" s="42">
        <v>6010</v>
      </c>
      <c r="F72" s="42">
        <f t="shared" si="47"/>
        <v>6010</v>
      </c>
      <c r="G72" s="41">
        <f>F72-E72</f>
        <v>0</v>
      </c>
      <c r="H72" s="56"/>
      <c r="I72" s="41">
        <f t="shared" si="43"/>
        <v>6010</v>
      </c>
      <c r="J72" s="41">
        <f t="shared" si="3"/>
        <v>0</v>
      </c>
      <c r="K72" s="57"/>
      <c r="L72" s="41">
        <f t="shared" si="44"/>
        <v>6010</v>
      </c>
      <c r="M72" s="41">
        <f t="shared" si="4"/>
        <v>0</v>
      </c>
      <c r="N72" s="57"/>
      <c r="O72" s="41">
        <f t="shared" si="45"/>
        <v>6010</v>
      </c>
      <c r="P72" s="41">
        <f t="shared" si="5"/>
        <v>0</v>
      </c>
      <c r="Q72" s="57"/>
      <c r="R72" s="41">
        <f t="shared" si="46"/>
        <v>6010</v>
      </c>
      <c r="S72" s="41">
        <f t="shared" si="38"/>
        <v>0</v>
      </c>
      <c r="T72" s="57"/>
      <c r="U72" s="41">
        <f t="shared" si="48"/>
        <v>6010</v>
      </c>
      <c r="V72" s="41">
        <f t="shared" si="39"/>
        <v>0</v>
      </c>
      <c r="W72" s="57"/>
      <c r="X72" s="41">
        <f t="shared" si="49"/>
        <v>6010</v>
      </c>
      <c r="Y72" s="41">
        <f t="shared" si="40"/>
        <v>0</v>
      </c>
      <c r="Z72" s="57"/>
      <c r="AA72" s="41">
        <f t="shared" si="50"/>
        <v>6010</v>
      </c>
      <c r="AB72" s="41">
        <f t="shared" si="41"/>
        <v>0</v>
      </c>
      <c r="AC72" s="57"/>
    </row>
    <row r="73" spans="1:29" ht="45" x14ac:dyDescent="0.25">
      <c r="B73" s="13"/>
      <c r="C73" s="61" t="s">
        <v>230</v>
      </c>
      <c r="D73" s="93" t="s">
        <v>231</v>
      </c>
      <c r="E73" s="42">
        <v>30655</v>
      </c>
      <c r="F73" s="42">
        <f>ROUND(E73,0)</f>
        <v>30655</v>
      </c>
      <c r="G73" s="41">
        <f>F73-E73</f>
        <v>0</v>
      </c>
      <c r="H73" s="56"/>
      <c r="I73" s="41">
        <f t="shared" si="43"/>
        <v>30655</v>
      </c>
      <c r="J73" s="41">
        <f t="shared" si="3"/>
        <v>0</v>
      </c>
      <c r="K73" s="57"/>
      <c r="L73" s="41">
        <f t="shared" si="44"/>
        <v>30655</v>
      </c>
      <c r="M73" s="41">
        <f t="shared" si="4"/>
        <v>0</v>
      </c>
      <c r="N73" s="57"/>
      <c r="O73" s="41">
        <f t="shared" si="45"/>
        <v>30655</v>
      </c>
      <c r="P73" s="41">
        <f t="shared" si="5"/>
        <v>0</v>
      </c>
      <c r="Q73" s="57"/>
      <c r="R73" s="41">
        <f t="shared" si="46"/>
        <v>30655</v>
      </c>
      <c r="S73" s="41">
        <f t="shared" si="38"/>
        <v>0</v>
      </c>
      <c r="T73" s="57"/>
      <c r="U73" s="41">
        <f t="shared" si="48"/>
        <v>30655</v>
      </c>
      <c r="V73" s="41">
        <f t="shared" si="39"/>
        <v>0</v>
      </c>
      <c r="W73" s="57"/>
      <c r="X73" s="41">
        <f t="shared" si="49"/>
        <v>30655</v>
      </c>
      <c r="Y73" s="41">
        <f t="shared" si="40"/>
        <v>0</v>
      </c>
      <c r="Z73" s="57"/>
      <c r="AA73" s="41">
        <f t="shared" si="50"/>
        <v>30655</v>
      </c>
      <c r="AB73" s="41">
        <f t="shared" si="41"/>
        <v>0</v>
      </c>
      <c r="AC73" s="57"/>
    </row>
    <row r="74" spans="1:29" x14ac:dyDescent="0.25">
      <c r="A74" s="90" t="s">
        <v>232</v>
      </c>
      <c r="B74" s="13"/>
      <c r="C74" s="61" t="s">
        <v>233</v>
      </c>
      <c r="D74" s="93" t="s">
        <v>234</v>
      </c>
      <c r="E74" s="42">
        <v>0</v>
      </c>
      <c r="F74" s="42">
        <f>ROUND(E74,0)</f>
        <v>0</v>
      </c>
      <c r="G74" s="41">
        <f>F74-E74</f>
        <v>0</v>
      </c>
      <c r="H74" s="56"/>
      <c r="I74" s="41">
        <f t="shared" si="43"/>
        <v>0</v>
      </c>
      <c r="J74" s="41">
        <f t="shared" si="3"/>
        <v>0</v>
      </c>
      <c r="K74" s="57"/>
      <c r="L74" s="41">
        <f t="shared" si="44"/>
        <v>0</v>
      </c>
      <c r="M74" s="41">
        <f t="shared" si="4"/>
        <v>0</v>
      </c>
      <c r="N74" s="57"/>
      <c r="O74" s="41">
        <f t="shared" si="45"/>
        <v>0</v>
      </c>
      <c r="P74" s="41">
        <f t="shared" si="5"/>
        <v>0</v>
      </c>
      <c r="Q74" s="57"/>
      <c r="R74" s="41">
        <f t="shared" si="46"/>
        <v>0</v>
      </c>
      <c r="S74" s="41">
        <f t="shared" si="38"/>
        <v>0</v>
      </c>
      <c r="T74" s="57"/>
      <c r="U74" s="41">
        <f t="shared" si="48"/>
        <v>0</v>
      </c>
      <c r="V74" s="41">
        <f t="shared" si="39"/>
        <v>0</v>
      </c>
      <c r="W74" s="57"/>
      <c r="X74" s="41">
        <f t="shared" si="49"/>
        <v>0</v>
      </c>
      <c r="Y74" s="41">
        <f t="shared" si="40"/>
        <v>0</v>
      </c>
      <c r="Z74" s="57"/>
      <c r="AA74" s="41">
        <f t="shared" si="50"/>
        <v>0</v>
      </c>
      <c r="AB74" s="41">
        <f t="shared" si="41"/>
        <v>0</v>
      </c>
      <c r="AC74" s="57"/>
    </row>
    <row r="75" spans="1:29" ht="58.15" customHeight="1" x14ac:dyDescent="0.25">
      <c r="A75" s="90" t="s">
        <v>235</v>
      </c>
      <c r="B75" s="13"/>
      <c r="C75" s="61" t="s">
        <v>236</v>
      </c>
      <c r="D75" s="93" t="s">
        <v>237</v>
      </c>
      <c r="E75" s="42">
        <v>0</v>
      </c>
      <c r="F75" s="42">
        <f>ROUND(E75,0)+18299</f>
        <v>18299</v>
      </c>
      <c r="G75" s="41">
        <f>F75-E75</f>
        <v>18299</v>
      </c>
      <c r="H75" s="100" t="s">
        <v>238</v>
      </c>
      <c r="I75" s="41">
        <f t="shared" si="43"/>
        <v>18299</v>
      </c>
      <c r="J75" s="41">
        <f t="shared" si="3"/>
        <v>0</v>
      </c>
      <c r="K75" s="57"/>
      <c r="L75" s="41">
        <f t="shared" si="44"/>
        <v>18299</v>
      </c>
      <c r="M75" s="41">
        <f t="shared" si="4"/>
        <v>0</v>
      </c>
      <c r="N75" s="57"/>
      <c r="O75" s="41">
        <f t="shared" si="45"/>
        <v>18299</v>
      </c>
      <c r="P75" s="41">
        <f t="shared" si="5"/>
        <v>0</v>
      </c>
      <c r="Q75" s="57"/>
      <c r="R75" s="41">
        <f t="shared" si="46"/>
        <v>18299</v>
      </c>
      <c r="S75" s="41">
        <f t="shared" si="38"/>
        <v>0</v>
      </c>
      <c r="T75" s="57"/>
      <c r="U75" s="41">
        <f t="shared" si="48"/>
        <v>18299</v>
      </c>
      <c r="V75" s="41">
        <f t="shared" si="39"/>
        <v>0</v>
      </c>
      <c r="W75" s="57"/>
      <c r="X75" s="41">
        <f t="shared" si="49"/>
        <v>18299</v>
      </c>
      <c r="Y75" s="41">
        <f t="shared" si="40"/>
        <v>0</v>
      </c>
      <c r="Z75" s="57"/>
      <c r="AA75" s="41">
        <f t="shared" si="50"/>
        <v>18299</v>
      </c>
      <c r="AB75" s="41">
        <f t="shared" si="41"/>
        <v>0</v>
      </c>
      <c r="AC75" s="57"/>
    </row>
    <row r="76" spans="1:29" ht="45" x14ac:dyDescent="0.25">
      <c r="B76" s="1" t="s">
        <v>239</v>
      </c>
      <c r="C76" s="61" t="s">
        <v>240</v>
      </c>
      <c r="D76" s="93" t="s">
        <v>241</v>
      </c>
      <c r="E76" s="42">
        <v>0</v>
      </c>
      <c r="F76" s="42">
        <f t="shared" si="47"/>
        <v>0</v>
      </c>
      <c r="G76" s="41">
        <f t="shared" ref="G76:G124" si="51">F76-E76</f>
        <v>0</v>
      </c>
      <c r="H76" s="59"/>
      <c r="I76" s="41">
        <f t="shared" si="43"/>
        <v>0</v>
      </c>
      <c r="J76" s="41">
        <f t="shared" si="3"/>
        <v>0</v>
      </c>
      <c r="K76" s="60"/>
      <c r="L76" s="41">
        <f t="shared" si="44"/>
        <v>0</v>
      </c>
      <c r="M76" s="41">
        <f t="shared" si="4"/>
        <v>0</v>
      </c>
      <c r="N76" s="60"/>
      <c r="O76" s="41">
        <f t="shared" si="45"/>
        <v>0</v>
      </c>
      <c r="P76" s="41">
        <f t="shared" si="5"/>
        <v>0</v>
      </c>
      <c r="Q76" s="60"/>
      <c r="R76" s="41">
        <f t="shared" si="46"/>
        <v>0</v>
      </c>
      <c r="S76" s="41">
        <f t="shared" si="38"/>
        <v>0</v>
      </c>
      <c r="T76" s="60"/>
      <c r="U76" s="41">
        <f t="shared" si="48"/>
        <v>0</v>
      </c>
      <c r="V76" s="41">
        <f t="shared" si="39"/>
        <v>0</v>
      </c>
      <c r="W76" s="60"/>
      <c r="X76" s="41">
        <f t="shared" si="49"/>
        <v>0</v>
      </c>
      <c r="Y76" s="41">
        <f t="shared" si="40"/>
        <v>0</v>
      </c>
      <c r="Z76" s="60"/>
      <c r="AA76" s="41">
        <f t="shared" si="50"/>
        <v>0</v>
      </c>
      <c r="AB76" s="41">
        <f t="shared" si="41"/>
        <v>0</v>
      </c>
      <c r="AC76" s="60"/>
    </row>
    <row r="77" spans="1:29" ht="30" x14ac:dyDescent="0.25">
      <c r="B77" s="58" t="s">
        <v>242</v>
      </c>
      <c r="C77" s="61" t="s">
        <v>243</v>
      </c>
      <c r="D77" s="93" t="s">
        <v>244</v>
      </c>
      <c r="E77" s="42">
        <v>0</v>
      </c>
      <c r="F77" s="42">
        <f t="shared" si="47"/>
        <v>0</v>
      </c>
      <c r="G77" s="41">
        <f t="shared" si="51"/>
        <v>0</v>
      </c>
      <c r="H77" s="101"/>
      <c r="I77" s="41">
        <f t="shared" si="43"/>
        <v>0</v>
      </c>
      <c r="J77" s="41">
        <f t="shared" ref="J77:J124" si="52">I77-F77</f>
        <v>0</v>
      </c>
      <c r="K77" s="102"/>
      <c r="L77" s="41">
        <f t="shared" si="44"/>
        <v>0</v>
      </c>
      <c r="M77" s="41">
        <f t="shared" ref="M77:M124" si="53">L77-I77</f>
        <v>0</v>
      </c>
      <c r="N77" s="102"/>
      <c r="O77" s="41">
        <f t="shared" si="45"/>
        <v>0</v>
      </c>
      <c r="P77" s="41">
        <f t="shared" ref="P77:P124" si="54">O77-L77</f>
        <v>0</v>
      </c>
      <c r="Q77" s="102"/>
      <c r="R77" s="41">
        <f t="shared" si="46"/>
        <v>0</v>
      </c>
      <c r="S77" s="41">
        <f t="shared" si="38"/>
        <v>0</v>
      </c>
      <c r="T77" s="102"/>
      <c r="U77" s="41">
        <f t="shared" si="48"/>
        <v>0</v>
      </c>
      <c r="V77" s="41">
        <f t="shared" si="39"/>
        <v>0</v>
      </c>
      <c r="W77" s="102"/>
      <c r="X77" s="41">
        <f t="shared" si="49"/>
        <v>0</v>
      </c>
      <c r="Y77" s="41">
        <f t="shared" si="40"/>
        <v>0</v>
      </c>
      <c r="Z77" s="102"/>
      <c r="AA77" s="41">
        <f t="shared" si="50"/>
        <v>0</v>
      </c>
      <c r="AB77" s="41">
        <f t="shared" si="41"/>
        <v>0</v>
      </c>
      <c r="AC77" s="102"/>
    </row>
    <row r="78" spans="1:29" ht="30" x14ac:dyDescent="0.25">
      <c r="B78" s="58"/>
      <c r="C78" s="61" t="s">
        <v>245</v>
      </c>
      <c r="D78" s="93" t="s">
        <v>246</v>
      </c>
      <c r="E78" s="42">
        <v>0</v>
      </c>
      <c r="F78" s="42">
        <f t="shared" si="47"/>
        <v>0</v>
      </c>
      <c r="G78" s="41">
        <f t="shared" si="51"/>
        <v>0</v>
      </c>
      <c r="H78" s="101"/>
      <c r="I78" s="41">
        <f t="shared" si="43"/>
        <v>0</v>
      </c>
      <c r="J78" s="41">
        <f t="shared" si="52"/>
        <v>0</v>
      </c>
      <c r="K78" s="102"/>
      <c r="L78" s="41">
        <f t="shared" si="44"/>
        <v>0</v>
      </c>
      <c r="M78" s="41">
        <f t="shared" si="53"/>
        <v>0</v>
      </c>
      <c r="N78" s="102"/>
      <c r="O78" s="41">
        <f t="shared" si="45"/>
        <v>0</v>
      </c>
      <c r="P78" s="41">
        <f t="shared" si="54"/>
        <v>0</v>
      </c>
      <c r="Q78" s="102"/>
      <c r="R78" s="41">
        <f t="shared" si="46"/>
        <v>0</v>
      </c>
      <c r="S78" s="41">
        <f t="shared" si="38"/>
        <v>0</v>
      </c>
      <c r="T78" s="102"/>
      <c r="U78" s="41">
        <f t="shared" si="48"/>
        <v>0</v>
      </c>
      <c r="V78" s="41">
        <f t="shared" si="39"/>
        <v>0</v>
      </c>
      <c r="W78" s="102"/>
      <c r="X78" s="41">
        <f t="shared" si="49"/>
        <v>0</v>
      </c>
      <c r="Y78" s="41">
        <f t="shared" si="40"/>
        <v>0</v>
      </c>
      <c r="Z78" s="102"/>
      <c r="AA78" s="41">
        <f>ROUND(X78,0)+100088</f>
        <v>100088</v>
      </c>
      <c r="AB78" s="41">
        <f t="shared" si="41"/>
        <v>100088</v>
      </c>
      <c r="AC78" s="103" t="s">
        <v>247</v>
      </c>
    </row>
    <row r="79" spans="1:29" x14ac:dyDescent="0.25">
      <c r="B79" s="58"/>
      <c r="C79" s="61" t="s">
        <v>248</v>
      </c>
      <c r="D79" s="93" t="s">
        <v>249</v>
      </c>
      <c r="E79" s="42">
        <v>0</v>
      </c>
      <c r="F79" s="42">
        <f t="shared" si="47"/>
        <v>0</v>
      </c>
      <c r="G79" s="41">
        <f t="shared" si="51"/>
        <v>0</v>
      </c>
      <c r="H79" s="101"/>
      <c r="I79" s="41">
        <f t="shared" si="43"/>
        <v>0</v>
      </c>
      <c r="J79" s="41">
        <f t="shared" si="52"/>
        <v>0</v>
      </c>
      <c r="K79" s="102"/>
      <c r="L79" s="41">
        <f t="shared" si="44"/>
        <v>0</v>
      </c>
      <c r="M79" s="41">
        <f t="shared" si="53"/>
        <v>0</v>
      </c>
      <c r="N79" s="102"/>
      <c r="O79" s="41">
        <f t="shared" si="45"/>
        <v>0</v>
      </c>
      <c r="P79" s="41">
        <f t="shared" si="54"/>
        <v>0</v>
      </c>
      <c r="Q79" s="102"/>
      <c r="R79" s="41">
        <f t="shared" si="46"/>
        <v>0</v>
      </c>
      <c r="S79" s="41">
        <f t="shared" si="38"/>
        <v>0</v>
      </c>
      <c r="T79" s="102"/>
      <c r="U79" s="41">
        <f t="shared" si="48"/>
        <v>0</v>
      </c>
      <c r="V79" s="41">
        <f t="shared" si="39"/>
        <v>0</v>
      </c>
      <c r="W79" s="102"/>
      <c r="X79" s="41">
        <f t="shared" si="49"/>
        <v>0</v>
      </c>
      <c r="Y79" s="41">
        <f t="shared" si="40"/>
        <v>0</v>
      </c>
      <c r="Z79" s="102"/>
      <c r="AA79" s="41">
        <f t="shared" si="50"/>
        <v>0</v>
      </c>
      <c r="AB79" s="41">
        <f t="shared" si="41"/>
        <v>0</v>
      </c>
      <c r="AC79" s="102"/>
    </row>
    <row r="80" spans="1:29" ht="30" x14ac:dyDescent="0.25">
      <c r="B80" s="58"/>
      <c r="C80" s="61" t="s">
        <v>250</v>
      </c>
      <c r="D80" s="93" t="s">
        <v>251</v>
      </c>
      <c r="E80" s="42">
        <v>0</v>
      </c>
      <c r="F80" s="42">
        <f t="shared" si="47"/>
        <v>0</v>
      </c>
      <c r="G80" s="41">
        <f t="shared" si="51"/>
        <v>0</v>
      </c>
      <c r="H80" s="101"/>
      <c r="I80" s="41">
        <f t="shared" si="43"/>
        <v>0</v>
      </c>
      <c r="J80" s="41">
        <f t="shared" si="52"/>
        <v>0</v>
      </c>
      <c r="K80" s="102"/>
      <c r="L80" s="41">
        <f t="shared" si="44"/>
        <v>0</v>
      </c>
      <c r="M80" s="41">
        <f t="shared" si="53"/>
        <v>0</v>
      </c>
      <c r="N80" s="102"/>
      <c r="O80" s="41">
        <f t="shared" si="45"/>
        <v>0</v>
      </c>
      <c r="P80" s="41">
        <f t="shared" si="54"/>
        <v>0</v>
      </c>
      <c r="Q80" s="102"/>
      <c r="R80" s="41">
        <f t="shared" si="46"/>
        <v>0</v>
      </c>
      <c r="S80" s="41">
        <f t="shared" si="38"/>
        <v>0</v>
      </c>
      <c r="T80" s="102"/>
      <c r="U80" s="41">
        <f t="shared" si="48"/>
        <v>0</v>
      </c>
      <c r="V80" s="41">
        <f t="shared" si="39"/>
        <v>0</v>
      </c>
      <c r="W80" s="102"/>
      <c r="X80" s="41">
        <f t="shared" si="49"/>
        <v>0</v>
      </c>
      <c r="Y80" s="41">
        <f t="shared" si="40"/>
        <v>0</v>
      </c>
      <c r="Z80" s="102"/>
      <c r="AA80" s="41">
        <f t="shared" si="50"/>
        <v>0</v>
      </c>
      <c r="AB80" s="41">
        <f t="shared" si="41"/>
        <v>0</v>
      </c>
      <c r="AC80" s="102"/>
    </row>
    <row r="81" spans="1:29" x14ac:dyDescent="0.25">
      <c r="B81" s="104" t="s">
        <v>252</v>
      </c>
      <c r="C81" s="61" t="s">
        <v>253</v>
      </c>
      <c r="D81" s="93" t="s">
        <v>254</v>
      </c>
      <c r="E81" s="42">
        <v>0</v>
      </c>
      <c r="F81" s="42">
        <f t="shared" si="47"/>
        <v>0</v>
      </c>
      <c r="G81" s="41">
        <f t="shared" si="51"/>
        <v>0</v>
      </c>
      <c r="H81" s="101"/>
      <c r="I81" s="41">
        <f t="shared" si="43"/>
        <v>0</v>
      </c>
      <c r="J81" s="41">
        <f t="shared" si="52"/>
        <v>0</v>
      </c>
      <c r="K81" s="102"/>
      <c r="L81" s="41">
        <f t="shared" si="44"/>
        <v>0</v>
      </c>
      <c r="M81" s="41">
        <f t="shared" si="53"/>
        <v>0</v>
      </c>
      <c r="N81" s="102"/>
      <c r="O81" s="41">
        <f t="shared" si="45"/>
        <v>0</v>
      </c>
      <c r="P81" s="41">
        <f t="shared" si="54"/>
        <v>0</v>
      </c>
      <c r="Q81" s="102"/>
      <c r="R81" s="41">
        <f t="shared" si="46"/>
        <v>0</v>
      </c>
      <c r="S81" s="41">
        <f t="shared" si="38"/>
        <v>0</v>
      </c>
      <c r="T81" s="102"/>
      <c r="U81" s="41">
        <f t="shared" si="48"/>
        <v>0</v>
      </c>
      <c r="V81" s="41">
        <f t="shared" si="39"/>
        <v>0</v>
      </c>
      <c r="W81" s="102"/>
      <c r="X81" s="41">
        <f t="shared" si="49"/>
        <v>0</v>
      </c>
      <c r="Y81" s="41">
        <f t="shared" si="40"/>
        <v>0</v>
      </c>
      <c r="Z81" s="102"/>
      <c r="AA81" s="41">
        <f t="shared" si="50"/>
        <v>0</v>
      </c>
      <c r="AB81" s="41">
        <f t="shared" si="41"/>
        <v>0</v>
      </c>
      <c r="AC81" s="102"/>
    </row>
    <row r="82" spans="1:29" ht="30" x14ac:dyDescent="0.25">
      <c r="B82" s="58"/>
      <c r="C82" s="61" t="s">
        <v>255</v>
      </c>
      <c r="D82" s="93" t="s">
        <v>256</v>
      </c>
      <c r="E82" s="42">
        <v>150645</v>
      </c>
      <c r="F82" s="42">
        <f t="shared" si="47"/>
        <v>150645</v>
      </c>
      <c r="G82" s="41">
        <f t="shared" si="51"/>
        <v>0</v>
      </c>
      <c r="H82" s="101"/>
      <c r="I82" s="41">
        <f t="shared" si="43"/>
        <v>150645</v>
      </c>
      <c r="J82" s="41">
        <f t="shared" si="52"/>
        <v>0</v>
      </c>
      <c r="K82" s="102"/>
      <c r="L82" s="41">
        <f t="shared" si="44"/>
        <v>150645</v>
      </c>
      <c r="M82" s="41">
        <f t="shared" si="53"/>
        <v>0</v>
      </c>
      <c r="N82" s="102"/>
      <c r="O82" s="41">
        <f t="shared" si="45"/>
        <v>150645</v>
      </c>
      <c r="P82" s="41">
        <f t="shared" si="54"/>
        <v>0</v>
      </c>
      <c r="Q82" s="102"/>
      <c r="R82" s="41">
        <f>ROUND(O82,0)+16100+30000</f>
        <v>196745</v>
      </c>
      <c r="S82" s="41">
        <f t="shared" si="38"/>
        <v>46100</v>
      </c>
      <c r="T82" s="103" t="s">
        <v>257</v>
      </c>
      <c r="U82" s="41">
        <f t="shared" si="48"/>
        <v>196745</v>
      </c>
      <c r="V82" s="41">
        <f t="shared" si="39"/>
        <v>0</v>
      </c>
      <c r="W82" s="103"/>
      <c r="X82" s="41">
        <f t="shared" si="49"/>
        <v>196745</v>
      </c>
      <c r="Y82" s="41">
        <f t="shared" si="40"/>
        <v>0</v>
      </c>
      <c r="Z82" s="103"/>
      <c r="AA82" s="41">
        <f t="shared" si="50"/>
        <v>196745</v>
      </c>
      <c r="AB82" s="41">
        <f t="shared" si="41"/>
        <v>0</v>
      </c>
      <c r="AC82" s="103"/>
    </row>
    <row r="83" spans="1:29" ht="41.45" customHeight="1" x14ac:dyDescent="0.25">
      <c r="B83" s="58"/>
      <c r="C83" s="61" t="s">
        <v>258</v>
      </c>
      <c r="D83" s="93" t="s">
        <v>259</v>
      </c>
      <c r="E83" s="42">
        <v>118650</v>
      </c>
      <c r="F83" s="42">
        <f t="shared" si="47"/>
        <v>118650</v>
      </c>
      <c r="G83" s="41">
        <f t="shared" si="51"/>
        <v>0</v>
      </c>
      <c r="H83" s="101"/>
      <c r="I83" s="41">
        <f t="shared" si="43"/>
        <v>118650</v>
      </c>
      <c r="J83" s="41">
        <f t="shared" si="52"/>
        <v>0</v>
      </c>
      <c r="K83" s="102"/>
      <c r="L83" s="41">
        <f t="shared" si="44"/>
        <v>118650</v>
      </c>
      <c r="M83" s="41">
        <f t="shared" si="53"/>
        <v>0</v>
      </c>
      <c r="N83" s="102"/>
      <c r="O83" s="41">
        <f t="shared" si="45"/>
        <v>118650</v>
      </c>
      <c r="P83" s="41">
        <f t="shared" si="54"/>
        <v>0</v>
      </c>
      <c r="Q83" s="102"/>
      <c r="R83" s="41">
        <f t="shared" si="46"/>
        <v>118650</v>
      </c>
      <c r="S83" s="41">
        <f t="shared" si="38"/>
        <v>0</v>
      </c>
      <c r="T83" s="102"/>
      <c r="U83" s="41">
        <f t="shared" si="48"/>
        <v>118650</v>
      </c>
      <c r="V83" s="41">
        <f t="shared" si="39"/>
        <v>0</v>
      </c>
      <c r="W83" s="102"/>
      <c r="X83" s="41">
        <f t="shared" si="49"/>
        <v>118650</v>
      </c>
      <c r="Y83" s="41">
        <f t="shared" si="40"/>
        <v>0</v>
      </c>
      <c r="Z83" s="102"/>
      <c r="AA83" s="41">
        <f t="shared" si="50"/>
        <v>118650</v>
      </c>
      <c r="AB83" s="41">
        <f t="shared" si="41"/>
        <v>0</v>
      </c>
      <c r="AC83" s="102"/>
    </row>
    <row r="84" spans="1:29" x14ac:dyDescent="0.25">
      <c r="B84" s="58"/>
      <c r="C84" s="61" t="s">
        <v>260</v>
      </c>
      <c r="D84" s="93" t="s">
        <v>261</v>
      </c>
      <c r="E84" s="42">
        <v>390462</v>
      </c>
      <c r="F84" s="42">
        <f t="shared" si="47"/>
        <v>390462</v>
      </c>
      <c r="G84" s="41">
        <f t="shared" si="51"/>
        <v>0</v>
      </c>
      <c r="H84" s="101"/>
      <c r="I84" s="41">
        <f t="shared" si="43"/>
        <v>390462</v>
      </c>
      <c r="J84" s="41">
        <f t="shared" si="52"/>
        <v>0</v>
      </c>
      <c r="K84" s="102"/>
      <c r="L84" s="41">
        <f t="shared" si="44"/>
        <v>390462</v>
      </c>
      <c r="M84" s="41">
        <f t="shared" si="53"/>
        <v>0</v>
      </c>
      <c r="N84" s="102"/>
      <c r="O84" s="41">
        <f t="shared" si="45"/>
        <v>390462</v>
      </c>
      <c r="P84" s="41">
        <f t="shared" si="54"/>
        <v>0</v>
      </c>
      <c r="Q84" s="102"/>
      <c r="R84" s="41">
        <f t="shared" si="46"/>
        <v>390462</v>
      </c>
      <c r="S84" s="41">
        <f t="shared" si="38"/>
        <v>0</v>
      </c>
      <c r="T84" s="102"/>
      <c r="U84" s="41">
        <f t="shared" si="48"/>
        <v>390462</v>
      </c>
      <c r="V84" s="41">
        <f t="shared" si="39"/>
        <v>0</v>
      </c>
      <c r="W84" s="102"/>
      <c r="X84" s="41">
        <f t="shared" si="49"/>
        <v>390462</v>
      </c>
      <c r="Y84" s="41">
        <f t="shared" si="40"/>
        <v>0</v>
      </c>
      <c r="Z84" s="102"/>
      <c r="AA84" s="41">
        <f t="shared" si="50"/>
        <v>390462</v>
      </c>
      <c r="AB84" s="41">
        <f t="shared" si="41"/>
        <v>0</v>
      </c>
      <c r="AC84" s="102"/>
    </row>
    <row r="85" spans="1:29" ht="30" x14ac:dyDescent="0.25">
      <c r="B85" s="104" t="s">
        <v>252</v>
      </c>
      <c r="C85" s="61" t="s">
        <v>262</v>
      </c>
      <c r="D85" s="93" t="s">
        <v>263</v>
      </c>
      <c r="E85" s="42">
        <v>0</v>
      </c>
      <c r="F85" s="42">
        <f t="shared" si="47"/>
        <v>0</v>
      </c>
      <c r="G85" s="41">
        <f t="shared" si="51"/>
        <v>0</v>
      </c>
      <c r="H85" s="101"/>
      <c r="I85" s="41">
        <f t="shared" si="43"/>
        <v>0</v>
      </c>
      <c r="J85" s="41">
        <f t="shared" si="52"/>
        <v>0</v>
      </c>
      <c r="K85" s="102"/>
      <c r="L85" s="41">
        <f t="shared" si="44"/>
        <v>0</v>
      </c>
      <c r="M85" s="41">
        <f t="shared" si="53"/>
        <v>0</v>
      </c>
      <c r="N85" s="102"/>
      <c r="O85" s="41">
        <f t="shared" si="45"/>
        <v>0</v>
      </c>
      <c r="P85" s="41">
        <f t="shared" si="54"/>
        <v>0</v>
      </c>
      <c r="Q85" s="102"/>
      <c r="R85" s="41">
        <f t="shared" si="46"/>
        <v>0</v>
      </c>
      <c r="S85" s="41">
        <f t="shared" si="38"/>
        <v>0</v>
      </c>
      <c r="T85" s="102"/>
      <c r="U85" s="41">
        <f t="shared" si="48"/>
        <v>0</v>
      </c>
      <c r="V85" s="41">
        <f t="shared" si="39"/>
        <v>0</v>
      </c>
      <c r="W85" s="102"/>
      <c r="X85" s="41">
        <f t="shared" si="49"/>
        <v>0</v>
      </c>
      <c r="Y85" s="41">
        <f t="shared" si="40"/>
        <v>0</v>
      </c>
      <c r="Z85" s="102"/>
      <c r="AA85" s="41">
        <f t="shared" si="50"/>
        <v>0</v>
      </c>
      <c r="AB85" s="41">
        <f t="shared" si="41"/>
        <v>0</v>
      </c>
      <c r="AC85" s="102"/>
    </row>
    <row r="86" spans="1:29" x14ac:dyDescent="0.25">
      <c r="B86" s="90" t="s">
        <v>264</v>
      </c>
      <c r="C86" s="61" t="s">
        <v>265</v>
      </c>
      <c r="D86" s="105" t="s">
        <v>266</v>
      </c>
      <c r="E86" s="42">
        <v>382739</v>
      </c>
      <c r="F86" s="42">
        <f t="shared" si="47"/>
        <v>382739</v>
      </c>
      <c r="G86" s="41">
        <f t="shared" si="51"/>
        <v>0</v>
      </c>
      <c r="H86" s="101"/>
      <c r="I86" s="41">
        <f>ROUND(F86,0)-24147</f>
        <v>358592</v>
      </c>
      <c r="J86" s="41">
        <f t="shared" si="52"/>
        <v>-24147</v>
      </c>
      <c r="K86" s="102" t="s">
        <v>267</v>
      </c>
      <c r="L86" s="41">
        <f t="shared" si="44"/>
        <v>358592</v>
      </c>
      <c r="M86" s="41">
        <f t="shared" si="53"/>
        <v>0</v>
      </c>
      <c r="N86" s="102"/>
      <c r="O86" s="41">
        <f t="shared" si="45"/>
        <v>358592</v>
      </c>
      <c r="P86" s="41">
        <f t="shared" si="54"/>
        <v>0</v>
      </c>
      <c r="Q86" s="102"/>
      <c r="R86" s="41">
        <f t="shared" si="46"/>
        <v>358592</v>
      </c>
      <c r="S86" s="41">
        <f t="shared" si="38"/>
        <v>0</v>
      </c>
      <c r="T86" s="102"/>
      <c r="U86" s="41">
        <f t="shared" si="48"/>
        <v>358592</v>
      </c>
      <c r="V86" s="41">
        <f t="shared" si="39"/>
        <v>0</v>
      </c>
      <c r="W86" s="102"/>
      <c r="X86" s="41">
        <f t="shared" si="49"/>
        <v>358592</v>
      </c>
      <c r="Y86" s="41">
        <f t="shared" si="40"/>
        <v>0</v>
      </c>
      <c r="Z86" s="102"/>
      <c r="AA86" s="41">
        <f t="shared" si="50"/>
        <v>358592</v>
      </c>
      <c r="AB86" s="41">
        <f t="shared" si="41"/>
        <v>0</v>
      </c>
      <c r="AC86" s="102"/>
    </row>
    <row r="87" spans="1:29" hidden="1" outlineLevel="1" x14ac:dyDescent="0.25">
      <c r="B87" s="38" t="s">
        <v>268</v>
      </c>
      <c r="C87" s="39" t="s">
        <v>269</v>
      </c>
      <c r="D87" s="106" t="s">
        <v>270</v>
      </c>
      <c r="E87" s="77">
        <v>0</v>
      </c>
      <c r="F87" s="42">
        <f t="shared" si="47"/>
        <v>0</v>
      </c>
      <c r="G87" s="41">
        <f t="shared" si="51"/>
        <v>0</v>
      </c>
      <c r="H87" s="43"/>
      <c r="I87" s="41">
        <f t="shared" si="43"/>
        <v>0</v>
      </c>
      <c r="J87" s="41">
        <f t="shared" si="52"/>
        <v>0</v>
      </c>
      <c r="K87" s="44"/>
      <c r="L87" s="41">
        <f t="shared" si="44"/>
        <v>0</v>
      </c>
      <c r="M87" s="41">
        <f t="shared" si="53"/>
        <v>0</v>
      </c>
      <c r="N87" s="44"/>
      <c r="O87" s="41">
        <f t="shared" si="45"/>
        <v>0</v>
      </c>
      <c r="P87" s="41">
        <f t="shared" si="54"/>
        <v>0</v>
      </c>
      <c r="Q87" s="44"/>
      <c r="R87" s="41">
        <f t="shared" si="46"/>
        <v>0</v>
      </c>
      <c r="S87" s="41">
        <f t="shared" si="38"/>
        <v>0</v>
      </c>
      <c r="T87" s="44"/>
      <c r="U87" s="41">
        <f t="shared" si="48"/>
        <v>0</v>
      </c>
      <c r="V87" s="41">
        <f t="shared" si="39"/>
        <v>0</v>
      </c>
      <c r="W87" s="44"/>
      <c r="X87" s="41">
        <f t="shared" si="49"/>
        <v>0</v>
      </c>
      <c r="Y87" s="41">
        <f t="shared" si="40"/>
        <v>0</v>
      </c>
      <c r="Z87" s="44"/>
      <c r="AA87" s="41">
        <f t="shared" si="50"/>
        <v>0</v>
      </c>
      <c r="AB87" s="41">
        <f t="shared" si="41"/>
        <v>0</v>
      </c>
      <c r="AC87" s="44"/>
    </row>
    <row r="88" spans="1:29" collapsed="1" x14ac:dyDescent="0.25">
      <c r="C88" s="70" t="s">
        <v>271</v>
      </c>
      <c r="D88" s="47" t="s">
        <v>272</v>
      </c>
      <c r="E88" s="49">
        <v>295000</v>
      </c>
      <c r="F88" s="49">
        <f>F89+F90</f>
        <v>295000</v>
      </c>
      <c r="G88" s="48">
        <f t="shared" si="51"/>
        <v>0</v>
      </c>
      <c r="H88" s="50"/>
      <c r="I88" s="48">
        <f>I89+I90</f>
        <v>295000</v>
      </c>
      <c r="J88" s="48">
        <f t="shared" si="52"/>
        <v>0</v>
      </c>
      <c r="K88" s="51"/>
      <c r="L88" s="48">
        <f>L89+L90</f>
        <v>295000</v>
      </c>
      <c r="M88" s="48">
        <f t="shared" si="53"/>
        <v>0</v>
      </c>
      <c r="N88" s="51"/>
      <c r="O88" s="48">
        <f>O89+O90</f>
        <v>295000</v>
      </c>
      <c r="P88" s="48">
        <f t="shared" si="54"/>
        <v>0</v>
      </c>
      <c r="Q88" s="51"/>
      <c r="R88" s="48">
        <f>R89+R90</f>
        <v>375000</v>
      </c>
      <c r="S88" s="48">
        <f t="shared" si="38"/>
        <v>80000</v>
      </c>
      <c r="T88" s="51"/>
      <c r="U88" s="48">
        <f>U89+U90</f>
        <v>375000</v>
      </c>
      <c r="V88" s="48">
        <f t="shared" si="39"/>
        <v>0</v>
      </c>
      <c r="W88" s="51"/>
      <c r="X88" s="48">
        <f>X89+X90</f>
        <v>375000</v>
      </c>
      <c r="Y88" s="48">
        <f t="shared" si="40"/>
        <v>0</v>
      </c>
      <c r="Z88" s="51"/>
      <c r="AA88" s="48">
        <f>AA89+AA90</f>
        <v>375000</v>
      </c>
      <c r="AB88" s="48">
        <f t="shared" si="41"/>
        <v>0</v>
      </c>
      <c r="AC88" s="51"/>
    </row>
    <row r="89" spans="1:29" ht="32.25" customHeight="1" x14ac:dyDescent="0.25">
      <c r="B89" s="1" t="s">
        <v>273</v>
      </c>
      <c r="C89" s="39" t="s">
        <v>274</v>
      </c>
      <c r="D89" s="40" t="s">
        <v>275</v>
      </c>
      <c r="E89" s="42">
        <v>295000</v>
      </c>
      <c r="F89" s="42">
        <f>ROUND(E89,0)</f>
        <v>295000</v>
      </c>
      <c r="G89" s="41">
        <f t="shared" si="51"/>
        <v>0</v>
      </c>
      <c r="H89" s="68"/>
      <c r="I89" s="41">
        <f>ROUND(F89,0)</f>
        <v>295000</v>
      </c>
      <c r="J89" s="41">
        <f t="shared" si="52"/>
        <v>0</v>
      </c>
      <c r="K89" s="45"/>
      <c r="L89" s="41">
        <f>ROUND(I89,0)</f>
        <v>295000</v>
      </c>
      <c r="M89" s="41">
        <f t="shared" si="53"/>
        <v>0</v>
      </c>
      <c r="N89" s="45"/>
      <c r="O89" s="41">
        <f>ROUND(L89,0)</f>
        <v>295000</v>
      </c>
      <c r="P89" s="41">
        <f t="shared" si="54"/>
        <v>0</v>
      </c>
      <c r="Q89" s="45"/>
      <c r="R89" s="41">
        <f>ROUND(O89,0)+80000</f>
        <v>375000</v>
      </c>
      <c r="S89" s="41">
        <f t="shared" si="38"/>
        <v>80000</v>
      </c>
      <c r="T89" s="45" t="s">
        <v>276</v>
      </c>
      <c r="U89" s="41">
        <f>ROUND(R89,0)</f>
        <v>375000</v>
      </c>
      <c r="V89" s="41">
        <f t="shared" si="39"/>
        <v>0</v>
      </c>
      <c r="W89" s="45"/>
      <c r="X89" s="41">
        <f>ROUND(U89,0)</f>
        <v>375000</v>
      </c>
      <c r="Y89" s="41">
        <f t="shared" si="40"/>
        <v>0</v>
      </c>
      <c r="Z89" s="45"/>
      <c r="AA89" s="41">
        <f>ROUND(X89,0)</f>
        <v>375000</v>
      </c>
      <c r="AB89" s="41">
        <f t="shared" si="41"/>
        <v>0</v>
      </c>
      <c r="AC89" s="45"/>
    </row>
    <row r="90" spans="1:29" ht="16.149999999999999" customHeight="1" x14ac:dyDescent="0.25">
      <c r="B90" s="1" t="s">
        <v>277</v>
      </c>
      <c r="C90" s="39" t="s">
        <v>278</v>
      </c>
      <c r="D90" s="40" t="s">
        <v>279</v>
      </c>
      <c r="E90" s="42">
        <v>0</v>
      </c>
      <c r="F90" s="42">
        <f>ROUND(E90,0)</f>
        <v>0</v>
      </c>
      <c r="G90" s="41">
        <f t="shared" si="51"/>
        <v>0</v>
      </c>
      <c r="H90" s="43"/>
      <c r="I90" s="41">
        <f>ROUND(F90,0)</f>
        <v>0</v>
      </c>
      <c r="J90" s="41">
        <f t="shared" si="52"/>
        <v>0</v>
      </c>
      <c r="K90" s="44"/>
      <c r="L90" s="41">
        <f>ROUND(I90,0)</f>
        <v>0</v>
      </c>
      <c r="M90" s="41">
        <f t="shared" si="53"/>
        <v>0</v>
      </c>
      <c r="N90" s="44"/>
      <c r="O90" s="41">
        <f>ROUND(L90,0)</f>
        <v>0</v>
      </c>
      <c r="P90" s="41">
        <f t="shared" si="54"/>
        <v>0</v>
      </c>
      <c r="Q90" s="44"/>
      <c r="R90" s="41">
        <f>ROUND(O90,0)</f>
        <v>0</v>
      </c>
      <c r="S90" s="41">
        <f t="shared" si="38"/>
        <v>0</v>
      </c>
      <c r="T90" s="44"/>
      <c r="U90" s="41">
        <f>ROUND(R90,0)</f>
        <v>0</v>
      </c>
      <c r="V90" s="41">
        <f t="shared" si="39"/>
        <v>0</v>
      </c>
      <c r="W90" s="44"/>
      <c r="X90" s="41">
        <f>ROUND(U90,0)</f>
        <v>0</v>
      </c>
      <c r="Y90" s="41">
        <f t="shared" si="40"/>
        <v>0</v>
      </c>
      <c r="Z90" s="44"/>
      <c r="AA90" s="41">
        <f>ROUND(X90,0)</f>
        <v>0</v>
      </c>
      <c r="AB90" s="41">
        <f t="shared" si="41"/>
        <v>0</v>
      </c>
      <c r="AC90" s="44"/>
    </row>
    <row r="91" spans="1:29" ht="35.450000000000003" customHeight="1" x14ac:dyDescent="0.25">
      <c r="C91" s="70" t="s">
        <v>280</v>
      </c>
      <c r="D91" s="47" t="s">
        <v>281</v>
      </c>
      <c r="E91" s="49">
        <v>2153758</v>
      </c>
      <c r="F91" s="49">
        <f t="shared" ref="F91" si="55">F92+F95+F98+F102+F106</f>
        <v>1974755</v>
      </c>
      <c r="G91" s="48">
        <f t="shared" si="51"/>
        <v>-179003</v>
      </c>
      <c r="H91" s="50"/>
      <c r="I91" s="48">
        <f>I92+I95+I98+I102+I106</f>
        <v>1974755</v>
      </c>
      <c r="J91" s="48">
        <f t="shared" si="52"/>
        <v>0</v>
      </c>
      <c r="K91" s="51"/>
      <c r="L91" s="48">
        <f>L92+L95+L98+L102+L106</f>
        <v>1974755</v>
      </c>
      <c r="M91" s="48">
        <f t="shared" si="53"/>
        <v>0</v>
      </c>
      <c r="N91" s="51"/>
      <c r="O91" s="48">
        <f>O92+O95+O98+O102+O106</f>
        <v>2675467</v>
      </c>
      <c r="P91" s="48">
        <f t="shared" si="54"/>
        <v>700712</v>
      </c>
      <c r="Q91" s="51"/>
      <c r="R91" s="48">
        <f>R92+R95+R98+R102+R106</f>
        <v>2888467</v>
      </c>
      <c r="S91" s="48">
        <f t="shared" si="38"/>
        <v>213000</v>
      </c>
      <c r="T91" s="51"/>
      <c r="U91" s="48">
        <f>U92+U95+U98+U102+U106</f>
        <v>2908467</v>
      </c>
      <c r="V91" s="48">
        <f t="shared" si="39"/>
        <v>20000</v>
      </c>
      <c r="W91" s="51"/>
      <c r="X91" s="48">
        <f>X92+X95+X98+X102+X106</f>
        <v>2914767</v>
      </c>
      <c r="Y91" s="48">
        <f t="shared" si="40"/>
        <v>6300</v>
      </c>
      <c r="Z91" s="51"/>
      <c r="AA91" s="48">
        <f>AA92+AA95+AA98+AA102+AA106</f>
        <v>2914767</v>
      </c>
      <c r="AB91" s="48">
        <f t="shared" si="41"/>
        <v>0</v>
      </c>
      <c r="AC91" s="51"/>
    </row>
    <row r="92" spans="1:29" x14ac:dyDescent="0.25">
      <c r="A92" s="1" t="s">
        <v>30</v>
      </c>
      <c r="B92" s="1" t="s">
        <v>282</v>
      </c>
      <c r="C92" s="39" t="s">
        <v>283</v>
      </c>
      <c r="D92" s="40" t="s">
        <v>284</v>
      </c>
      <c r="E92" s="42">
        <v>149000</v>
      </c>
      <c r="F92" s="42">
        <f>SUM(F93:F94)</f>
        <v>149000</v>
      </c>
      <c r="G92" s="41">
        <f t="shared" si="51"/>
        <v>0</v>
      </c>
      <c r="H92" s="43"/>
      <c r="I92" s="41">
        <f>SUM(I93:I94)</f>
        <v>149000</v>
      </c>
      <c r="J92" s="41">
        <f t="shared" si="52"/>
        <v>0</v>
      </c>
      <c r="K92" s="44"/>
      <c r="L92" s="41">
        <f>SUM(L93:L94)</f>
        <v>149000</v>
      </c>
      <c r="M92" s="41">
        <f t="shared" si="53"/>
        <v>0</v>
      </c>
      <c r="N92" s="44"/>
      <c r="O92" s="41">
        <f>SUM(O93:O94)</f>
        <v>149000</v>
      </c>
      <c r="P92" s="41">
        <f t="shared" si="54"/>
        <v>0</v>
      </c>
      <c r="Q92" s="44"/>
      <c r="R92" s="41">
        <f>SUM(R93:R94)</f>
        <v>279000</v>
      </c>
      <c r="S92" s="41">
        <f t="shared" si="38"/>
        <v>130000</v>
      </c>
      <c r="T92" s="44"/>
      <c r="U92" s="41">
        <f>SUM(U93:U94)</f>
        <v>279000</v>
      </c>
      <c r="V92" s="41">
        <f t="shared" si="39"/>
        <v>0</v>
      </c>
      <c r="W92" s="44"/>
      <c r="X92" s="41">
        <f>SUM(X93:X94)</f>
        <v>279000</v>
      </c>
      <c r="Y92" s="41">
        <f t="shared" si="40"/>
        <v>0</v>
      </c>
      <c r="Z92" s="44"/>
      <c r="AA92" s="41">
        <f>SUM(AA93:AA94)</f>
        <v>279000</v>
      </c>
      <c r="AB92" s="41">
        <f t="shared" si="41"/>
        <v>0</v>
      </c>
      <c r="AC92" s="44"/>
    </row>
    <row r="93" spans="1:29" ht="14.25" customHeight="1" x14ac:dyDescent="0.25">
      <c r="B93" s="1" t="s">
        <v>285</v>
      </c>
      <c r="C93" s="107" t="s">
        <v>286</v>
      </c>
      <c r="D93" s="108" t="s">
        <v>287</v>
      </c>
      <c r="E93" s="42">
        <v>24000</v>
      </c>
      <c r="F93" s="42">
        <f>ROUND(E93,0)</f>
        <v>24000</v>
      </c>
      <c r="G93" s="41">
        <f t="shared" si="51"/>
        <v>0</v>
      </c>
      <c r="H93" s="53"/>
      <c r="I93" s="41">
        <f>ROUND(F93,0)</f>
        <v>24000</v>
      </c>
      <c r="J93" s="41">
        <f t="shared" si="52"/>
        <v>0</v>
      </c>
      <c r="K93" s="54"/>
      <c r="L93" s="41">
        <f>ROUND(I93,0)</f>
        <v>24000</v>
      </c>
      <c r="M93" s="41">
        <f t="shared" si="53"/>
        <v>0</v>
      </c>
      <c r="N93" s="54"/>
      <c r="O93" s="41">
        <f>ROUND(L93,0)</f>
        <v>24000</v>
      </c>
      <c r="P93" s="41">
        <f t="shared" si="54"/>
        <v>0</v>
      </c>
      <c r="Q93" s="54"/>
      <c r="R93" s="41">
        <f>ROUND(O93,0)+55000</f>
        <v>79000</v>
      </c>
      <c r="S93" s="41">
        <f t="shared" si="38"/>
        <v>55000</v>
      </c>
      <c r="T93" s="45" t="s">
        <v>276</v>
      </c>
      <c r="U93" s="41">
        <f>ROUND(R93,0)</f>
        <v>79000</v>
      </c>
      <c r="V93" s="41">
        <f t="shared" si="39"/>
        <v>0</v>
      </c>
      <c r="W93" s="45"/>
      <c r="X93" s="41">
        <f>ROUND(U93,0)</f>
        <v>79000</v>
      </c>
      <c r="Y93" s="41">
        <f t="shared" si="40"/>
        <v>0</v>
      </c>
      <c r="Z93" s="45"/>
      <c r="AA93" s="41">
        <f>ROUND(X93,0)</f>
        <v>79000</v>
      </c>
      <c r="AB93" s="41">
        <f t="shared" si="41"/>
        <v>0</v>
      </c>
      <c r="AC93" s="45"/>
    </row>
    <row r="94" spans="1:29" ht="30" customHeight="1" x14ac:dyDescent="0.25">
      <c r="B94" s="1" t="s">
        <v>288</v>
      </c>
      <c r="C94" s="107" t="s">
        <v>289</v>
      </c>
      <c r="D94" s="108" t="s">
        <v>290</v>
      </c>
      <c r="E94" s="42">
        <v>125000</v>
      </c>
      <c r="F94" s="42">
        <f>ROUND(E94,0)</f>
        <v>125000</v>
      </c>
      <c r="G94" s="41">
        <f t="shared" si="51"/>
        <v>0</v>
      </c>
      <c r="H94" s="53"/>
      <c r="I94" s="41">
        <f>ROUND(F94,0)</f>
        <v>125000</v>
      </c>
      <c r="J94" s="41">
        <f t="shared" si="52"/>
        <v>0</v>
      </c>
      <c r="K94" s="54"/>
      <c r="L94" s="41">
        <f>ROUND(I94,0)</f>
        <v>125000</v>
      </c>
      <c r="M94" s="41">
        <f t="shared" si="53"/>
        <v>0</v>
      </c>
      <c r="N94" s="54"/>
      <c r="O94" s="41">
        <f>ROUND(L94,0)</f>
        <v>125000</v>
      </c>
      <c r="P94" s="41">
        <f t="shared" si="54"/>
        <v>0</v>
      </c>
      <c r="Q94" s="54"/>
      <c r="R94" s="41">
        <f>ROUND(O94,0)+75000</f>
        <v>200000</v>
      </c>
      <c r="S94" s="41">
        <f t="shared" si="38"/>
        <v>75000</v>
      </c>
      <c r="T94" s="45" t="s">
        <v>276</v>
      </c>
      <c r="U94" s="41">
        <f>ROUND(R94,0)</f>
        <v>200000</v>
      </c>
      <c r="V94" s="41">
        <f t="shared" si="39"/>
        <v>0</v>
      </c>
      <c r="W94" s="45"/>
      <c r="X94" s="41">
        <f>ROUND(U94,0)</f>
        <v>200000</v>
      </c>
      <c r="Y94" s="41">
        <f t="shared" si="40"/>
        <v>0</v>
      </c>
      <c r="Z94" s="45"/>
      <c r="AA94" s="41">
        <f>ROUND(X94,0)</f>
        <v>200000</v>
      </c>
      <c r="AB94" s="41">
        <f t="shared" si="41"/>
        <v>0</v>
      </c>
      <c r="AC94" s="45"/>
    </row>
    <row r="95" spans="1:29" ht="13.9" customHeight="1" x14ac:dyDescent="0.25">
      <c r="C95" s="39" t="s">
        <v>291</v>
      </c>
      <c r="D95" s="40" t="s">
        <v>292</v>
      </c>
      <c r="E95" s="42">
        <v>0</v>
      </c>
      <c r="F95" s="42">
        <f>F96+F97</f>
        <v>0</v>
      </c>
      <c r="G95" s="41">
        <f t="shared" si="51"/>
        <v>0</v>
      </c>
      <c r="H95" s="109"/>
      <c r="I95" s="41">
        <f>I96+I97</f>
        <v>0</v>
      </c>
      <c r="J95" s="41">
        <f t="shared" si="52"/>
        <v>0</v>
      </c>
      <c r="K95" s="110"/>
      <c r="L95" s="41">
        <f>L96+L97</f>
        <v>0</v>
      </c>
      <c r="M95" s="41">
        <f t="shared" si="53"/>
        <v>0</v>
      </c>
      <c r="N95" s="110"/>
      <c r="O95" s="41">
        <f>O96+O97</f>
        <v>0</v>
      </c>
      <c r="P95" s="41">
        <f t="shared" si="54"/>
        <v>0</v>
      </c>
      <c r="Q95" s="110"/>
      <c r="R95" s="41">
        <f>R96+R97</f>
        <v>0</v>
      </c>
      <c r="S95" s="41">
        <f t="shared" si="38"/>
        <v>0</v>
      </c>
      <c r="T95" s="110"/>
      <c r="U95" s="41">
        <f>U96+U97</f>
        <v>0</v>
      </c>
      <c r="V95" s="41">
        <f t="shared" si="39"/>
        <v>0</v>
      </c>
      <c r="W95" s="110"/>
      <c r="X95" s="41">
        <f>X96+X97</f>
        <v>0</v>
      </c>
      <c r="Y95" s="41">
        <f t="shared" si="40"/>
        <v>0</v>
      </c>
      <c r="Z95" s="110"/>
      <c r="AA95" s="41">
        <f>AA96+AA97</f>
        <v>0</v>
      </c>
      <c r="AB95" s="41">
        <f t="shared" si="41"/>
        <v>0</v>
      </c>
      <c r="AC95" s="110"/>
    </row>
    <row r="96" spans="1:29" x14ac:dyDescent="0.25">
      <c r="C96" s="107" t="s">
        <v>293</v>
      </c>
      <c r="D96" s="108" t="s">
        <v>294</v>
      </c>
      <c r="E96" s="42">
        <v>0</v>
      </c>
      <c r="F96" s="42"/>
      <c r="G96" s="41">
        <f t="shared" si="51"/>
        <v>0</v>
      </c>
      <c r="H96" s="53"/>
      <c r="I96" s="41"/>
      <c r="J96" s="41">
        <f t="shared" si="52"/>
        <v>0</v>
      </c>
      <c r="K96" s="54"/>
      <c r="L96" s="41"/>
      <c r="M96" s="41">
        <f t="shared" si="53"/>
        <v>0</v>
      </c>
      <c r="N96" s="54"/>
      <c r="O96" s="41"/>
      <c r="P96" s="41">
        <f t="shared" si="54"/>
        <v>0</v>
      </c>
      <c r="Q96" s="54"/>
      <c r="R96" s="41"/>
      <c r="S96" s="41">
        <f t="shared" si="38"/>
        <v>0</v>
      </c>
      <c r="T96" s="54"/>
      <c r="U96" s="41"/>
      <c r="V96" s="41">
        <f t="shared" si="39"/>
        <v>0</v>
      </c>
      <c r="W96" s="54"/>
      <c r="X96" s="41"/>
      <c r="Y96" s="41">
        <f t="shared" si="40"/>
        <v>0</v>
      </c>
      <c r="Z96" s="54"/>
      <c r="AA96" s="41"/>
      <c r="AB96" s="41">
        <f t="shared" si="41"/>
        <v>0</v>
      </c>
      <c r="AC96" s="54"/>
    </row>
    <row r="97" spans="1:29" ht="30" customHeight="1" x14ac:dyDescent="0.25">
      <c r="B97" s="90" t="s">
        <v>295</v>
      </c>
      <c r="C97" s="107" t="s">
        <v>296</v>
      </c>
      <c r="D97" s="93" t="s">
        <v>297</v>
      </c>
      <c r="E97" s="42">
        <v>0</v>
      </c>
      <c r="F97" s="42">
        <f>ROUND(E97,0)</f>
        <v>0</v>
      </c>
      <c r="G97" s="41">
        <f t="shared" si="51"/>
        <v>0</v>
      </c>
      <c r="H97" s="53"/>
      <c r="I97" s="41">
        <f>ROUND(F97,0)</f>
        <v>0</v>
      </c>
      <c r="J97" s="41">
        <f t="shared" si="52"/>
        <v>0</v>
      </c>
      <c r="K97" s="54"/>
      <c r="L97" s="41">
        <f>ROUND(I97,0)</f>
        <v>0</v>
      </c>
      <c r="M97" s="41">
        <f t="shared" si="53"/>
        <v>0</v>
      </c>
      <c r="N97" s="54"/>
      <c r="O97" s="41">
        <f>ROUND(L97,0)</f>
        <v>0</v>
      </c>
      <c r="P97" s="41">
        <f t="shared" si="54"/>
        <v>0</v>
      </c>
      <c r="Q97" s="54"/>
      <c r="R97" s="41">
        <f>ROUND(O97,0)</f>
        <v>0</v>
      </c>
      <c r="S97" s="41">
        <f t="shared" si="38"/>
        <v>0</v>
      </c>
      <c r="T97" s="54"/>
      <c r="U97" s="41">
        <f>ROUND(R97,0)</f>
        <v>0</v>
      </c>
      <c r="V97" s="41">
        <f t="shared" si="39"/>
        <v>0</v>
      </c>
      <c r="W97" s="54"/>
      <c r="X97" s="41">
        <f>ROUND(U97,0)</f>
        <v>0</v>
      </c>
      <c r="Y97" s="41">
        <f t="shared" si="40"/>
        <v>0</v>
      </c>
      <c r="Z97" s="54"/>
      <c r="AA97" s="41">
        <f>ROUND(X97,0)</f>
        <v>0</v>
      </c>
      <c r="AB97" s="41">
        <f t="shared" si="41"/>
        <v>0</v>
      </c>
      <c r="AC97" s="54"/>
    </row>
    <row r="98" spans="1:29" x14ac:dyDescent="0.25">
      <c r="A98" s="1" t="s">
        <v>30</v>
      </c>
      <c r="B98" s="1" t="s">
        <v>298</v>
      </c>
      <c r="C98" s="39" t="s">
        <v>299</v>
      </c>
      <c r="D98" s="40" t="s">
        <v>300</v>
      </c>
      <c r="E98" s="42">
        <v>180000</v>
      </c>
      <c r="F98" s="42">
        <f>SUM(F99:F101)</f>
        <v>180000</v>
      </c>
      <c r="G98" s="41">
        <f t="shared" si="51"/>
        <v>0</v>
      </c>
      <c r="H98" s="43"/>
      <c r="I98" s="41">
        <f>SUM(I99:I101)</f>
        <v>180000</v>
      </c>
      <c r="J98" s="41">
        <f t="shared" si="52"/>
        <v>0</v>
      </c>
      <c r="K98" s="44"/>
      <c r="L98" s="41">
        <f>SUM(L99:L101)</f>
        <v>180000</v>
      </c>
      <c r="M98" s="41">
        <f t="shared" si="53"/>
        <v>0</v>
      </c>
      <c r="N98" s="44"/>
      <c r="O98" s="41">
        <f>SUM(O99:O101)</f>
        <v>195370</v>
      </c>
      <c r="P98" s="41">
        <f t="shared" si="54"/>
        <v>15370</v>
      </c>
      <c r="Q98" s="44"/>
      <c r="R98" s="41">
        <f>SUM(R99:R101)</f>
        <v>278370</v>
      </c>
      <c r="S98" s="41">
        <f t="shared" si="38"/>
        <v>83000</v>
      </c>
      <c r="T98" s="44"/>
      <c r="U98" s="41">
        <f>SUM(U99:U101)</f>
        <v>278370</v>
      </c>
      <c r="V98" s="41">
        <f t="shared" si="39"/>
        <v>0</v>
      </c>
      <c r="W98" s="44"/>
      <c r="X98" s="41">
        <f>SUM(X99:X101)</f>
        <v>278370</v>
      </c>
      <c r="Y98" s="41">
        <f t="shared" si="40"/>
        <v>0</v>
      </c>
      <c r="Z98" s="44"/>
      <c r="AA98" s="41">
        <f>SUM(AA99:AA101)</f>
        <v>278370</v>
      </c>
      <c r="AB98" s="41">
        <f t="shared" si="41"/>
        <v>0</v>
      </c>
      <c r="AC98" s="44"/>
    </row>
    <row r="99" spans="1:29" ht="16.5" customHeight="1" x14ac:dyDescent="0.25">
      <c r="B99" s="1" t="s">
        <v>301</v>
      </c>
      <c r="C99" s="107" t="s">
        <v>302</v>
      </c>
      <c r="D99" s="108" t="s">
        <v>303</v>
      </c>
      <c r="E99" s="42">
        <v>143000</v>
      </c>
      <c r="F99" s="42">
        <f>ROUND(E99,0)</f>
        <v>143000</v>
      </c>
      <c r="G99" s="41">
        <f t="shared" si="51"/>
        <v>0</v>
      </c>
      <c r="H99" s="68"/>
      <c r="I99" s="41">
        <f>ROUND(F99,0)</f>
        <v>143000</v>
      </c>
      <c r="J99" s="41">
        <f t="shared" si="52"/>
        <v>0</v>
      </c>
      <c r="K99" s="45"/>
      <c r="L99" s="41">
        <f>ROUND(I99,0)</f>
        <v>143000</v>
      </c>
      <c r="M99" s="41">
        <f t="shared" si="53"/>
        <v>0</v>
      </c>
      <c r="N99" s="45"/>
      <c r="O99" s="41">
        <f>ROUND(L99,0)+6370+9000</f>
        <v>158370</v>
      </c>
      <c r="P99" s="41">
        <f t="shared" si="54"/>
        <v>15370</v>
      </c>
      <c r="Q99" s="45" t="s">
        <v>304</v>
      </c>
      <c r="R99" s="41">
        <f>ROUND(O99,0)+62000</f>
        <v>220370</v>
      </c>
      <c r="S99" s="41">
        <f t="shared" si="38"/>
        <v>62000</v>
      </c>
      <c r="T99" s="45" t="s">
        <v>305</v>
      </c>
      <c r="U99" s="41">
        <f>ROUND(R99,0)</f>
        <v>220370</v>
      </c>
      <c r="V99" s="41">
        <f t="shared" si="39"/>
        <v>0</v>
      </c>
      <c r="W99" s="45"/>
      <c r="X99" s="41">
        <f>ROUND(U99,0)</f>
        <v>220370</v>
      </c>
      <c r="Y99" s="41">
        <f t="shared" si="40"/>
        <v>0</v>
      </c>
      <c r="Z99" s="45"/>
      <c r="AA99" s="41">
        <f>ROUND(X99,0)</f>
        <v>220370</v>
      </c>
      <c r="AB99" s="41">
        <f t="shared" si="41"/>
        <v>0</v>
      </c>
      <c r="AC99" s="45"/>
    </row>
    <row r="100" spans="1:29" x14ac:dyDescent="0.25">
      <c r="B100" s="1" t="s">
        <v>306</v>
      </c>
      <c r="C100" s="107" t="s">
        <v>307</v>
      </c>
      <c r="D100" s="108" t="s">
        <v>308</v>
      </c>
      <c r="E100" s="42">
        <v>36000</v>
      </c>
      <c r="F100" s="42">
        <f>ROUND(E100,0)</f>
        <v>36000</v>
      </c>
      <c r="G100" s="41">
        <f t="shared" si="51"/>
        <v>0</v>
      </c>
      <c r="H100" s="43"/>
      <c r="I100" s="41">
        <f>ROUND(F100,0)</f>
        <v>36000</v>
      </c>
      <c r="J100" s="41">
        <f t="shared" si="52"/>
        <v>0</v>
      </c>
      <c r="K100" s="44"/>
      <c r="L100" s="41">
        <f>ROUND(I100,0)</f>
        <v>36000</v>
      </c>
      <c r="M100" s="41">
        <f t="shared" si="53"/>
        <v>0</v>
      </c>
      <c r="N100" s="44"/>
      <c r="O100" s="41">
        <f>ROUND(L100,0)</f>
        <v>36000</v>
      </c>
      <c r="P100" s="41">
        <f t="shared" si="54"/>
        <v>0</v>
      </c>
      <c r="Q100" s="44"/>
      <c r="R100" s="41">
        <f>ROUND(O100,0)+21000</f>
        <v>57000</v>
      </c>
      <c r="S100" s="41">
        <f t="shared" si="38"/>
        <v>21000</v>
      </c>
      <c r="T100" s="45" t="s">
        <v>305</v>
      </c>
      <c r="U100" s="41">
        <f>ROUND(R100,0)</f>
        <v>57000</v>
      </c>
      <c r="V100" s="41">
        <f t="shared" si="39"/>
        <v>0</v>
      </c>
      <c r="W100" s="45"/>
      <c r="X100" s="41">
        <f>ROUND(U100,0)</f>
        <v>57000</v>
      </c>
      <c r="Y100" s="41">
        <f t="shared" si="40"/>
        <v>0</v>
      </c>
      <c r="Z100" s="45"/>
      <c r="AA100" s="41">
        <f>ROUND(X100,0)</f>
        <v>57000</v>
      </c>
      <c r="AB100" s="41">
        <f t="shared" si="41"/>
        <v>0</v>
      </c>
      <c r="AC100" s="45"/>
    </row>
    <row r="101" spans="1:29" x14ac:dyDescent="0.25">
      <c r="B101" s="1" t="s">
        <v>309</v>
      </c>
      <c r="C101" s="107" t="s">
        <v>310</v>
      </c>
      <c r="D101" s="93" t="s">
        <v>311</v>
      </c>
      <c r="E101" s="42">
        <v>1000</v>
      </c>
      <c r="F101" s="42">
        <f>ROUND(E101,0)</f>
        <v>1000</v>
      </c>
      <c r="G101" s="41">
        <f t="shared" si="51"/>
        <v>0</v>
      </c>
      <c r="H101" s="43"/>
      <c r="I101" s="41">
        <f>ROUND(F101,0)</f>
        <v>1000</v>
      </c>
      <c r="J101" s="41">
        <f t="shared" si="52"/>
        <v>0</v>
      </c>
      <c r="K101" s="44"/>
      <c r="L101" s="41">
        <f>ROUND(I101,0)</f>
        <v>1000</v>
      </c>
      <c r="M101" s="41">
        <f t="shared" si="53"/>
        <v>0</v>
      </c>
      <c r="N101" s="44"/>
      <c r="O101" s="41">
        <f>ROUND(L101,0)</f>
        <v>1000</v>
      </c>
      <c r="P101" s="41">
        <f t="shared" si="54"/>
        <v>0</v>
      </c>
      <c r="Q101" s="44"/>
      <c r="R101" s="41">
        <f>ROUND(O101,0)</f>
        <v>1000</v>
      </c>
      <c r="S101" s="41">
        <f t="shared" si="38"/>
        <v>0</v>
      </c>
      <c r="T101" s="44"/>
      <c r="U101" s="41">
        <f>ROUND(R101,0)</f>
        <v>1000</v>
      </c>
      <c r="V101" s="41">
        <f t="shared" si="39"/>
        <v>0</v>
      </c>
      <c r="W101" s="44"/>
      <c r="X101" s="41">
        <f>ROUND(U101,0)</f>
        <v>1000</v>
      </c>
      <c r="Y101" s="41">
        <f t="shared" si="40"/>
        <v>0</v>
      </c>
      <c r="Z101" s="44"/>
      <c r="AA101" s="41">
        <f>ROUND(X101,0)</f>
        <v>1000</v>
      </c>
      <c r="AB101" s="41">
        <f t="shared" si="41"/>
        <v>0</v>
      </c>
      <c r="AC101" s="44"/>
    </row>
    <row r="102" spans="1:29" ht="25.15" customHeight="1" x14ac:dyDescent="0.25">
      <c r="A102" s="1" t="s">
        <v>30</v>
      </c>
      <c r="B102" s="1" t="s">
        <v>312</v>
      </c>
      <c r="C102" s="39" t="s">
        <v>313</v>
      </c>
      <c r="D102" s="40" t="s">
        <v>314</v>
      </c>
      <c r="E102" s="42">
        <v>1712137</v>
      </c>
      <c r="F102" s="42">
        <f t="shared" ref="F102" si="56">SUM(F103:F105)</f>
        <v>1543755</v>
      </c>
      <c r="G102" s="41">
        <f t="shared" si="51"/>
        <v>-168382</v>
      </c>
      <c r="H102" s="68"/>
      <c r="I102" s="41">
        <f>SUM(I103:I105)</f>
        <v>1543755</v>
      </c>
      <c r="J102" s="41">
        <f t="shared" si="52"/>
        <v>0</v>
      </c>
      <c r="K102" s="45"/>
      <c r="L102" s="41">
        <f>SUM(L103:L105)</f>
        <v>1543755</v>
      </c>
      <c r="M102" s="41">
        <f t="shared" si="53"/>
        <v>0</v>
      </c>
      <c r="N102" s="45"/>
      <c r="O102" s="41">
        <f>SUM(O103:O105)</f>
        <v>2224097</v>
      </c>
      <c r="P102" s="41">
        <f t="shared" si="54"/>
        <v>680342</v>
      </c>
      <c r="Q102" s="45"/>
      <c r="R102" s="41">
        <f>SUM(R103:R105)</f>
        <v>2224097</v>
      </c>
      <c r="S102" s="41">
        <f t="shared" si="38"/>
        <v>0</v>
      </c>
      <c r="T102" s="45"/>
      <c r="U102" s="41">
        <f>SUM(U103:U105)</f>
        <v>2224097</v>
      </c>
      <c r="V102" s="41">
        <f t="shared" si="39"/>
        <v>0</v>
      </c>
      <c r="W102" s="45"/>
      <c r="X102" s="41">
        <f>SUM(X103:X105)</f>
        <v>2230397</v>
      </c>
      <c r="Y102" s="41">
        <f t="shared" si="40"/>
        <v>6300</v>
      </c>
      <c r="Z102" s="45"/>
      <c r="AA102" s="41">
        <f>SUM(AA103:AA105)</f>
        <v>2230397</v>
      </c>
      <c r="AB102" s="41">
        <f t="shared" si="41"/>
        <v>0</v>
      </c>
      <c r="AC102" s="45"/>
    </row>
    <row r="103" spans="1:29" ht="28.15" customHeight="1" x14ac:dyDescent="0.25">
      <c r="A103" s="90" t="s">
        <v>315</v>
      </c>
      <c r="C103" s="107" t="s">
        <v>316</v>
      </c>
      <c r="D103" s="108" t="s">
        <v>314</v>
      </c>
      <c r="E103" s="42">
        <v>135600</v>
      </c>
      <c r="F103" s="42">
        <f>ROUND(E103,0)</f>
        <v>135600</v>
      </c>
      <c r="G103" s="41">
        <f t="shared" si="51"/>
        <v>0</v>
      </c>
      <c r="H103" s="43"/>
      <c r="I103" s="41">
        <f>ROUND(F103,0)</f>
        <v>135600</v>
      </c>
      <c r="J103" s="41">
        <f t="shared" si="52"/>
        <v>0</v>
      </c>
      <c r="K103" s="44"/>
      <c r="L103" s="41">
        <f>ROUND(I103,0)</f>
        <v>135600</v>
      </c>
      <c r="M103" s="41">
        <f t="shared" si="53"/>
        <v>0</v>
      </c>
      <c r="N103" s="44"/>
      <c r="O103" s="41">
        <f>ROUND(L103,0)</f>
        <v>135600</v>
      </c>
      <c r="P103" s="41">
        <f t="shared" si="54"/>
        <v>0</v>
      </c>
      <c r="Q103" s="45"/>
      <c r="R103" s="41">
        <f>ROUND(O103,0)</f>
        <v>135600</v>
      </c>
      <c r="S103" s="41">
        <f t="shared" si="38"/>
        <v>0</v>
      </c>
      <c r="T103" s="45"/>
      <c r="U103" s="41">
        <f>ROUND(R103,0)</f>
        <v>135600</v>
      </c>
      <c r="V103" s="41">
        <f t="shared" si="39"/>
        <v>0</v>
      </c>
      <c r="W103" s="45"/>
      <c r="X103" s="41">
        <f>ROUND(U103,0)</f>
        <v>135600</v>
      </c>
      <c r="Y103" s="41">
        <f t="shared" si="40"/>
        <v>0</v>
      </c>
      <c r="Z103" s="45"/>
      <c r="AA103" s="41">
        <f>ROUND(X103,0)</f>
        <v>135600</v>
      </c>
      <c r="AB103" s="41">
        <f t="shared" si="41"/>
        <v>0</v>
      </c>
      <c r="AC103" s="45"/>
    </row>
    <row r="104" spans="1:29" ht="45" customHeight="1" x14ac:dyDescent="0.25">
      <c r="B104" s="1" t="s">
        <v>317</v>
      </c>
      <c r="C104" s="107" t="s">
        <v>318</v>
      </c>
      <c r="D104" s="108" t="s">
        <v>319</v>
      </c>
      <c r="E104" s="42">
        <v>2500</v>
      </c>
      <c r="F104" s="42">
        <f>ROUND(E104,0)</f>
        <v>2500</v>
      </c>
      <c r="G104" s="41">
        <f t="shared" si="51"/>
        <v>0</v>
      </c>
      <c r="H104" s="43"/>
      <c r="I104" s="41">
        <f>ROUND(F104,0)</f>
        <v>2500</v>
      </c>
      <c r="J104" s="41">
        <f t="shared" si="52"/>
        <v>0</v>
      </c>
      <c r="K104" s="44"/>
      <c r="L104" s="41">
        <f>ROUND(I104,0)</f>
        <v>2500</v>
      </c>
      <c r="M104" s="41">
        <f t="shared" si="53"/>
        <v>0</v>
      </c>
      <c r="N104" s="44"/>
      <c r="O104" s="41">
        <f>ROUND(L104,0)</f>
        <v>2500</v>
      </c>
      <c r="P104" s="41">
        <f t="shared" si="54"/>
        <v>0</v>
      </c>
      <c r="Q104" s="44"/>
      <c r="R104" s="41">
        <f>ROUND(O104,0)</f>
        <v>2500</v>
      </c>
      <c r="S104" s="41">
        <f t="shared" si="38"/>
        <v>0</v>
      </c>
      <c r="T104" s="44"/>
      <c r="U104" s="41">
        <f>ROUND(R104,0)</f>
        <v>2500</v>
      </c>
      <c r="V104" s="41">
        <f t="shared" si="39"/>
        <v>0</v>
      </c>
      <c r="W104" s="44"/>
      <c r="X104" s="41">
        <f>ROUND(U104,0)+6300</f>
        <v>8800</v>
      </c>
      <c r="Y104" s="41">
        <f t="shared" si="40"/>
        <v>6300</v>
      </c>
      <c r="Z104" s="45" t="s">
        <v>320</v>
      </c>
      <c r="AA104" s="41">
        <f>ROUND(X104,0)</f>
        <v>8800</v>
      </c>
      <c r="AB104" s="41">
        <f t="shared" si="41"/>
        <v>0</v>
      </c>
      <c r="AC104" s="45"/>
    </row>
    <row r="105" spans="1:29" ht="28.9" customHeight="1" x14ac:dyDescent="0.25">
      <c r="B105" s="1" t="s">
        <v>321</v>
      </c>
      <c r="C105" s="107" t="s">
        <v>322</v>
      </c>
      <c r="D105" s="108" t="s">
        <v>323</v>
      </c>
      <c r="E105" s="42">
        <v>1574037</v>
      </c>
      <c r="F105" s="42">
        <f>ROUND(E105,0)-168382</f>
        <v>1405655</v>
      </c>
      <c r="G105" s="41">
        <f t="shared" si="51"/>
        <v>-168382</v>
      </c>
      <c r="H105" s="96" t="s">
        <v>324</v>
      </c>
      <c r="I105" s="41">
        <f>ROUND(F105,0)</f>
        <v>1405655</v>
      </c>
      <c r="J105" s="41">
        <f t="shared" si="52"/>
        <v>0</v>
      </c>
      <c r="K105" s="44"/>
      <c r="L105" s="41">
        <f>ROUND(I105,0)</f>
        <v>1405655</v>
      </c>
      <c r="M105" s="41">
        <f t="shared" si="53"/>
        <v>0</v>
      </c>
      <c r="N105" s="45"/>
      <c r="O105" s="41">
        <f>ROUND(L105,0)+680342</f>
        <v>2085997</v>
      </c>
      <c r="P105" s="41">
        <f t="shared" si="54"/>
        <v>680342</v>
      </c>
      <c r="Q105" s="45" t="s">
        <v>325</v>
      </c>
      <c r="R105" s="41">
        <f>ROUND(O105,0)</f>
        <v>2085997</v>
      </c>
      <c r="S105" s="41">
        <f t="shared" si="38"/>
        <v>0</v>
      </c>
      <c r="T105" s="45"/>
      <c r="U105" s="41">
        <f>ROUND(R105,0)</f>
        <v>2085997</v>
      </c>
      <c r="V105" s="41">
        <f t="shared" si="39"/>
        <v>0</v>
      </c>
      <c r="W105" s="45"/>
      <c r="X105" s="41">
        <f>ROUND(U105,0)</f>
        <v>2085997</v>
      </c>
      <c r="Y105" s="41">
        <f t="shared" si="40"/>
        <v>0</v>
      </c>
      <c r="Z105" s="45"/>
      <c r="AA105" s="41">
        <f>ROUND(X105,0)</f>
        <v>2085997</v>
      </c>
      <c r="AB105" s="41">
        <f t="shared" si="41"/>
        <v>0</v>
      </c>
      <c r="AC105" s="45"/>
    </row>
    <row r="106" spans="1:29" ht="15" customHeight="1" thickBot="1" x14ac:dyDescent="0.3">
      <c r="A106" s="1" t="s">
        <v>30</v>
      </c>
      <c r="B106" s="58" t="s">
        <v>326</v>
      </c>
      <c r="C106" s="39" t="s">
        <v>327</v>
      </c>
      <c r="D106" s="40" t="s">
        <v>328</v>
      </c>
      <c r="E106" s="42">
        <v>112621</v>
      </c>
      <c r="F106" s="42">
        <f>ROUND(E106,0)-10621</f>
        <v>102000</v>
      </c>
      <c r="G106" s="41">
        <f t="shared" si="51"/>
        <v>-10621</v>
      </c>
      <c r="H106" s="45" t="s">
        <v>329</v>
      </c>
      <c r="I106" s="41">
        <f>ROUND(F106,0)</f>
        <v>102000</v>
      </c>
      <c r="J106" s="41">
        <f t="shared" si="52"/>
        <v>0</v>
      </c>
      <c r="K106" s="44"/>
      <c r="L106" s="41">
        <f>ROUND(I106,0)</f>
        <v>102000</v>
      </c>
      <c r="M106" s="41">
        <f t="shared" si="53"/>
        <v>0</v>
      </c>
      <c r="N106" s="44"/>
      <c r="O106" s="41">
        <f>ROUND(L106,0)+5000</f>
        <v>107000</v>
      </c>
      <c r="P106" s="41">
        <f t="shared" si="54"/>
        <v>5000</v>
      </c>
      <c r="Q106" s="45" t="s">
        <v>95</v>
      </c>
      <c r="R106" s="41">
        <f>ROUND(O106,0)</f>
        <v>107000</v>
      </c>
      <c r="S106" s="41">
        <f t="shared" si="38"/>
        <v>0</v>
      </c>
      <c r="T106" s="45"/>
      <c r="U106" s="41">
        <f>ROUND(R106,0)+20000</f>
        <v>127000</v>
      </c>
      <c r="V106" s="41">
        <f t="shared" si="39"/>
        <v>20000</v>
      </c>
      <c r="W106" s="45" t="s">
        <v>330</v>
      </c>
      <c r="X106" s="41">
        <f>ROUND(U106,0)</f>
        <v>127000</v>
      </c>
      <c r="Y106" s="41">
        <f t="shared" si="40"/>
        <v>0</v>
      </c>
      <c r="Z106" s="45"/>
      <c r="AA106" s="41">
        <f>ROUND(X106,0)</f>
        <v>127000</v>
      </c>
      <c r="AB106" s="41">
        <f t="shared" si="41"/>
        <v>0</v>
      </c>
      <c r="AC106" s="45"/>
    </row>
    <row r="107" spans="1:29" ht="15" customHeight="1" thickBot="1" x14ac:dyDescent="0.3">
      <c r="C107" s="112"/>
      <c r="D107" s="113" t="s">
        <v>331</v>
      </c>
      <c r="E107" s="115">
        <v>50914202.609999999</v>
      </c>
      <c r="F107" s="115">
        <f t="shared" ref="F107" si="57">F7+F10+F13+F16+F19+F22+F34+F37+F41+F42+F88+F91</f>
        <v>51193467</v>
      </c>
      <c r="G107" s="114">
        <f t="shared" si="51"/>
        <v>279264.3900000006</v>
      </c>
      <c r="H107" s="116"/>
      <c r="I107" s="114">
        <f>I7+I10+I13+I16+I19+I22+I34+I37+I41+I42+I88+I91</f>
        <v>51761438</v>
      </c>
      <c r="J107" s="114">
        <f t="shared" si="52"/>
        <v>567971</v>
      </c>
      <c r="K107" s="117"/>
      <c r="L107" s="114">
        <f>L7+L10+L13+L16+L19+L22+L34+L37+L41+L42+L88+L91</f>
        <v>51844623</v>
      </c>
      <c r="M107" s="114">
        <f t="shared" si="53"/>
        <v>83185</v>
      </c>
      <c r="N107" s="117"/>
      <c r="O107" s="114">
        <f>O7+O10+O13+O16+O19+O22+O34+O37+O41+O42+O88+O91</f>
        <v>52574335</v>
      </c>
      <c r="P107" s="114">
        <f t="shared" si="54"/>
        <v>729712</v>
      </c>
      <c r="Q107" s="117"/>
      <c r="R107" s="114">
        <f>R7+R10+R13+R16+R19+R22+R34+R37+R41+R42+R88+R91</f>
        <v>53088603</v>
      </c>
      <c r="S107" s="114">
        <f t="shared" si="38"/>
        <v>514268</v>
      </c>
      <c r="T107" s="117"/>
      <c r="U107" s="114">
        <f>U7+U10+U13+U16+U19+U22+U34+U37+U41+U42+U88+U91</f>
        <v>53301916</v>
      </c>
      <c r="V107" s="114">
        <f t="shared" si="39"/>
        <v>213313</v>
      </c>
      <c r="W107" s="117"/>
      <c r="X107" s="114">
        <f>X7+X10+X13+X16+X19+X22+X34+X37+X41+X42+X88+X91</f>
        <v>53404216</v>
      </c>
      <c r="Y107" s="114">
        <f t="shared" si="40"/>
        <v>102300</v>
      </c>
      <c r="Z107" s="117"/>
      <c r="AA107" s="114">
        <f>AA7+AA10+AA13+AA16+AA19+AA22+AA34+AA37+AA41+AA42+AA88+AA91</f>
        <v>53552085</v>
      </c>
      <c r="AB107" s="114">
        <f t="shared" si="41"/>
        <v>147869</v>
      </c>
      <c r="AC107" s="117"/>
    </row>
    <row r="108" spans="1:29" ht="15.75" thickBot="1" x14ac:dyDescent="0.3">
      <c r="C108" s="118" t="s">
        <v>332</v>
      </c>
      <c r="D108" s="119" t="s">
        <v>333</v>
      </c>
      <c r="E108" s="121">
        <v>9016614.0299999993</v>
      </c>
      <c r="F108" s="121">
        <f>SUM(F109:F110)</f>
        <v>9755067</v>
      </c>
      <c r="G108" s="120">
        <f t="shared" si="51"/>
        <v>738452.97000000067</v>
      </c>
      <c r="H108" s="122"/>
      <c r="I108" s="120">
        <f>SUM(I109:I110)</f>
        <v>9755067</v>
      </c>
      <c r="J108" s="120">
        <f t="shared" si="52"/>
        <v>0</v>
      </c>
      <c r="K108" s="123"/>
      <c r="L108" s="120">
        <f>SUM(L109:L110)</f>
        <v>9755067</v>
      </c>
      <c r="M108" s="120">
        <f t="shared" si="53"/>
        <v>0</v>
      </c>
      <c r="N108" s="123"/>
      <c r="O108" s="120">
        <f>SUM(O109:O110)</f>
        <v>9755067</v>
      </c>
      <c r="P108" s="120">
        <f t="shared" si="54"/>
        <v>0</v>
      </c>
      <c r="Q108" s="123"/>
      <c r="R108" s="120">
        <f>SUM(R109:R110)</f>
        <v>9755067</v>
      </c>
      <c r="S108" s="120">
        <f t="shared" si="38"/>
        <v>0</v>
      </c>
      <c r="T108" s="123"/>
      <c r="U108" s="120">
        <f>SUM(U109:U110)</f>
        <v>9755067</v>
      </c>
      <c r="V108" s="120">
        <f t="shared" si="39"/>
        <v>0</v>
      </c>
      <c r="W108" s="123"/>
      <c r="X108" s="120">
        <f>SUM(X109:X110)</f>
        <v>9755067</v>
      </c>
      <c r="Y108" s="120">
        <f t="shared" si="40"/>
        <v>0</v>
      </c>
      <c r="Z108" s="123"/>
      <c r="AA108" s="120">
        <f>SUM(AA109:AA110)</f>
        <v>9755067</v>
      </c>
      <c r="AB108" s="120">
        <f t="shared" si="41"/>
        <v>0</v>
      </c>
      <c r="AC108" s="123"/>
    </row>
    <row r="109" spans="1:29" ht="14.45" customHeight="1" x14ac:dyDescent="0.25">
      <c r="C109" s="39" t="s">
        <v>334</v>
      </c>
      <c r="D109" s="40" t="s">
        <v>335</v>
      </c>
      <c r="E109" s="42">
        <v>2707710.83</v>
      </c>
      <c r="F109" s="42">
        <f>ROUND(E109,0)+104970+230-1+750-1034+19357+1832+41+1093+13000+168382+10621+3808+904+17685+76439+38150+31285</f>
        <v>3195223</v>
      </c>
      <c r="G109" s="41">
        <f t="shared" si="51"/>
        <v>487512.16999999993</v>
      </c>
      <c r="H109" s="68" t="s">
        <v>336</v>
      </c>
      <c r="I109" s="41">
        <f>ROUND(F109,0)</f>
        <v>3195223</v>
      </c>
      <c r="J109" s="41">
        <f t="shared" si="52"/>
        <v>0</v>
      </c>
      <c r="K109" s="45"/>
      <c r="L109" s="41">
        <f>ROUND(I109,0)</f>
        <v>3195223</v>
      </c>
      <c r="M109" s="41">
        <f t="shared" si="53"/>
        <v>0</v>
      </c>
      <c r="N109" s="45"/>
      <c r="O109" s="41">
        <f>ROUND(L109,0)</f>
        <v>3195223</v>
      </c>
      <c r="P109" s="41">
        <f t="shared" si="54"/>
        <v>0</v>
      </c>
      <c r="Q109" s="45"/>
      <c r="R109" s="41">
        <f>ROUND(O109,0)</f>
        <v>3195223</v>
      </c>
      <c r="S109" s="41">
        <f t="shared" si="38"/>
        <v>0</v>
      </c>
      <c r="T109" s="45"/>
      <c r="U109" s="41">
        <f>ROUND(R109,0)</f>
        <v>3195223</v>
      </c>
      <c r="V109" s="41">
        <f t="shared" si="39"/>
        <v>0</v>
      </c>
      <c r="W109" s="45"/>
      <c r="X109" s="41">
        <f>ROUND(U109,0)</f>
        <v>3195223</v>
      </c>
      <c r="Y109" s="41">
        <f t="shared" si="40"/>
        <v>0</v>
      </c>
      <c r="Z109" s="45"/>
      <c r="AA109" s="41">
        <f>ROUND(X109,0)</f>
        <v>3195223</v>
      </c>
      <c r="AB109" s="41">
        <f t="shared" si="41"/>
        <v>0</v>
      </c>
      <c r="AC109" s="45"/>
    </row>
    <row r="110" spans="1:29" x14ac:dyDescent="0.25">
      <c r="C110" s="39" t="s">
        <v>337</v>
      </c>
      <c r="D110" s="40" t="s">
        <v>338</v>
      </c>
      <c r="E110" s="42">
        <v>6308903</v>
      </c>
      <c r="F110" s="42">
        <f>ROUND(E110,0)+3445956+208-F109</f>
        <v>6559844</v>
      </c>
      <c r="G110" s="41">
        <f t="shared" si="51"/>
        <v>250941</v>
      </c>
      <c r="H110" s="43"/>
      <c r="I110" s="41">
        <f>ROUND(F110,0)</f>
        <v>6559844</v>
      </c>
      <c r="J110" s="41">
        <f t="shared" si="52"/>
        <v>0</v>
      </c>
      <c r="K110" s="44"/>
      <c r="L110" s="41">
        <f>ROUND(I110,0)</f>
        <v>6559844</v>
      </c>
      <c r="M110" s="41">
        <f t="shared" si="53"/>
        <v>0</v>
      </c>
      <c r="N110" s="44"/>
      <c r="O110" s="41">
        <f>ROUND(L110,0)</f>
        <v>6559844</v>
      </c>
      <c r="P110" s="41">
        <f t="shared" si="54"/>
        <v>0</v>
      </c>
      <c r="Q110" s="44"/>
      <c r="R110" s="41">
        <f>ROUND(O110,0)</f>
        <v>6559844</v>
      </c>
      <c r="S110" s="41">
        <f t="shared" si="38"/>
        <v>0</v>
      </c>
      <c r="T110" s="44"/>
      <c r="U110" s="41">
        <f>ROUND(R110,0)</f>
        <v>6559844</v>
      </c>
      <c r="V110" s="41">
        <f t="shared" si="39"/>
        <v>0</v>
      </c>
      <c r="W110" s="44"/>
      <c r="X110" s="41">
        <f>ROUND(U110,0)</f>
        <v>6559844</v>
      </c>
      <c r="Y110" s="41">
        <f t="shared" si="40"/>
        <v>0</v>
      </c>
      <c r="Z110" s="44"/>
      <c r="AA110" s="41">
        <f>ROUND(X110,0)</f>
        <v>6559844</v>
      </c>
      <c r="AB110" s="41">
        <f t="shared" si="41"/>
        <v>0</v>
      </c>
      <c r="AC110" s="44"/>
    </row>
    <row r="111" spans="1:29" x14ac:dyDescent="0.25">
      <c r="C111" s="70" t="s">
        <v>339</v>
      </c>
      <c r="D111" s="124" t="s">
        <v>340</v>
      </c>
      <c r="E111" s="126">
        <v>1873161</v>
      </c>
      <c r="F111" s="126">
        <f>SUM(F112:F123)</f>
        <v>1917782</v>
      </c>
      <c r="G111" s="48">
        <f t="shared" si="51"/>
        <v>44621</v>
      </c>
      <c r="H111" s="50"/>
      <c r="I111" s="125">
        <f>SUM(I112:I123)</f>
        <v>1941929</v>
      </c>
      <c r="J111" s="48">
        <f t="shared" si="52"/>
        <v>24147</v>
      </c>
      <c r="K111" s="51"/>
      <c r="L111" s="125">
        <f>SUM(L112:L123)</f>
        <v>1941929</v>
      </c>
      <c r="M111" s="48">
        <f t="shared" si="53"/>
        <v>0</v>
      </c>
      <c r="N111" s="51"/>
      <c r="O111" s="125">
        <f>SUM(O112:O123)</f>
        <v>1941929</v>
      </c>
      <c r="P111" s="48">
        <f t="shared" si="54"/>
        <v>0</v>
      </c>
      <c r="Q111" s="51"/>
      <c r="R111" s="125">
        <f>SUM(R112:R123)</f>
        <v>1913234</v>
      </c>
      <c r="S111" s="48">
        <f t="shared" si="38"/>
        <v>-28695</v>
      </c>
      <c r="T111" s="51"/>
      <c r="U111" s="125">
        <f>SUM(U112:U123)</f>
        <v>1913234</v>
      </c>
      <c r="V111" s="48">
        <f t="shared" si="39"/>
        <v>0</v>
      </c>
      <c r="W111" s="51"/>
      <c r="X111" s="125">
        <f>SUM(X112:X123)</f>
        <v>1913234</v>
      </c>
      <c r="Y111" s="48">
        <f t="shared" si="40"/>
        <v>0</v>
      </c>
      <c r="Z111" s="51"/>
      <c r="AA111" s="125">
        <f>SUM(AA112:AA123)</f>
        <v>1913234</v>
      </c>
      <c r="AB111" s="48">
        <f t="shared" si="41"/>
        <v>0</v>
      </c>
      <c r="AC111" s="51"/>
    </row>
    <row r="112" spans="1:29" ht="45" hidden="1" outlineLevel="1" x14ac:dyDescent="0.25">
      <c r="A112" s="90"/>
      <c r="B112" s="90"/>
      <c r="C112" s="107" t="s">
        <v>341</v>
      </c>
      <c r="D112" s="127" t="s">
        <v>259</v>
      </c>
      <c r="E112" s="42">
        <v>0</v>
      </c>
      <c r="F112" s="42">
        <f t="shared" ref="F112:F123" si="58">ROUND(E112,0)</f>
        <v>0</v>
      </c>
      <c r="G112" s="129">
        <f t="shared" si="51"/>
        <v>0</v>
      </c>
      <c r="H112" s="59"/>
      <c r="I112" s="41">
        <f t="shared" ref="I112:I123" si="59">ROUND(F112,0)</f>
        <v>0</v>
      </c>
      <c r="J112" s="129">
        <f t="shared" si="52"/>
        <v>0</v>
      </c>
      <c r="K112" s="60"/>
      <c r="L112" s="41">
        <f t="shared" ref="L112:L123" si="60">ROUND(I112,0)</f>
        <v>0</v>
      </c>
      <c r="M112" s="129">
        <f t="shared" si="53"/>
        <v>0</v>
      </c>
      <c r="N112" s="60"/>
      <c r="O112" s="41">
        <f t="shared" ref="O112:O121" si="61">ROUND(L112,0)</f>
        <v>0</v>
      </c>
      <c r="P112" s="129">
        <f t="shared" si="54"/>
        <v>0</v>
      </c>
      <c r="Q112" s="60"/>
      <c r="R112" s="41">
        <f t="shared" ref="R112:R121" si="62">ROUND(O112,0)</f>
        <v>0</v>
      </c>
      <c r="S112" s="129">
        <f t="shared" si="38"/>
        <v>0</v>
      </c>
      <c r="T112" s="60"/>
      <c r="U112" s="41">
        <f>ROUND(R112,0)</f>
        <v>0</v>
      </c>
      <c r="V112" s="129">
        <f t="shared" si="39"/>
        <v>0</v>
      </c>
      <c r="W112" s="60"/>
      <c r="X112" s="41">
        <f>ROUND(U112,0)</f>
        <v>0</v>
      </c>
      <c r="Y112" s="129">
        <f t="shared" si="40"/>
        <v>0</v>
      </c>
      <c r="Z112" s="60"/>
      <c r="AA112" s="41">
        <f>ROUND(X112,0)</f>
        <v>0</v>
      </c>
      <c r="AB112" s="129">
        <f t="shared" si="41"/>
        <v>0</v>
      </c>
      <c r="AC112" s="60"/>
    </row>
    <row r="113" spans="1:29" hidden="1" outlineLevel="1" x14ac:dyDescent="0.25">
      <c r="A113" s="90"/>
      <c r="B113" s="90"/>
      <c r="C113" s="107" t="s">
        <v>342</v>
      </c>
      <c r="D113" s="127" t="s">
        <v>261</v>
      </c>
      <c r="E113" s="42">
        <v>0</v>
      </c>
      <c r="F113" s="42">
        <f t="shared" si="58"/>
        <v>0</v>
      </c>
      <c r="G113" s="129">
        <f t="shared" si="51"/>
        <v>0</v>
      </c>
      <c r="H113" s="59"/>
      <c r="I113" s="41">
        <f t="shared" si="59"/>
        <v>0</v>
      </c>
      <c r="J113" s="129">
        <f t="shared" si="52"/>
        <v>0</v>
      </c>
      <c r="K113" s="60"/>
      <c r="L113" s="41">
        <f t="shared" si="60"/>
        <v>0</v>
      </c>
      <c r="M113" s="129">
        <f t="shared" si="53"/>
        <v>0</v>
      </c>
      <c r="N113" s="60"/>
      <c r="O113" s="41">
        <f t="shared" si="61"/>
        <v>0</v>
      </c>
      <c r="P113" s="129">
        <f t="shared" si="54"/>
        <v>0</v>
      </c>
      <c r="Q113" s="60"/>
      <c r="R113" s="41">
        <f t="shared" si="62"/>
        <v>0</v>
      </c>
      <c r="S113" s="129">
        <f t="shared" si="38"/>
        <v>0</v>
      </c>
      <c r="T113" s="60"/>
      <c r="U113" s="41">
        <f>ROUND(R113,0)</f>
        <v>0</v>
      </c>
      <c r="V113" s="129">
        <f t="shared" si="39"/>
        <v>0</v>
      </c>
      <c r="W113" s="60"/>
      <c r="X113" s="41">
        <f>ROUND(U113,0)</f>
        <v>0</v>
      </c>
      <c r="Y113" s="129">
        <f t="shared" si="40"/>
        <v>0</v>
      </c>
      <c r="Z113" s="60"/>
      <c r="AA113" s="41">
        <f>ROUND(X113,0)</f>
        <v>0</v>
      </c>
      <c r="AB113" s="129">
        <f t="shared" si="41"/>
        <v>0</v>
      </c>
      <c r="AC113" s="60"/>
    </row>
    <row r="114" spans="1:29" ht="30.6" customHeight="1" collapsed="1" x14ac:dyDescent="0.25">
      <c r="A114" s="90" t="s">
        <v>343</v>
      </c>
      <c r="B114" s="90"/>
      <c r="C114" s="107" t="s">
        <v>341</v>
      </c>
      <c r="D114" s="127" t="s">
        <v>344</v>
      </c>
      <c r="E114" s="42">
        <v>541742</v>
      </c>
      <c r="F114" s="42">
        <f t="shared" si="58"/>
        <v>541742</v>
      </c>
      <c r="G114" s="129">
        <f t="shared" si="51"/>
        <v>0</v>
      </c>
      <c r="H114" s="59"/>
      <c r="I114" s="41">
        <f t="shared" si="59"/>
        <v>541742</v>
      </c>
      <c r="J114" s="129">
        <f t="shared" si="52"/>
        <v>0</v>
      </c>
      <c r="K114" s="60"/>
      <c r="L114" s="41">
        <f t="shared" si="60"/>
        <v>541742</v>
      </c>
      <c r="M114" s="129">
        <f t="shared" si="53"/>
        <v>0</v>
      </c>
      <c r="N114" s="60"/>
      <c r="O114" s="41">
        <f t="shared" si="61"/>
        <v>541742</v>
      </c>
      <c r="P114" s="129">
        <f t="shared" si="54"/>
        <v>0</v>
      </c>
      <c r="Q114" s="60"/>
      <c r="R114" s="41">
        <f>ROUND(O114,0)-28695</f>
        <v>513047</v>
      </c>
      <c r="S114" s="129">
        <f t="shared" si="38"/>
        <v>-28695</v>
      </c>
      <c r="T114" s="60" t="s">
        <v>345</v>
      </c>
      <c r="U114" s="41">
        <f>ROUND(R114,0)</f>
        <v>513047</v>
      </c>
      <c r="V114" s="129">
        <f t="shared" si="39"/>
        <v>0</v>
      </c>
      <c r="W114" s="60"/>
      <c r="X114" s="41">
        <f>ROUND(U114,0)</f>
        <v>513047</v>
      </c>
      <c r="Y114" s="129">
        <f t="shared" si="40"/>
        <v>0</v>
      </c>
      <c r="Z114" s="60"/>
      <c r="AA114" s="41">
        <f>ROUND(X114,0)</f>
        <v>513047</v>
      </c>
      <c r="AB114" s="129">
        <f t="shared" si="41"/>
        <v>0</v>
      </c>
      <c r="AC114" s="60"/>
    </row>
    <row r="115" spans="1:29" ht="30" x14ac:dyDescent="0.25">
      <c r="A115" s="90" t="s">
        <v>213</v>
      </c>
      <c r="B115" s="90" t="s">
        <v>346</v>
      </c>
      <c r="C115" s="107" t="s">
        <v>342</v>
      </c>
      <c r="D115" s="131" t="s">
        <v>347</v>
      </c>
      <c r="E115" s="42">
        <v>353405</v>
      </c>
      <c r="F115" s="42">
        <f>ROUND(E115,0)-3420</f>
        <v>349985</v>
      </c>
      <c r="G115" s="129">
        <f t="shared" si="51"/>
        <v>-3420</v>
      </c>
      <c r="H115" s="60" t="s">
        <v>348</v>
      </c>
      <c r="I115" s="41">
        <f t="shared" si="59"/>
        <v>349985</v>
      </c>
      <c r="J115" s="129">
        <f t="shared" si="52"/>
        <v>0</v>
      </c>
      <c r="K115" s="57"/>
      <c r="L115" s="41">
        <f t="shared" si="60"/>
        <v>349985</v>
      </c>
      <c r="M115" s="129">
        <f t="shared" si="53"/>
        <v>0</v>
      </c>
      <c r="N115" s="57"/>
      <c r="O115" s="41">
        <f t="shared" si="61"/>
        <v>349985</v>
      </c>
      <c r="P115" s="129">
        <f t="shared" si="54"/>
        <v>0</v>
      </c>
      <c r="Q115" s="57"/>
      <c r="R115" s="41">
        <f t="shared" si="62"/>
        <v>349985</v>
      </c>
      <c r="S115" s="129">
        <f t="shared" si="38"/>
        <v>0</v>
      </c>
      <c r="T115" s="57"/>
      <c r="U115" s="41">
        <f t="shared" ref="U115:U121" si="63">ROUND(R115,0)</f>
        <v>349985</v>
      </c>
      <c r="V115" s="129">
        <f t="shared" si="39"/>
        <v>0</v>
      </c>
      <c r="W115" s="57"/>
      <c r="X115" s="41">
        <f t="shared" ref="X115:X121" si="64">ROUND(U115,0)</f>
        <v>349985</v>
      </c>
      <c r="Y115" s="129">
        <f t="shared" si="40"/>
        <v>0</v>
      </c>
      <c r="Z115" s="57"/>
      <c r="AA115" s="41">
        <f t="shared" ref="AA115:AA121" si="65">ROUND(X115,0)</f>
        <v>349985</v>
      </c>
      <c r="AB115" s="129">
        <f t="shared" si="41"/>
        <v>0</v>
      </c>
      <c r="AC115" s="57"/>
    </row>
    <row r="116" spans="1:29" ht="16.899999999999999" hidden="1" customHeight="1" outlineLevel="1" x14ac:dyDescent="0.25">
      <c r="A116" s="90"/>
      <c r="B116" s="90"/>
      <c r="C116" s="107" t="s">
        <v>349</v>
      </c>
      <c r="D116" s="131"/>
      <c r="E116" s="42">
        <v>0</v>
      </c>
      <c r="F116" s="42">
        <f t="shared" si="58"/>
        <v>0</v>
      </c>
      <c r="G116" s="129">
        <f t="shared" si="51"/>
        <v>0</v>
      </c>
      <c r="H116" s="56"/>
      <c r="I116" s="41">
        <f t="shared" si="59"/>
        <v>0</v>
      </c>
      <c r="J116" s="129">
        <f t="shared" si="52"/>
        <v>0</v>
      </c>
      <c r="K116" s="57"/>
      <c r="L116" s="41">
        <f t="shared" si="60"/>
        <v>0</v>
      </c>
      <c r="M116" s="129">
        <f t="shared" si="53"/>
        <v>0</v>
      </c>
      <c r="N116" s="57"/>
      <c r="O116" s="41">
        <f t="shared" si="61"/>
        <v>0</v>
      </c>
      <c r="P116" s="129">
        <f t="shared" si="54"/>
        <v>0</v>
      </c>
      <c r="Q116" s="57"/>
      <c r="R116" s="41">
        <f t="shared" si="62"/>
        <v>0</v>
      </c>
      <c r="S116" s="129">
        <f t="shared" si="38"/>
        <v>0</v>
      </c>
      <c r="T116" s="57"/>
      <c r="U116" s="41">
        <f t="shared" si="63"/>
        <v>0</v>
      </c>
      <c r="V116" s="129">
        <f t="shared" si="39"/>
        <v>0</v>
      </c>
      <c r="W116" s="57"/>
      <c r="X116" s="41">
        <f t="shared" si="64"/>
        <v>0</v>
      </c>
      <c r="Y116" s="129">
        <f t="shared" si="40"/>
        <v>0</v>
      </c>
      <c r="Z116" s="57"/>
      <c r="AA116" s="41">
        <f t="shared" si="65"/>
        <v>0</v>
      </c>
      <c r="AB116" s="129">
        <f t="shared" si="41"/>
        <v>0</v>
      </c>
      <c r="AC116" s="57"/>
    </row>
    <row r="117" spans="1:29" hidden="1" outlineLevel="1" x14ac:dyDescent="0.25">
      <c r="B117" s="90"/>
      <c r="C117" s="107" t="s">
        <v>350</v>
      </c>
      <c r="D117" s="131" t="s">
        <v>351</v>
      </c>
      <c r="E117" s="130">
        <v>0</v>
      </c>
      <c r="F117" s="130">
        <f t="shared" si="58"/>
        <v>0</v>
      </c>
      <c r="G117" s="132">
        <f t="shared" si="51"/>
        <v>0</v>
      </c>
      <c r="H117" s="133"/>
      <c r="I117" s="128">
        <f>ROUND(F117,0)</f>
        <v>0</v>
      </c>
      <c r="J117" s="132">
        <f t="shared" si="52"/>
        <v>0</v>
      </c>
      <c r="K117" s="60"/>
      <c r="L117" s="128">
        <f t="shared" si="60"/>
        <v>0</v>
      </c>
      <c r="M117" s="132">
        <f t="shared" si="53"/>
        <v>0</v>
      </c>
      <c r="N117" s="60"/>
      <c r="O117" s="128">
        <f t="shared" si="61"/>
        <v>0</v>
      </c>
      <c r="P117" s="132">
        <f t="shared" si="54"/>
        <v>0</v>
      </c>
      <c r="Q117" s="60"/>
      <c r="R117" s="128">
        <f t="shared" si="62"/>
        <v>0</v>
      </c>
      <c r="S117" s="132">
        <f t="shared" si="38"/>
        <v>0</v>
      </c>
      <c r="T117" s="60"/>
      <c r="U117" s="128">
        <f t="shared" si="63"/>
        <v>0</v>
      </c>
      <c r="V117" s="132">
        <f t="shared" si="39"/>
        <v>0</v>
      </c>
      <c r="W117" s="60"/>
      <c r="X117" s="128">
        <f t="shared" si="64"/>
        <v>0</v>
      </c>
      <c r="Y117" s="132">
        <f t="shared" si="40"/>
        <v>0</v>
      </c>
      <c r="Z117" s="60"/>
      <c r="AA117" s="128">
        <f t="shared" si="65"/>
        <v>0</v>
      </c>
      <c r="AB117" s="132">
        <f t="shared" si="41"/>
        <v>0</v>
      </c>
      <c r="AC117" s="60"/>
    </row>
    <row r="118" spans="1:29" ht="42" customHeight="1" collapsed="1" x14ac:dyDescent="0.25">
      <c r="A118" s="90" t="s">
        <v>352</v>
      </c>
      <c r="B118" s="90"/>
      <c r="C118" s="107" t="s">
        <v>353</v>
      </c>
      <c r="D118" s="134" t="s">
        <v>354</v>
      </c>
      <c r="E118" s="135">
        <v>30982</v>
      </c>
      <c r="F118" s="130">
        <f>ROUND(E118,0)+48041</f>
        <v>79023</v>
      </c>
      <c r="G118" s="132">
        <f t="shared" si="51"/>
        <v>48041</v>
      </c>
      <c r="H118" s="136" t="s">
        <v>355</v>
      </c>
      <c r="I118" s="128">
        <f t="shared" si="59"/>
        <v>79023</v>
      </c>
      <c r="J118" s="132">
        <f t="shared" si="52"/>
        <v>0</v>
      </c>
      <c r="K118" s="60"/>
      <c r="L118" s="128">
        <f t="shared" si="60"/>
        <v>79023</v>
      </c>
      <c r="M118" s="132">
        <f t="shared" si="53"/>
        <v>0</v>
      </c>
      <c r="N118" s="57"/>
      <c r="O118" s="128">
        <f t="shared" si="61"/>
        <v>79023</v>
      </c>
      <c r="P118" s="132">
        <f t="shared" si="54"/>
        <v>0</v>
      </c>
      <c r="Q118" s="57"/>
      <c r="R118" s="128">
        <f t="shared" si="62"/>
        <v>79023</v>
      </c>
      <c r="S118" s="132">
        <f t="shared" si="38"/>
        <v>0</v>
      </c>
      <c r="T118" s="57"/>
      <c r="U118" s="128">
        <f t="shared" si="63"/>
        <v>79023</v>
      </c>
      <c r="V118" s="132">
        <f t="shared" si="39"/>
        <v>0</v>
      </c>
      <c r="W118" s="57"/>
      <c r="X118" s="128">
        <f t="shared" si="64"/>
        <v>79023</v>
      </c>
      <c r="Y118" s="132">
        <f t="shared" si="40"/>
        <v>0</v>
      </c>
      <c r="Z118" s="57"/>
      <c r="AA118" s="128">
        <f t="shared" si="65"/>
        <v>79023</v>
      </c>
      <c r="AB118" s="132">
        <f t="shared" si="41"/>
        <v>0</v>
      </c>
      <c r="AC118" s="57"/>
    </row>
    <row r="119" spans="1:29" ht="57.6" customHeight="1" x14ac:dyDescent="0.25">
      <c r="A119" s="90" t="s">
        <v>352</v>
      </c>
      <c r="B119" s="90"/>
      <c r="C119" s="107" t="s">
        <v>356</v>
      </c>
      <c r="D119" s="137" t="s">
        <v>357</v>
      </c>
      <c r="E119" s="139">
        <v>783000</v>
      </c>
      <c r="F119" s="140">
        <f t="shared" si="58"/>
        <v>783000</v>
      </c>
      <c r="G119" s="132">
        <f t="shared" si="51"/>
        <v>0</v>
      </c>
      <c r="H119" s="56"/>
      <c r="I119" s="128">
        <f t="shared" si="59"/>
        <v>783000</v>
      </c>
      <c r="J119" s="132">
        <f t="shared" si="52"/>
        <v>0</v>
      </c>
      <c r="K119" s="60"/>
      <c r="L119" s="128">
        <f t="shared" si="60"/>
        <v>783000</v>
      </c>
      <c r="M119" s="132">
        <f t="shared" si="53"/>
        <v>0</v>
      </c>
      <c r="N119" s="57"/>
      <c r="O119" s="128">
        <f t="shared" si="61"/>
        <v>783000</v>
      </c>
      <c r="P119" s="132">
        <f t="shared" si="54"/>
        <v>0</v>
      </c>
      <c r="Q119" s="57"/>
      <c r="R119" s="128">
        <f t="shared" si="62"/>
        <v>783000</v>
      </c>
      <c r="S119" s="132">
        <f t="shared" si="38"/>
        <v>0</v>
      </c>
      <c r="T119" s="57"/>
      <c r="U119" s="128">
        <f t="shared" si="63"/>
        <v>783000</v>
      </c>
      <c r="V119" s="132">
        <f t="shared" si="39"/>
        <v>0</v>
      </c>
      <c r="W119" s="57"/>
      <c r="X119" s="128">
        <f t="shared" si="64"/>
        <v>783000</v>
      </c>
      <c r="Y119" s="132">
        <f t="shared" si="40"/>
        <v>0</v>
      </c>
      <c r="Z119" s="57"/>
      <c r="AA119" s="128">
        <f t="shared" si="65"/>
        <v>783000</v>
      </c>
      <c r="AB119" s="132">
        <f t="shared" si="41"/>
        <v>0</v>
      </c>
      <c r="AC119" s="57"/>
    </row>
    <row r="120" spans="1:29" ht="16.149999999999999" customHeight="1" x14ac:dyDescent="0.25">
      <c r="B120" s="90" t="s">
        <v>264</v>
      </c>
      <c r="C120" s="107" t="s">
        <v>349</v>
      </c>
      <c r="D120" s="137" t="s">
        <v>266</v>
      </c>
      <c r="E120" s="139">
        <v>164032</v>
      </c>
      <c r="F120" s="140">
        <f t="shared" si="58"/>
        <v>164032</v>
      </c>
      <c r="G120" s="41">
        <f t="shared" si="51"/>
        <v>0</v>
      </c>
      <c r="H120" s="141"/>
      <c r="I120" s="128">
        <f>ROUND(F120,0)+24147</f>
        <v>188179</v>
      </c>
      <c r="J120" s="142">
        <f t="shared" si="52"/>
        <v>24147</v>
      </c>
      <c r="K120" s="60" t="s">
        <v>267</v>
      </c>
      <c r="L120" s="143">
        <f t="shared" si="60"/>
        <v>188179</v>
      </c>
      <c r="M120" s="142">
        <f t="shared" si="53"/>
        <v>0</v>
      </c>
      <c r="N120" s="102"/>
      <c r="O120" s="142">
        <f t="shared" si="61"/>
        <v>188179</v>
      </c>
      <c r="P120" s="142">
        <f t="shared" si="54"/>
        <v>0</v>
      </c>
      <c r="Q120" s="57"/>
      <c r="R120" s="128">
        <f t="shared" si="62"/>
        <v>188179</v>
      </c>
      <c r="S120" s="142">
        <f t="shared" si="38"/>
        <v>0</v>
      </c>
      <c r="T120" s="57"/>
      <c r="U120" s="128">
        <f t="shared" si="63"/>
        <v>188179</v>
      </c>
      <c r="V120" s="142">
        <f t="shared" si="39"/>
        <v>0</v>
      </c>
      <c r="W120" s="57"/>
      <c r="X120" s="128">
        <f t="shared" si="64"/>
        <v>188179</v>
      </c>
      <c r="Y120" s="142">
        <f t="shared" si="40"/>
        <v>0</v>
      </c>
      <c r="Z120" s="57"/>
      <c r="AA120" s="128">
        <f t="shared" si="65"/>
        <v>188179</v>
      </c>
      <c r="AB120" s="142">
        <f t="shared" si="41"/>
        <v>0</v>
      </c>
      <c r="AC120" s="57"/>
    </row>
    <row r="121" spans="1:29" ht="18.600000000000001" hidden="1" customHeight="1" outlineLevel="1" x14ac:dyDescent="0.25">
      <c r="B121" s="90"/>
      <c r="C121" s="107" t="s">
        <v>358</v>
      </c>
      <c r="D121" s="137" t="s">
        <v>359</v>
      </c>
      <c r="E121" s="138">
        <v>0</v>
      </c>
      <c r="F121" s="144">
        <f t="shared" si="58"/>
        <v>0</v>
      </c>
      <c r="G121" s="145">
        <f t="shared" si="51"/>
        <v>0</v>
      </c>
      <c r="H121" s="133"/>
      <c r="I121" s="128">
        <f t="shared" si="59"/>
        <v>0</v>
      </c>
      <c r="J121" s="132">
        <f t="shared" si="52"/>
        <v>0</v>
      </c>
      <c r="K121" s="60"/>
      <c r="L121" s="128">
        <f t="shared" si="60"/>
        <v>0</v>
      </c>
      <c r="M121" s="132">
        <f t="shared" si="53"/>
        <v>0</v>
      </c>
      <c r="N121" s="146"/>
      <c r="O121" s="128">
        <f t="shared" si="61"/>
        <v>0</v>
      </c>
      <c r="P121" s="132">
        <f t="shared" si="54"/>
        <v>0</v>
      </c>
      <c r="Q121" s="57"/>
      <c r="R121" s="128">
        <f t="shared" si="62"/>
        <v>0</v>
      </c>
      <c r="S121" s="132">
        <f t="shared" si="38"/>
        <v>0</v>
      </c>
      <c r="T121" s="57"/>
      <c r="U121" s="128">
        <f t="shared" si="63"/>
        <v>0</v>
      </c>
      <c r="V121" s="132">
        <f t="shared" si="39"/>
        <v>0</v>
      </c>
      <c r="W121" s="57"/>
      <c r="X121" s="128">
        <f t="shared" si="64"/>
        <v>0</v>
      </c>
      <c r="Y121" s="132">
        <f t="shared" si="40"/>
        <v>0</v>
      </c>
      <c r="Z121" s="57"/>
      <c r="AA121" s="128">
        <f t="shared" si="65"/>
        <v>0</v>
      </c>
      <c r="AB121" s="132">
        <f t="shared" si="41"/>
        <v>0</v>
      </c>
      <c r="AC121" s="57"/>
    </row>
    <row r="122" spans="1:29" ht="27.6" hidden="1" customHeight="1" outlineLevel="1" x14ac:dyDescent="0.25">
      <c r="B122" s="90"/>
      <c r="C122" s="147" t="s">
        <v>360</v>
      </c>
      <c r="D122" s="148" t="s">
        <v>361</v>
      </c>
      <c r="E122" s="138">
        <v>0</v>
      </c>
      <c r="F122" s="130">
        <f t="shared" si="58"/>
        <v>0</v>
      </c>
      <c r="G122" s="132">
        <f t="shared" si="51"/>
        <v>0</v>
      </c>
      <c r="H122" s="133"/>
      <c r="I122" s="128">
        <f t="shared" si="59"/>
        <v>0</v>
      </c>
      <c r="J122" s="132">
        <f t="shared" si="52"/>
        <v>0</v>
      </c>
      <c r="K122" s="60"/>
      <c r="L122" s="128"/>
      <c r="M122" s="132"/>
      <c r="N122" s="149"/>
      <c r="O122" s="128">
        <f>ROUND(L122,0)</f>
        <v>0</v>
      </c>
      <c r="P122" s="132">
        <f t="shared" si="54"/>
        <v>0</v>
      </c>
      <c r="Q122" s="57"/>
      <c r="R122" s="128">
        <f>ROUND(O122,0)</f>
        <v>0</v>
      </c>
      <c r="S122" s="132">
        <f t="shared" si="38"/>
        <v>0</v>
      </c>
      <c r="T122" s="57"/>
      <c r="U122" s="128">
        <f>ROUND(R122,0)</f>
        <v>0</v>
      </c>
      <c r="V122" s="132">
        <f t="shared" si="39"/>
        <v>0</v>
      </c>
      <c r="W122" s="57"/>
      <c r="X122" s="128">
        <f>ROUND(U122,0)</f>
        <v>0</v>
      </c>
      <c r="Y122" s="132">
        <f t="shared" si="40"/>
        <v>0</v>
      </c>
      <c r="Z122" s="57"/>
      <c r="AA122" s="128">
        <f>ROUND(X122,0)</f>
        <v>0</v>
      </c>
      <c r="AB122" s="132">
        <f t="shared" si="41"/>
        <v>0</v>
      </c>
      <c r="AC122" s="57"/>
    </row>
    <row r="123" spans="1:29" ht="28.9" hidden="1" customHeight="1" outlineLevel="1" thickBot="1" x14ac:dyDescent="0.3">
      <c r="B123" s="90"/>
      <c r="C123" s="107" t="s">
        <v>362</v>
      </c>
      <c r="D123" s="150" t="s">
        <v>363</v>
      </c>
      <c r="E123" s="130">
        <v>0</v>
      </c>
      <c r="F123" s="130">
        <f t="shared" si="58"/>
        <v>0</v>
      </c>
      <c r="G123" s="132">
        <f t="shared" si="51"/>
        <v>0</v>
      </c>
      <c r="H123" s="133"/>
      <c r="I123" s="128">
        <f t="shared" si="59"/>
        <v>0</v>
      </c>
      <c r="J123" s="132">
        <f t="shared" si="52"/>
        <v>0</v>
      </c>
      <c r="K123" s="60"/>
      <c r="L123" s="128">
        <f t="shared" si="60"/>
        <v>0</v>
      </c>
      <c r="M123" s="132">
        <f t="shared" si="53"/>
        <v>0</v>
      </c>
      <c r="N123" s="44"/>
      <c r="O123" s="128">
        <f>ROUND(L123,0)</f>
        <v>0</v>
      </c>
      <c r="P123" s="132">
        <f t="shared" si="54"/>
        <v>0</v>
      </c>
      <c r="Q123" s="57"/>
      <c r="R123" s="128">
        <f>ROUND(O123,0)</f>
        <v>0</v>
      </c>
      <c r="S123" s="132">
        <f t="shared" si="38"/>
        <v>0</v>
      </c>
      <c r="T123" s="57"/>
      <c r="U123" s="128">
        <f>ROUND(R123,0)</f>
        <v>0</v>
      </c>
      <c r="V123" s="132">
        <f t="shared" si="39"/>
        <v>0</v>
      </c>
      <c r="W123" s="57"/>
      <c r="X123" s="128">
        <f>ROUND(U123,0)</f>
        <v>0</v>
      </c>
      <c r="Y123" s="132">
        <f t="shared" si="40"/>
        <v>0</v>
      </c>
      <c r="Z123" s="57"/>
      <c r="AA123" s="128">
        <f>ROUND(X123,0)</f>
        <v>0</v>
      </c>
      <c r="AB123" s="132">
        <f t="shared" si="41"/>
        <v>0</v>
      </c>
      <c r="AC123" s="57"/>
    </row>
    <row r="124" spans="1:29" ht="15.75" collapsed="1" thickBot="1" x14ac:dyDescent="0.3">
      <c r="C124" s="151"/>
      <c r="D124" s="152" t="s">
        <v>364</v>
      </c>
      <c r="E124" s="121">
        <v>61803977.640000001</v>
      </c>
      <c r="F124" s="121">
        <f t="shared" ref="F124" si="66">F107+F108+F111</f>
        <v>62866316</v>
      </c>
      <c r="G124" s="120">
        <f t="shared" si="51"/>
        <v>1062338.3599999994</v>
      </c>
      <c r="H124" s="153"/>
      <c r="I124" s="120">
        <f>I107+I108+I111</f>
        <v>63458434</v>
      </c>
      <c r="J124" s="120">
        <f t="shared" si="52"/>
        <v>592118</v>
      </c>
      <c r="K124" s="154"/>
      <c r="L124" s="120">
        <f>L107+L108+L111</f>
        <v>63541619</v>
      </c>
      <c r="M124" s="120">
        <f t="shared" si="53"/>
        <v>83185</v>
      </c>
      <c r="N124" s="154"/>
      <c r="O124" s="120">
        <f>O107+O108+O111</f>
        <v>64271331</v>
      </c>
      <c r="P124" s="120">
        <f t="shared" si="54"/>
        <v>729712</v>
      </c>
      <c r="Q124" s="154"/>
      <c r="R124" s="120">
        <f>R107+R108+R111</f>
        <v>64756904</v>
      </c>
      <c r="S124" s="120">
        <f t="shared" si="38"/>
        <v>485573</v>
      </c>
      <c r="T124" s="154"/>
      <c r="U124" s="120">
        <f>U107+U108+U111</f>
        <v>64970217</v>
      </c>
      <c r="V124" s="120">
        <f t="shared" si="39"/>
        <v>213313</v>
      </c>
      <c r="W124" s="154"/>
      <c r="X124" s="120">
        <f>X107+X108+X111</f>
        <v>65072517</v>
      </c>
      <c r="Y124" s="120">
        <f t="shared" si="40"/>
        <v>102300</v>
      </c>
      <c r="Z124" s="154"/>
      <c r="AA124" s="120">
        <f>AA107+AA108+AA111</f>
        <v>65220386</v>
      </c>
      <c r="AB124" s="120">
        <f t="shared" si="41"/>
        <v>147869</v>
      </c>
      <c r="AC124" s="154"/>
    </row>
    <row r="126" spans="1:29" x14ac:dyDescent="0.25">
      <c r="G126" s="8"/>
      <c r="I126" s="8"/>
      <c r="J126" s="8"/>
      <c r="L126" s="8"/>
      <c r="M126" s="8"/>
      <c r="O126" s="8"/>
      <c r="P126" s="8"/>
      <c r="R126" s="8"/>
      <c r="S126" s="8"/>
      <c r="U126" s="8"/>
      <c r="V126" s="8"/>
      <c r="X126" s="8"/>
      <c r="Y126" s="8"/>
      <c r="AA126" s="8"/>
      <c r="AB126" s="8"/>
    </row>
    <row r="127" spans="1:29" ht="20.25" x14ac:dyDescent="0.3">
      <c r="C127" s="14" t="s">
        <v>365</v>
      </c>
      <c r="D127" s="14"/>
      <c r="G127" s="8"/>
      <c r="I127" s="8"/>
      <c r="J127" s="8"/>
      <c r="L127" s="8"/>
      <c r="M127" s="8"/>
      <c r="O127" s="8"/>
      <c r="P127" s="8"/>
      <c r="R127" s="8"/>
      <c r="S127" s="8"/>
      <c r="U127" s="8"/>
      <c r="V127" s="8"/>
      <c r="X127" s="8"/>
      <c r="Y127" s="8"/>
      <c r="AA127" s="8"/>
      <c r="AB127" s="8"/>
    </row>
    <row r="128" spans="1:29" ht="15.75" thickBot="1" x14ac:dyDescent="0.3">
      <c r="C128" s="156"/>
      <c r="D128" s="156"/>
      <c r="G128" s="157"/>
      <c r="I128" s="157"/>
      <c r="J128" s="157"/>
      <c r="L128" s="157"/>
      <c r="M128" s="157"/>
      <c r="O128" s="157"/>
      <c r="P128" s="157"/>
      <c r="R128" s="157"/>
      <c r="S128" s="157"/>
      <c r="U128" s="157"/>
      <c r="V128" s="157"/>
      <c r="X128" s="157"/>
      <c r="Y128" s="157"/>
      <c r="AA128" s="157"/>
      <c r="AB128" s="157"/>
    </row>
    <row r="129" spans="2:29" ht="57" customHeight="1" thickBot="1" x14ac:dyDescent="0.3">
      <c r="C129" s="20" t="s">
        <v>5</v>
      </c>
      <c r="D129" s="21" t="s">
        <v>6</v>
      </c>
      <c r="E129" s="23" t="s">
        <v>7</v>
      </c>
      <c r="F129" s="23" t="s">
        <v>8</v>
      </c>
      <c r="G129" s="22" t="s">
        <v>366</v>
      </c>
      <c r="H129" s="24" t="s">
        <v>367</v>
      </c>
      <c r="I129" s="22" t="s">
        <v>11</v>
      </c>
      <c r="J129" s="22" t="s">
        <v>368</v>
      </c>
      <c r="K129" s="25" t="s">
        <v>367</v>
      </c>
      <c r="L129" s="22" t="s">
        <v>13</v>
      </c>
      <c r="M129" s="22" t="s">
        <v>14</v>
      </c>
      <c r="N129" s="25" t="s">
        <v>367</v>
      </c>
      <c r="O129" s="22" t="s">
        <v>15</v>
      </c>
      <c r="P129" s="22" t="s">
        <v>16</v>
      </c>
      <c r="Q129" s="25" t="s">
        <v>367</v>
      </c>
      <c r="R129" s="22" t="str">
        <f>R5</f>
        <v>29.08.2024. grozījumi</v>
      </c>
      <c r="S129" s="22" t="str">
        <f>S5</f>
        <v>Izmaiņa 29.08.2024. -27.06.2024.</v>
      </c>
      <c r="T129" s="25" t="s">
        <v>367</v>
      </c>
      <c r="U129" s="22" t="str">
        <f>U5</f>
        <v>24.10.2024. grozījumi</v>
      </c>
      <c r="V129" s="22" t="str">
        <f>V5</f>
        <v>Izmaiņa 24.10.2024. -29.08.2024.</v>
      </c>
      <c r="W129" s="25" t="s">
        <v>367</v>
      </c>
      <c r="X129" s="22" t="str">
        <f>X5</f>
        <v>28.11.2024. grozījumi</v>
      </c>
      <c r="Y129" s="22" t="str">
        <f>Y5</f>
        <v>Izmaiņa 28.11.2024. -24.10.2024.</v>
      </c>
      <c r="Z129" s="25" t="s">
        <v>367</v>
      </c>
      <c r="AA129" s="22" t="str">
        <f>AA5</f>
        <v>27.12.2024. grozījumi</v>
      </c>
      <c r="AB129" s="22" t="str">
        <f>AB5</f>
        <v>Izmaiņa 27.12.2024. - 28.11.2024.</v>
      </c>
      <c r="AC129" s="25" t="s">
        <v>367</v>
      </c>
    </row>
    <row r="130" spans="2:29" x14ac:dyDescent="0.25">
      <c r="C130" s="158" t="s">
        <v>28</v>
      </c>
      <c r="D130" s="159" t="s">
        <v>369</v>
      </c>
      <c r="E130" s="161">
        <v>11584924</v>
      </c>
      <c r="F130" s="161">
        <f t="shared" ref="F130" si="67">SUM(F131:F139)</f>
        <v>11593156</v>
      </c>
      <c r="G130" s="160">
        <f t="shared" ref="G130:G187" si="68">F130-E130</f>
        <v>8232</v>
      </c>
      <c r="H130" s="162"/>
      <c r="I130" s="160">
        <f>SUM(I131:I139)</f>
        <v>11675168</v>
      </c>
      <c r="J130" s="160">
        <f t="shared" ref="J130:J201" si="69">I130-F130</f>
        <v>82012</v>
      </c>
      <c r="K130" s="163"/>
      <c r="L130" s="160">
        <f>SUM(L131:L139)</f>
        <v>11718990</v>
      </c>
      <c r="M130" s="160">
        <f t="shared" ref="M130:M201" si="70">L130-I130</f>
        <v>43822</v>
      </c>
      <c r="N130" s="163"/>
      <c r="O130" s="160">
        <f>SUM(O131:O139)</f>
        <v>11668303</v>
      </c>
      <c r="P130" s="160">
        <f t="shared" ref="P130:P201" si="71">O130-L130</f>
        <v>-50687</v>
      </c>
      <c r="Q130" s="163"/>
      <c r="R130" s="160">
        <f>SUM(R131:R139)</f>
        <v>11628303</v>
      </c>
      <c r="S130" s="160">
        <f t="shared" ref="S130:S187" si="72">R130-O130</f>
        <v>-40000</v>
      </c>
      <c r="T130" s="163"/>
      <c r="U130" s="160">
        <f>SUM(U131:U139)</f>
        <v>11628303</v>
      </c>
      <c r="V130" s="160">
        <f t="shared" ref="V130:V187" si="73">U130-R130</f>
        <v>0</v>
      </c>
      <c r="W130" s="163"/>
      <c r="X130" s="160">
        <f>SUM(X131:X139)</f>
        <v>11628303</v>
      </c>
      <c r="Y130" s="160">
        <f t="shared" ref="Y130:Y187" si="74">X130-U130</f>
        <v>0</v>
      </c>
      <c r="Z130" s="163"/>
      <c r="AA130" s="160">
        <f>SUM(AA131:AA139)</f>
        <v>11628303</v>
      </c>
      <c r="AB130" s="160">
        <f t="shared" ref="AB130:AB187" si="75">AA130-X130</f>
        <v>0</v>
      </c>
      <c r="AC130" s="163"/>
    </row>
    <row r="131" spans="2:29" ht="31.5" customHeight="1" x14ac:dyDescent="0.25">
      <c r="B131" s="90" t="s">
        <v>370</v>
      </c>
      <c r="C131" s="164" t="s">
        <v>32</v>
      </c>
      <c r="D131" s="165" t="s">
        <v>371</v>
      </c>
      <c r="E131" s="97">
        <v>1983487</v>
      </c>
      <c r="F131" s="97">
        <f>ROUND(E131,0)</f>
        <v>1983487</v>
      </c>
      <c r="G131" s="73">
        <f t="shared" si="68"/>
        <v>0</v>
      </c>
      <c r="H131" s="98"/>
      <c r="I131" s="73">
        <f>ROUND(F131,0)</f>
        <v>1983487</v>
      </c>
      <c r="J131" s="73">
        <f t="shared" si="69"/>
        <v>0</v>
      </c>
      <c r="K131" s="99"/>
      <c r="L131" s="73">
        <f t="shared" ref="L131:L142" si="76">ROUND(I131,0)</f>
        <v>1983487</v>
      </c>
      <c r="M131" s="73">
        <f t="shared" si="70"/>
        <v>0</v>
      </c>
      <c r="N131" s="99"/>
      <c r="O131" s="73">
        <f t="shared" ref="O131:O141" si="77">ROUND(L131,0)</f>
        <v>1983487</v>
      </c>
      <c r="P131" s="73">
        <f t="shared" si="71"/>
        <v>0</v>
      </c>
      <c r="Q131" s="99"/>
      <c r="R131" s="73">
        <f t="shared" ref="R131:R136" si="78">ROUND(O131,0)</f>
        <v>1983487</v>
      </c>
      <c r="S131" s="73">
        <f t="shared" si="72"/>
        <v>0</v>
      </c>
      <c r="T131" s="99" t="s">
        <v>372</v>
      </c>
      <c r="U131" s="73">
        <f>ROUND(R131,0)+28260</f>
        <v>2011747</v>
      </c>
      <c r="V131" s="73">
        <f t="shared" si="73"/>
        <v>28260</v>
      </c>
      <c r="W131" s="99" t="s">
        <v>373</v>
      </c>
      <c r="X131" s="73">
        <f>ROUND(U131,0)</f>
        <v>2011747</v>
      </c>
      <c r="Y131" s="73">
        <f t="shared" si="74"/>
        <v>0</v>
      </c>
      <c r="Z131" s="99"/>
      <c r="AA131" s="73">
        <f>ROUND(X131,0)</f>
        <v>2011747</v>
      </c>
      <c r="AB131" s="73">
        <f t="shared" si="75"/>
        <v>0</v>
      </c>
      <c r="AC131" s="99"/>
    </row>
    <row r="132" spans="2:29" x14ac:dyDescent="0.25">
      <c r="B132" s="90" t="s">
        <v>374</v>
      </c>
      <c r="C132" s="164" t="s">
        <v>375</v>
      </c>
      <c r="D132" s="165" t="s">
        <v>376</v>
      </c>
      <c r="E132" s="97">
        <v>376850</v>
      </c>
      <c r="F132" s="97">
        <f t="shared" ref="F132:F141" si="79">ROUND(E132,0)</f>
        <v>376850</v>
      </c>
      <c r="G132" s="73">
        <f t="shared" si="68"/>
        <v>0</v>
      </c>
      <c r="H132" s="166"/>
      <c r="I132" s="73">
        <f t="shared" ref="I132:I137" si="80">ROUND(F132,0)</f>
        <v>376850</v>
      </c>
      <c r="J132" s="73">
        <f t="shared" si="69"/>
        <v>0</v>
      </c>
      <c r="K132" s="167"/>
      <c r="L132" s="73">
        <f t="shared" si="76"/>
        <v>376850</v>
      </c>
      <c r="M132" s="73">
        <f t="shared" si="70"/>
        <v>0</v>
      </c>
      <c r="N132" s="167"/>
      <c r="O132" s="73">
        <f t="shared" si="77"/>
        <v>376850</v>
      </c>
      <c r="P132" s="73">
        <f t="shared" si="71"/>
        <v>0</v>
      </c>
      <c r="Q132" s="167"/>
      <c r="R132" s="73">
        <f t="shared" si="78"/>
        <v>376850</v>
      </c>
      <c r="S132" s="73">
        <f t="shared" si="72"/>
        <v>0</v>
      </c>
      <c r="T132" s="167"/>
      <c r="U132" s="73">
        <f>ROUND(R132,0)-28260</f>
        <v>348590</v>
      </c>
      <c r="V132" s="73">
        <f t="shared" si="73"/>
        <v>-28260</v>
      </c>
      <c r="W132" s="99"/>
      <c r="X132" s="73">
        <f>ROUND(U132,0)</f>
        <v>348590</v>
      </c>
      <c r="Y132" s="73">
        <f t="shared" si="74"/>
        <v>0</v>
      </c>
      <c r="Z132" s="99"/>
      <c r="AA132" s="73">
        <f>ROUND(X132,0)</f>
        <v>348590</v>
      </c>
      <c r="AB132" s="73">
        <f t="shared" si="75"/>
        <v>0</v>
      </c>
      <c r="AC132" s="99"/>
    </row>
    <row r="133" spans="2:29" ht="13.15" customHeight="1" x14ac:dyDescent="0.25">
      <c r="B133" s="90" t="s">
        <v>377</v>
      </c>
      <c r="C133" s="164" t="s">
        <v>378</v>
      </c>
      <c r="D133" s="165" t="s">
        <v>379</v>
      </c>
      <c r="E133" s="97">
        <v>62512</v>
      </c>
      <c r="F133" s="97">
        <f>ROUND(E133,0)</f>
        <v>62512</v>
      </c>
      <c r="G133" s="73">
        <f t="shared" si="68"/>
        <v>0</v>
      </c>
      <c r="H133" s="98"/>
      <c r="I133" s="73">
        <f t="shared" si="80"/>
        <v>62512</v>
      </c>
      <c r="J133" s="73">
        <f t="shared" si="69"/>
        <v>0</v>
      </c>
      <c r="K133" s="99"/>
      <c r="L133" s="73">
        <f t="shared" si="76"/>
        <v>62512</v>
      </c>
      <c r="M133" s="73">
        <f t="shared" si="70"/>
        <v>0</v>
      </c>
      <c r="N133" s="99"/>
      <c r="O133" s="73">
        <f t="shared" si="77"/>
        <v>62512</v>
      </c>
      <c r="P133" s="73">
        <f t="shared" si="71"/>
        <v>0</v>
      </c>
      <c r="Q133" s="99"/>
      <c r="R133" s="73">
        <f t="shared" si="78"/>
        <v>62512</v>
      </c>
      <c r="S133" s="73">
        <f t="shared" si="72"/>
        <v>0</v>
      </c>
      <c r="T133" s="99"/>
      <c r="U133" s="73">
        <f t="shared" ref="U133:U142" si="81">ROUND(R133,0)</f>
        <v>62512</v>
      </c>
      <c r="V133" s="73">
        <f t="shared" si="73"/>
        <v>0</v>
      </c>
      <c r="W133" s="99"/>
      <c r="X133" s="73">
        <f t="shared" ref="X133:X142" si="82">ROUND(U133,0)</f>
        <v>62512</v>
      </c>
      <c r="Y133" s="73">
        <f t="shared" si="74"/>
        <v>0</v>
      </c>
      <c r="Z133" s="99"/>
      <c r="AA133" s="73">
        <f t="shared" ref="AA133:AA142" si="83">ROUND(X133,0)</f>
        <v>62512</v>
      </c>
      <c r="AB133" s="73">
        <f t="shared" si="75"/>
        <v>0</v>
      </c>
      <c r="AC133" s="99"/>
    </row>
    <row r="134" spans="2:29" ht="14.45" customHeight="1" x14ac:dyDescent="0.25">
      <c r="B134" s="90" t="s">
        <v>380</v>
      </c>
      <c r="C134" s="164" t="s">
        <v>381</v>
      </c>
      <c r="D134" s="165" t="s">
        <v>382</v>
      </c>
      <c r="E134" s="97">
        <v>45277</v>
      </c>
      <c r="F134" s="97">
        <f t="shared" si="79"/>
        <v>45277</v>
      </c>
      <c r="G134" s="73">
        <f t="shared" si="68"/>
        <v>0</v>
      </c>
      <c r="H134" s="98"/>
      <c r="I134" s="73">
        <f t="shared" si="80"/>
        <v>45277</v>
      </c>
      <c r="J134" s="73">
        <f t="shared" si="69"/>
        <v>0</v>
      </c>
      <c r="K134" s="99"/>
      <c r="L134" s="73">
        <f t="shared" si="76"/>
        <v>45277</v>
      </c>
      <c r="M134" s="73">
        <f t="shared" si="70"/>
        <v>0</v>
      </c>
      <c r="N134" s="99"/>
      <c r="O134" s="73">
        <f t="shared" si="77"/>
        <v>45277</v>
      </c>
      <c r="P134" s="73">
        <f t="shared" si="71"/>
        <v>0</v>
      </c>
      <c r="Q134" s="99"/>
      <c r="R134" s="73">
        <f t="shared" si="78"/>
        <v>45277</v>
      </c>
      <c r="S134" s="73">
        <f t="shared" si="72"/>
        <v>0</v>
      </c>
      <c r="T134" s="99"/>
      <c r="U134" s="73">
        <f t="shared" si="81"/>
        <v>45277</v>
      </c>
      <c r="V134" s="73">
        <f t="shared" si="73"/>
        <v>0</v>
      </c>
      <c r="W134" s="99"/>
      <c r="X134" s="73">
        <f t="shared" si="82"/>
        <v>45277</v>
      </c>
      <c r="Y134" s="73">
        <f t="shared" si="74"/>
        <v>0</v>
      </c>
      <c r="Z134" s="99"/>
      <c r="AA134" s="73">
        <f t="shared" si="83"/>
        <v>45277</v>
      </c>
      <c r="AB134" s="73">
        <f t="shared" si="75"/>
        <v>0</v>
      </c>
      <c r="AC134" s="99"/>
    </row>
    <row r="135" spans="2:29" ht="15.6" customHeight="1" x14ac:dyDescent="0.25">
      <c r="B135" s="90" t="s">
        <v>383</v>
      </c>
      <c r="C135" s="164" t="s">
        <v>384</v>
      </c>
      <c r="D135" s="165" t="s">
        <v>385</v>
      </c>
      <c r="E135" s="97">
        <v>8040</v>
      </c>
      <c r="F135" s="97">
        <f>ROUND(E135,0)+8232</f>
        <v>16272</v>
      </c>
      <c r="G135" s="73">
        <f t="shared" si="68"/>
        <v>8232</v>
      </c>
      <c r="H135" s="96" t="s">
        <v>208</v>
      </c>
      <c r="I135" s="73">
        <f t="shared" si="80"/>
        <v>16272</v>
      </c>
      <c r="J135" s="73">
        <f t="shared" si="69"/>
        <v>0</v>
      </c>
      <c r="K135" s="167"/>
      <c r="L135" s="73">
        <f>ROUND(I135,0)+50781</f>
        <v>67053</v>
      </c>
      <c r="M135" s="73">
        <f t="shared" si="70"/>
        <v>50781</v>
      </c>
      <c r="N135" s="167" t="s">
        <v>209</v>
      </c>
      <c r="O135" s="73">
        <f t="shared" si="77"/>
        <v>67053</v>
      </c>
      <c r="P135" s="73">
        <f t="shared" si="71"/>
        <v>0</v>
      </c>
      <c r="Q135" s="167"/>
      <c r="R135" s="73">
        <f t="shared" si="78"/>
        <v>67053</v>
      </c>
      <c r="S135" s="73">
        <f t="shared" si="72"/>
        <v>0</v>
      </c>
      <c r="T135" s="167"/>
      <c r="U135" s="73">
        <f t="shared" si="81"/>
        <v>67053</v>
      </c>
      <c r="V135" s="73">
        <f t="shared" si="73"/>
        <v>0</v>
      </c>
      <c r="W135" s="167"/>
      <c r="X135" s="73">
        <f t="shared" si="82"/>
        <v>67053</v>
      </c>
      <c r="Y135" s="73">
        <f t="shared" si="74"/>
        <v>0</v>
      </c>
      <c r="Z135" s="167"/>
      <c r="AA135" s="73">
        <f t="shared" si="83"/>
        <v>67053</v>
      </c>
      <c r="AB135" s="73">
        <f t="shared" si="75"/>
        <v>0</v>
      </c>
      <c r="AC135" s="167"/>
    </row>
    <row r="136" spans="2:29" ht="14.45" customHeight="1" x14ac:dyDescent="0.25">
      <c r="B136" s="90" t="s">
        <v>386</v>
      </c>
      <c r="C136" s="164" t="s">
        <v>387</v>
      </c>
      <c r="D136" s="165" t="s">
        <v>388</v>
      </c>
      <c r="E136" s="97">
        <v>53045</v>
      </c>
      <c r="F136" s="97">
        <f t="shared" si="79"/>
        <v>53045</v>
      </c>
      <c r="G136" s="73">
        <f t="shared" si="68"/>
        <v>0</v>
      </c>
      <c r="H136" s="166"/>
      <c r="I136" s="73">
        <f>ROUND(F136,0)</f>
        <v>53045</v>
      </c>
      <c r="J136" s="73">
        <f t="shared" si="69"/>
        <v>0</v>
      </c>
      <c r="K136" s="167"/>
      <c r="L136" s="73">
        <f t="shared" si="76"/>
        <v>53045</v>
      </c>
      <c r="M136" s="73">
        <f t="shared" si="70"/>
        <v>0</v>
      </c>
      <c r="N136" s="167"/>
      <c r="O136" s="73">
        <f t="shared" si="77"/>
        <v>53045</v>
      </c>
      <c r="P136" s="73">
        <f t="shared" si="71"/>
        <v>0</v>
      </c>
      <c r="Q136" s="167"/>
      <c r="R136" s="73">
        <f t="shared" si="78"/>
        <v>53045</v>
      </c>
      <c r="S136" s="73">
        <f t="shared" si="72"/>
        <v>0</v>
      </c>
      <c r="T136" s="167"/>
      <c r="U136" s="73">
        <f t="shared" si="81"/>
        <v>53045</v>
      </c>
      <c r="V136" s="73">
        <f t="shared" si="73"/>
        <v>0</v>
      </c>
      <c r="W136" s="167"/>
      <c r="X136" s="73">
        <f t="shared" si="82"/>
        <v>53045</v>
      </c>
      <c r="Y136" s="73">
        <f t="shared" si="74"/>
        <v>0</v>
      </c>
      <c r="Z136" s="167"/>
      <c r="AA136" s="73">
        <f t="shared" si="83"/>
        <v>53045</v>
      </c>
      <c r="AB136" s="73">
        <f t="shared" si="75"/>
        <v>0</v>
      </c>
      <c r="AC136" s="167"/>
    </row>
    <row r="137" spans="2:29" ht="30" customHeight="1" x14ac:dyDescent="0.25">
      <c r="B137" s="90" t="s">
        <v>370</v>
      </c>
      <c r="C137" s="164" t="s">
        <v>389</v>
      </c>
      <c r="D137" s="165" t="s">
        <v>390</v>
      </c>
      <c r="E137" s="97">
        <v>2229302</v>
      </c>
      <c r="F137" s="97">
        <f t="shared" si="79"/>
        <v>2229302</v>
      </c>
      <c r="G137" s="73">
        <f t="shared" si="68"/>
        <v>0</v>
      </c>
      <c r="H137" s="98"/>
      <c r="I137" s="73">
        <f t="shared" si="80"/>
        <v>2229302</v>
      </c>
      <c r="J137" s="73">
        <f t="shared" si="69"/>
        <v>0</v>
      </c>
      <c r="K137" s="99"/>
      <c r="L137" s="73">
        <f t="shared" si="76"/>
        <v>2229302</v>
      </c>
      <c r="M137" s="73">
        <f t="shared" si="70"/>
        <v>0</v>
      </c>
      <c r="N137" s="99"/>
      <c r="O137" s="73">
        <f>ROUND(L137,0)-50687</f>
        <v>2178615</v>
      </c>
      <c r="P137" s="73">
        <f t="shared" si="71"/>
        <v>-50687</v>
      </c>
      <c r="Q137" s="99" t="s">
        <v>391</v>
      </c>
      <c r="R137" s="73">
        <f>ROUND(O137,0)-40000</f>
        <v>2138615</v>
      </c>
      <c r="S137" s="73">
        <f t="shared" si="72"/>
        <v>-40000</v>
      </c>
      <c r="T137" s="99" t="s">
        <v>392</v>
      </c>
      <c r="U137" s="73">
        <f t="shared" si="81"/>
        <v>2138615</v>
      </c>
      <c r="V137" s="73">
        <f t="shared" si="73"/>
        <v>0</v>
      </c>
      <c r="W137" s="99"/>
      <c r="X137" s="73">
        <f t="shared" si="82"/>
        <v>2138615</v>
      </c>
      <c r="Y137" s="73">
        <f t="shared" si="74"/>
        <v>0</v>
      </c>
      <c r="Z137" s="99"/>
      <c r="AA137" s="73">
        <f t="shared" si="83"/>
        <v>2138615</v>
      </c>
      <c r="AB137" s="73">
        <f t="shared" si="75"/>
        <v>0</v>
      </c>
      <c r="AC137" s="99"/>
    </row>
    <row r="138" spans="2:29" ht="13.9" customHeight="1" x14ac:dyDescent="0.25">
      <c r="B138" s="90" t="s">
        <v>370</v>
      </c>
      <c r="C138" s="164" t="s">
        <v>393</v>
      </c>
      <c r="D138" s="165" t="s">
        <v>394</v>
      </c>
      <c r="E138" s="97">
        <v>6416104</v>
      </c>
      <c r="F138" s="97">
        <f t="shared" si="79"/>
        <v>6416104</v>
      </c>
      <c r="G138" s="73">
        <f t="shared" si="68"/>
        <v>0</v>
      </c>
      <c r="H138" s="166"/>
      <c r="I138" s="73">
        <f>ROUND(F138,0)+61071+20941</f>
        <v>6498116</v>
      </c>
      <c r="J138" s="73">
        <f t="shared" si="69"/>
        <v>82012</v>
      </c>
      <c r="K138" s="99" t="s">
        <v>395</v>
      </c>
      <c r="L138" s="73">
        <f t="shared" si="76"/>
        <v>6498116</v>
      </c>
      <c r="M138" s="73">
        <f t="shared" si="70"/>
        <v>0</v>
      </c>
      <c r="N138" s="167"/>
      <c r="O138" s="73">
        <f t="shared" si="77"/>
        <v>6498116</v>
      </c>
      <c r="P138" s="73">
        <f t="shared" si="71"/>
        <v>0</v>
      </c>
      <c r="Q138" s="167"/>
      <c r="R138" s="73">
        <f>ROUND(O138,0)</f>
        <v>6498116</v>
      </c>
      <c r="S138" s="73">
        <f t="shared" si="72"/>
        <v>0</v>
      </c>
      <c r="T138" s="167"/>
      <c r="U138" s="73">
        <f t="shared" si="81"/>
        <v>6498116</v>
      </c>
      <c r="V138" s="73">
        <f t="shared" si="73"/>
        <v>0</v>
      </c>
      <c r="W138" s="167"/>
      <c r="X138" s="73">
        <f t="shared" si="82"/>
        <v>6498116</v>
      </c>
      <c r="Y138" s="73">
        <f t="shared" si="74"/>
        <v>0</v>
      </c>
      <c r="Z138" s="167"/>
      <c r="AA138" s="73">
        <f t="shared" si="83"/>
        <v>6498116</v>
      </c>
      <c r="AB138" s="73">
        <f t="shared" si="75"/>
        <v>0</v>
      </c>
      <c r="AC138" s="167"/>
    </row>
    <row r="139" spans="2:29" ht="42.6" customHeight="1" x14ac:dyDescent="0.25">
      <c r="B139" s="90" t="s">
        <v>396</v>
      </c>
      <c r="C139" s="164" t="s">
        <v>397</v>
      </c>
      <c r="D139" s="165" t="s">
        <v>398</v>
      </c>
      <c r="E139" s="97">
        <v>410307</v>
      </c>
      <c r="F139" s="97">
        <f>ROUND(E139,0)</f>
        <v>410307</v>
      </c>
      <c r="G139" s="73">
        <f t="shared" si="68"/>
        <v>0</v>
      </c>
      <c r="H139" s="98"/>
      <c r="I139" s="73">
        <f>ROUND(F139,0)</f>
        <v>410307</v>
      </c>
      <c r="J139" s="73">
        <f t="shared" si="69"/>
        <v>0</v>
      </c>
      <c r="K139" s="99"/>
      <c r="L139" s="73">
        <f>ROUND(I139,0)-6959</f>
        <v>403348</v>
      </c>
      <c r="M139" s="73">
        <f t="shared" si="70"/>
        <v>-6959</v>
      </c>
      <c r="N139" s="99" t="s">
        <v>399</v>
      </c>
      <c r="O139" s="73">
        <f t="shared" si="77"/>
        <v>403348</v>
      </c>
      <c r="P139" s="73">
        <f t="shared" si="71"/>
        <v>0</v>
      </c>
      <c r="Q139" s="99"/>
      <c r="R139" s="73">
        <f>ROUND(O139,0)</f>
        <v>403348</v>
      </c>
      <c r="S139" s="73">
        <f t="shared" si="72"/>
        <v>0</v>
      </c>
      <c r="T139" s="99"/>
      <c r="U139" s="73">
        <f t="shared" si="81"/>
        <v>403348</v>
      </c>
      <c r="V139" s="73">
        <f t="shared" si="73"/>
        <v>0</v>
      </c>
      <c r="W139" s="99"/>
      <c r="X139" s="73">
        <f t="shared" si="82"/>
        <v>403348</v>
      </c>
      <c r="Y139" s="73">
        <f t="shared" si="74"/>
        <v>0</v>
      </c>
      <c r="Z139" s="99"/>
      <c r="AA139" s="73">
        <f t="shared" si="83"/>
        <v>403348</v>
      </c>
      <c r="AB139" s="73">
        <f t="shared" si="75"/>
        <v>0</v>
      </c>
      <c r="AC139" s="99"/>
    </row>
    <row r="140" spans="2:29" x14ac:dyDescent="0.25">
      <c r="C140" s="169" t="s">
        <v>39</v>
      </c>
      <c r="D140" s="170" t="s">
        <v>400</v>
      </c>
      <c r="E140" s="49">
        <v>0</v>
      </c>
      <c r="F140" s="49">
        <f t="shared" si="79"/>
        <v>0</v>
      </c>
      <c r="G140" s="48">
        <f t="shared" si="68"/>
        <v>0</v>
      </c>
      <c r="H140" s="50"/>
      <c r="I140" s="48">
        <f>ROUND(F140,0)</f>
        <v>0</v>
      </c>
      <c r="J140" s="48">
        <f t="shared" si="69"/>
        <v>0</v>
      </c>
      <c r="K140" s="51"/>
      <c r="L140" s="48">
        <f t="shared" si="76"/>
        <v>0</v>
      </c>
      <c r="M140" s="48">
        <f t="shared" si="70"/>
        <v>0</v>
      </c>
      <c r="N140" s="51"/>
      <c r="O140" s="48">
        <f t="shared" si="77"/>
        <v>0</v>
      </c>
      <c r="P140" s="48">
        <f t="shared" si="71"/>
        <v>0</v>
      </c>
      <c r="Q140" s="51"/>
      <c r="R140" s="48">
        <f>ROUND(O140,0)</f>
        <v>0</v>
      </c>
      <c r="S140" s="48">
        <f t="shared" si="72"/>
        <v>0</v>
      </c>
      <c r="T140" s="51"/>
      <c r="U140" s="48">
        <f t="shared" si="81"/>
        <v>0</v>
      </c>
      <c r="V140" s="48">
        <f t="shared" si="73"/>
        <v>0</v>
      </c>
      <c r="W140" s="51"/>
      <c r="X140" s="48">
        <f t="shared" si="82"/>
        <v>0</v>
      </c>
      <c r="Y140" s="48">
        <f t="shared" si="74"/>
        <v>0</v>
      </c>
      <c r="Z140" s="51"/>
      <c r="AA140" s="48">
        <f t="shared" si="83"/>
        <v>0</v>
      </c>
      <c r="AB140" s="48">
        <f t="shared" si="75"/>
        <v>0</v>
      </c>
      <c r="AC140" s="51"/>
    </row>
    <row r="141" spans="2:29" ht="13.9" customHeight="1" x14ac:dyDescent="0.25">
      <c r="B141" s="90" t="s">
        <v>401</v>
      </c>
      <c r="C141" s="164" t="s">
        <v>42</v>
      </c>
      <c r="D141" s="165" t="s">
        <v>402</v>
      </c>
      <c r="E141" s="97">
        <v>0</v>
      </c>
      <c r="F141" s="97">
        <f t="shared" si="79"/>
        <v>0</v>
      </c>
      <c r="G141" s="73">
        <f t="shared" si="68"/>
        <v>0</v>
      </c>
      <c r="H141" s="166"/>
      <c r="I141" s="73">
        <f>ROUND(F141,0)</f>
        <v>0</v>
      </c>
      <c r="J141" s="73">
        <f t="shared" si="69"/>
        <v>0</v>
      </c>
      <c r="K141" s="167"/>
      <c r="L141" s="73">
        <f t="shared" si="76"/>
        <v>0</v>
      </c>
      <c r="M141" s="73">
        <f t="shared" si="70"/>
        <v>0</v>
      </c>
      <c r="N141" s="167"/>
      <c r="O141" s="73">
        <f t="shared" si="77"/>
        <v>0</v>
      </c>
      <c r="P141" s="73">
        <f t="shared" si="71"/>
        <v>0</v>
      </c>
      <c r="Q141" s="167"/>
      <c r="R141" s="73">
        <f>ROUND(O141,0)</f>
        <v>0</v>
      </c>
      <c r="S141" s="73">
        <f t="shared" si="72"/>
        <v>0</v>
      </c>
      <c r="T141" s="167"/>
      <c r="U141" s="73">
        <f t="shared" si="81"/>
        <v>0</v>
      </c>
      <c r="V141" s="73">
        <f t="shared" si="73"/>
        <v>0</v>
      </c>
      <c r="W141" s="167"/>
      <c r="X141" s="73">
        <f t="shared" si="82"/>
        <v>0</v>
      </c>
      <c r="Y141" s="73">
        <f t="shared" si="74"/>
        <v>0</v>
      </c>
      <c r="Z141" s="167"/>
      <c r="AA141" s="73">
        <f t="shared" si="83"/>
        <v>0</v>
      </c>
      <c r="AB141" s="73">
        <f t="shared" si="75"/>
        <v>0</v>
      </c>
      <c r="AC141" s="167"/>
    </row>
    <row r="142" spans="2:29" ht="15" customHeight="1" collapsed="1" x14ac:dyDescent="0.25">
      <c r="B142" s="90" t="s">
        <v>403</v>
      </c>
      <c r="C142" s="169" t="s">
        <v>47</v>
      </c>
      <c r="D142" s="170" t="s">
        <v>404</v>
      </c>
      <c r="E142" s="49">
        <v>1032367.7769225</v>
      </c>
      <c r="F142" s="49">
        <f>ROUND(E142,0)+645</f>
        <v>1033013</v>
      </c>
      <c r="G142" s="48">
        <f t="shared" si="68"/>
        <v>645.22307750000618</v>
      </c>
      <c r="H142" s="65" t="s">
        <v>405</v>
      </c>
      <c r="I142" s="48">
        <f>ROUND(F142,0)+13315</f>
        <v>1046328</v>
      </c>
      <c r="J142" s="48">
        <f t="shared" si="69"/>
        <v>13315</v>
      </c>
      <c r="K142" s="66" t="s">
        <v>406</v>
      </c>
      <c r="L142" s="48">
        <f t="shared" si="76"/>
        <v>1046328</v>
      </c>
      <c r="M142" s="48">
        <f t="shared" si="70"/>
        <v>0</v>
      </c>
      <c r="N142" s="66"/>
      <c r="O142" s="48">
        <f>ROUND(L142,0)-102</f>
        <v>1046226</v>
      </c>
      <c r="P142" s="48">
        <f t="shared" si="71"/>
        <v>-102</v>
      </c>
      <c r="Q142" s="66" t="s">
        <v>407</v>
      </c>
      <c r="R142" s="48">
        <f>ROUND(O142,0)+12131</f>
        <v>1058357</v>
      </c>
      <c r="S142" s="48">
        <f t="shared" si="72"/>
        <v>12131</v>
      </c>
      <c r="T142" s="66" t="s">
        <v>408</v>
      </c>
      <c r="U142" s="48">
        <f t="shared" si="81"/>
        <v>1058357</v>
      </c>
      <c r="V142" s="48">
        <f t="shared" si="73"/>
        <v>0</v>
      </c>
      <c r="W142" s="66"/>
      <c r="X142" s="48">
        <f t="shared" si="82"/>
        <v>1058357</v>
      </c>
      <c r="Y142" s="48">
        <f t="shared" si="74"/>
        <v>0</v>
      </c>
      <c r="Z142" s="66"/>
      <c r="AA142" s="48">
        <f t="shared" si="83"/>
        <v>1058357</v>
      </c>
      <c r="AB142" s="48">
        <f t="shared" si="75"/>
        <v>0</v>
      </c>
      <c r="AC142" s="66"/>
    </row>
    <row r="143" spans="2:29" s="171" customFormat="1" ht="16.899999999999999" customHeight="1" x14ac:dyDescent="0.25">
      <c r="C143" s="169" t="s">
        <v>55</v>
      </c>
      <c r="D143" s="170" t="s">
        <v>409</v>
      </c>
      <c r="E143" s="49">
        <v>521949.07229136</v>
      </c>
      <c r="F143" s="49">
        <f t="shared" ref="F143" si="84">F144+F147</f>
        <v>583582</v>
      </c>
      <c r="G143" s="48">
        <f t="shared" si="68"/>
        <v>61632.927708639996</v>
      </c>
      <c r="H143" s="65"/>
      <c r="I143" s="48">
        <f>I144+I147</f>
        <v>587548</v>
      </c>
      <c r="J143" s="48">
        <f t="shared" si="69"/>
        <v>3966</v>
      </c>
      <c r="K143" s="66"/>
      <c r="L143" s="48">
        <f>L144+L147</f>
        <v>587548</v>
      </c>
      <c r="M143" s="48">
        <f t="shared" si="70"/>
        <v>0</v>
      </c>
      <c r="N143" s="66"/>
      <c r="O143" s="48">
        <f>O144+O147</f>
        <v>587548</v>
      </c>
      <c r="P143" s="48">
        <f t="shared" si="71"/>
        <v>0</v>
      </c>
      <c r="Q143" s="66"/>
      <c r="R143" s="48">
        <f>R144+R147</f>
        <v>587548</v>
      </c>
      <c r="S143" s="48">
        <f t="shared" si="72"/>
        <v>0</v>
      </c>
      <c r="T143" s="66"/>
      <c r="U143" s="48">
        <f>U144+U147</f>
        <v>587548</v>
      </c>
      <c r="V143" s="48">
        <f t="shared" si="73"/>
        <v>0</v>
      </c>
      <c r="W143" s="66"/>
      <c r="X143" s="48">
        <f>X144+X147</f>
        <v>587548</v>
      </c>
      <c r="Y143" s="48">
        <f t="shared" si="74"/>
        <v>0</v>
      </c>
      <c r="Z143" s="66"/>
      <c r="AA143" s="48">
        <f>AA144+AA147</f>
        <v>587548</v>
      </c>
      <c r="AB143" s="48">
        <f t="shared" si="75"/>
        <v>0</v>
      </c>
      <c r="AC143" s="66"/>
    </row>
    <row r="144" spans="2:29" x14ac:dyDescent="0.25">
      <c r="B144" s="90" t="s">
        <v>410</v>
      </c>
      <c r="C144" s="164" t="s">
        <v>58</v>
      </c>
      <c r="D144" s="165" t="s">
        <v>411</v>
      </c>
      <c r="E144" s="97">
        <v>179686.07229136</v>
      </c>
      <c r="F144" s="97">
        <f>SUM(F145:F146)</f>
        <v>179686</v>
      </c>
      <c r="G144" s="73">
        <f t="shared" ref="G144" si="85">SUM(G145:G146)</f>
        <v>-7.2291360003873706E-2</v>
      </c>
      <c r="H144" s="168"/>
      <c r="I144" s="73">
        <f>SUM(I145:I146)</f>
        <v>179686</v>
      </c>
      <c r="J144" s="73">
        <f t="shared" si="69"/>
        <v>0</v>
      </c>
      <c r="K144" s="73"/>
      <c r="L144" s="73">
        <f>SUM(L145:L146)</f>
        <v>179686</v>
      </c>
      <c r="M144" s="73">
        <f t="shared" si="70"/>
        <v>0</v>
      </c>
      <c r="N144" s="73"/>
      <c r="O144" s="73">
        <f>SUM(O145:O146)</f>
        <v>179686</v>
      </c>
      <c r="P144" s="73">
        <f t="shared" si="71"/>
        <v>0</v>
      </c>
      <c r="Q144" s="73"/>
      <c r="R144" s="73">
        <f>SUM(R145:R146)</f>
        <v>179686</v>
      </c>
      <c r="S144" s="73">
        <f t="shared" si="72"/>
        <v>0</v>
      </c>
      <c r="T144" s="73"/>
      <c r="U144" s="73">
        <f>SUM(U145:U146)</f>
        <v>179686</v>
      </c>
      <c r="V144" s="73">
        <f t="shared" si="73"/>
        <v>0</v>
      </c>
      <c r="W144" s="73"/>
      <c r="X144" s="73">
        <f>SUM(X145:X146)</f>
        <v>179686</v>
      </c>
      <c r="Y144" s="73">
        <f t="shared" si="74"/>
        <v>0</v>
      </c>
      <c r="Z144" s="73"/>
      <c r="AA144" s="73">
        <f>SUM(AA145:AA146)</f>
        <v>179686</v>
      </c>
      <c r="AB144" s="73">
        <f t="shared" si="75"/>
        <v>0</v>
      </c>
      <c r="AC144" s="73"/>
    </row>
    <row r="145" spans="2:29" ht="15.75" customHeight="1" x14ac:dyDescent="0.25">
      <c r="B145" s="90" t="s">
        <v>410</v>
      </c>
      <c r="C145" s="172" t="s">
        <v>412</v>
      </c>
      <c r="D145" s="173" t="s">
        <v>413</v>
      </c>
      <c r="E145" s="42">
        <v>150459.07229136</v>
      </c>
      <c r="F145" s="42">
        <f>ROUND(E145,0)</f>
        <v>150459</v>
      </c>
      <c r="G145" s="41">
        <f t="shared" si="68"/>
        <v>-7.2291360003873706E-2</v>
      </c>
      <c r="H145" s="43"/>
      <c r="I145" s="41">
        <f>ROUND(F145,0)-3283-544</f>
        <v>146632</v>
      </c>
      <c r="J145" s="41">
        <f t="shared" si="69"/>
        <v>-3827</v>
      </c>
      <c r="K145" s="174" t="s">
        <v>414</v>
      </c>
      <c r="L145" s="41">
        <f>ROUND(I145,0)-660</f>
        <v>145972</v>
      </c>
      <c r="M145" s="41">
        <f t="shared" si="70"/>
        <v>-660</v>
      </c>
      <c r="N145" s="45" t="s">
        <v>415</v>
      </c>
      <c r="O145" s="41">
        <f>ROUND(L145,0)</f>
        <v>145972</v>
      </c>
      <c r="P145" s="41">
        <f t="shared" si="71"/>
        <v>0</v>
      </c>
      <c r="Q145" s="44"/>
      <c r="R145" s="41">
        <f>ROUND(O145,0)</f>
        <v>145972</v>
      </c>
      <c r="S145" s="41">
        <f t="shared" si="72"/>
        <v>0</v>
      </c>
      <c r="T145" s="44"/>
      <c r="U145" s="41">
        <f>ROUND(R145,0)</f>
        <v>145972</v>
      </c>
      <c r="V145" s="41">
        <f t="shared" si="73"/>
        <v>0</v>
      </c>
      <c r="W145" s="44"/>
      <c r="X145" s="41">
        <f>ROUND(U145,0)</f>
        <v>145972</v>
      </c>
      <c r="Y145" s="41">
        <f t="shared" si="74"/>
        <v>0</v>
      </c>
      <c r="Z145" s="44"/>
      <c r="AA145" s="41">
        <f>ROUND(X145,0)</f>
        <v>145972</v>
      </c>
      <c r="AB145" s="41">
        <f t="shared" si="75"/>
        <v>0</v>
      </c>
      <c r="AC145" s="44"/>
    </row>
    <row r="146" spans="2:29" ht="15.6" customHeight="1" x14ac:dyDescent="0.25">
      <c r="B146" s="90"/>
      <c r="C146" s="172" t="s">
        <v>416</v>
      </c>
      <c r="D146" s="173" t="s">
        <v>417</v>
      </c>
      <c r="E146" s="42">
        <v>29227</v>
      </c>
      <c r="F146" s="42">
        <f>ROUND(E146,0)</f>
        <v>29227</v>
      </c>
      <c r="G146" s="41">
        <f t="shared" si="68"/>
        <v>0</v>
      </c>
      <c r="H146" s="43"/>
      <c r="I146" s="41">
        <f>ROUND(F146,0)+3283+544</f>
        <v>33054</v>
      </c>
      <c r="J146" s="41">
        <f t="shared" si="69"/>
        <v>3827</v>
      </c>
      <c r="K146" s="175"/>
      <c r="L146" s="41">
        <f>ROUND(I146,0)+660</f>
        <v>33714</v>
      </c>
      <c r="M146" s="41">
        <f t="shared" si="70"/>
        <v>660</v>
      </c>
      <c r="N146" s="44"/>
      <c r="O146" s="41">
        <f>ROUND(L146,0)</f>
        <v>33714</v>
      </c>
      <c r="P146" s="41">
        <f t="shared" si="71"/>
        <v>0</v>
      </c>
      <c r="Q146" s="44"/>
      <c r="R146" s="41">
        <f>ROUND(O146,0)</f>
        <v>33714</v>
      </c>
      <c r="S146" s="41">
        <f t="shared" si="72"/>
        <v>0</v>
      </c>
      <c r="T146" s="44"/>
      <c r="U146" s="41">
        <f>ROUND(R146,0)</f>
        <v>33714</v>
      </c>
      <c r="V146" s="41">
        <f t="shared" si="73"/>
        <v>0</v>
      </c>
      <c r="W146" s="44"/>
      <c r="X146" s="41">
        <f>ROUND(U146,0)</f>
        <v>33714</v>
      </c>
      <c r="Y146" s="41">
        <f t="shared" si="74"/>
        <v>0</v>
      </c>
      <c r="Z146" s="44"/>
      <c r="AA146" s="41">
        <f>ROUND(X146,0)</f>
        <v>33714</v>
      </c>
      <c r="AB146" s="41">
        <f t="shared" si="75"/>
        <v>0</v>
      </c>
      <c r="AC146" s="44"/>
    </row>
    <row r="147" spans="2:29" ht="30" x14ac:dyDescent="0.25">
      <c r="B147" s="90" t="s">
        <v>418</v>
      </c>
      <c r="C147" s="164" t="s">
        <v>60</v>
      </c>
      <c r="D147" s="165" t="s">
        <v>419</v>
      </c>
      <c r="E147" s="97">
        <v>342263</v>
      </c>
      <c r="F147" s="97">
        <f>ROUND(E147,0)+1093+59292+1248</f>
        <v>403896</v>
      </c>
      <c r="G147" s="73">
        <f t="shared" si="68"/>
        <v>61633</v>
      </c>
      <c r="H147" s="99" t="s">
        <v>420</v>
      </c>
      <c r="I147" s="73">
        <f>ROUND(F147,0)+3966</f>
        <v>407862</v>
      </c>
      <c r="J147" s="73">
        <f t="shared" si="69"/>
        <v>3966</v>
      </c>
      <c r="K147" s="73" t="s">
        <v>194</v>
      </c>
      <c r="L147" s="73">
        <f>ROUND(I147,0)</f>
        <v>407862</v>
      </c>
      <c r="M147" s="73">
        <f t="shared" si="70"/>
        <v>0</v>
      </c>
      <c r="N147" s="73"/>
      <c r="O147" s="73">
        <f>ROUND(L147,0)</f>
        <v>407862</v>
      </c>
      <c r="P147" s="73">
        <f t="shared" si="71"/>
        <v>0</v>
      </c>
      <c r="Q147" s="73"/>
      <c r="R147" s="73">
        <f>ROUND(O147,0)</f>
        <v>407862</v>
      </c>
      <c r="S147" s="73">
        <f t="shared" si="72"/>
        <v>0</v>
      </c>
      <c r="T147" s="73"/>
      <c r="U147" s="73">
        <f>ROUND(R147,0)</f>
        <v>407862</v>
      </c>
      <c r="V147" s="73">
        <f t="shared" si="73"/>
        <v>0</v>
      </c>
      <c r="W147" s="73"/>
      <c r="X147" s="73">
        <f>ROUND(U147,0)</f>
        <v>407862</v>
      </c>
      <c r="Y147" s="73">
        <f t="shared" si="74"/>
        <v>0</v>
      </c>
      <c r="Z147" s="73"/>
      <c r="AA147" s="73">
        <f>ROUND(X147,0)</f>
        <v>407862</v>
      </c>
      <c r="AB147" s="73">
        <f t="shared" si="75"/>
        <v>0</v>
      </c>
      <c r="AC147" s="73"/>
    </row>
    <row r="148" spans="2:29" x14ac:dyDescent="0.25">
      <c r="C148" s="169" t="s">
        <v>61</v>
      </c>
      <c r="D148" s="170" t="s">
        <v>421</v>
      </c>
      <c r="E148" s="49">
        <v>70000</v>
      </c>
      <c r="F148" s="49">
        <f t="shared" ref="F148" si="86">F149</f>
        <v>174970</v>
      </c>
      <c r="G148" s="48">
        <f t="shared" si="68"/>
        <v>104970</v>
      </c>
      <c r="H148" s="50"/>
      <c r="I148" s="48">
        <f>I149</f>
        <v>174970</v>
      </c>
      <c r="J148" s="48">
        <f t="shared" si="69"/>
        <v>0</v>
      </c>
      <c r="K148" s="51"/>
      <c r="L148" s="48">
        <f>L149</f>
        <v>174970</v>
      </c>
      <c r="M148" s="48">
        <f t="shared" si="70"/>
        <v>0</v>
      </c>
      <c r="N148" s="51"/>
      <c r="O148" s="48">
        <f>O149</f>
        <v>174970</v>
      </c>
      <c r="P148" s="48">
        <f t="shared" si="71"/>
        <v>0</v>
      </c>
      <c r="Q148" s="51"/>
      <c r="R148" s="48">
        <f>R149</f>
        <v>174970</v>
      </c>
      <c r="S148" s="48">
        <f t="shared" si="72"/>
        <v>0</v>
      </c>
      <c r="T148" s="51"/>
      <c r="U148" s="48">
        <f>U149</f>
        <v>174970</v>
      </c>
      <c r="V148" s="48">
        <f t="shared" si="73"/>
        <v>0</v>
      </c>
      <c r="W148" s="51"/>
      <c r="X148" s="48">
        <f>X149</f>
        <v>174970</v>
      </c>
      <c r="Y148" s="48">
        <f t="shared" si="74"/>
        <v>0</v>
      </c>
      <c r="Z148" s="51"/>
      <c r="AA148" s="48">
        <f>AA149</f>
        <v>174970</v>
      </c>
      <c r="AB148" s="48">
        <f t="shared" si="75"/>
        <v>0</v>
      </c>
      <c r="AC148" s="51"/>
    </row>
    <row r="149" spans="2:29" ht="16.149999999999999" customHeight="1" x14ac:dyDescent="0.25">
      <c r="B149" s="90" t="s">
        <v>422</v>
      </c>
      <c r="C149" s="164" t="s">
        <v>64</v>
      </c>
      <c r="D149" s="165" t="s">
        <v>423</v>
      </c>
      <c r="E149" s="97">
        <v>70000</v>
      </c>
      <c r="F149" s="97">
        <f>ROUND(E149,0)+104970</f>
        <v>174970</v>
      </c>
      <c r="G149" s="73">
        <f t="shared" si="68"/>
        <v>104970</v>
      </c>
      <c r="H149" s="99" t="s">
        <v>1</v>
      </c>
      <c r="I149" s="73">
        <f>ROUND(F149,0)</f>
        <v>174970</v>
      </c>
      <c r="J149" s="73">
        <f t="shared" si="69"/>
        <v>0</v>
      </c>
      <c r="K149" s="99"/>
      <c r="L149" s="73">
        <f>ROUND(I149,0)</f>
        <v>174970</v>
      </c>
      <c r="M149" s="73">
        <f t="shared" si="70"/>
        <v>0</v>
      </c>
      <c r="N149" s="99"/>
      <c r="O149" s="73">
        <f>ROUND(L149,0)</f>
        <v>174970</v>
      </c>
      <c r="P149" s="73">
        <f t="shared" si="71"/>
        <v>0</v>
      </c>
      <c r="Q149" s="99"/>
      <c r="R149" s="73">
        <f>ROUND(O149,0)</f>
        <v>174970</v>
      </c>
      <c r="S149" s="73">
        <f t="shared" si="72"/>
        <v>0</v>
      </c>
      <c r="T149" s="99"/>
      <c r="U149" s="73">
        <f>ROUND(R149,0)</f>
        <v>174970</v>
      </c>
      <c r="V149" s="73">
        <f t="shared" si="73"/>
        <v>0</v>
      </c>
      <c r="W149" s="99"/>
      <c r="X149" s="73">
        <f>ROUND(U149,0)</f>
        <v>174970</v>
      </c>
      <c r="Y149" s="73">
        <f t="shared" si="74"/>
        <v>0</v>
      </c>
      <c r="Z149" s="99"/>
      <c r="AA149" s="73">
        <f>ROUND(X149,0)</f>
        <v>174970</v>
      </c>
      <c r="AB149" s="73">
        <f t="shared" si="75"/>
        <v>0</v>
      </c>
      <c r="AC149" s="99"/>
    </row>
    <row r="150" spans="2:29" ht="29.25" x14ac:dyDescent="0.25">
      <c r="C150" s="169" t="s">
        <v>69</v>
      </c>
      <c r="D150" s="170" t="s">
        <v>424</v>
      </c>
      <c r="E150" s="49">
        <v>14182678.841957785</v>
      </c>
      <c r="F150" s="49">
        <f t="shared" ref="F150" si="87">F151+F152+F153+F154+F172</f>
        <v>14286414</v>
      </c>
      <c r="G150" s="48">
        <f>G152+G153+G154+G172</f>
        <v>103735.15804221481</v>
      </c>
      <c r="H150" s="52"/>
      <c r="I150" s="48">
        <f>I151+I152+I153+I154+I172</f>
        <v>14591725</v>
      </c>
      <c r="J150" s="48">
        <f t="shared" si="69"/>
        <v>305311</v>
      </c>
      <c r="K150" s="48"/>
      <c r="L150" s="48">
        <f>L151+L152+L153+L154+L172</f>
        <v>14665800</v>
      </c>
      <c r="M150" s="48">
        <f t="shared" si="70"/>
        <v>74075</v>
      </c>
      <c r="N150" s="48"/>
      <c r="O150" s="48">
        <f>O151+O152+O153+O154+O172</f>
        <v>15381807</v>
      </c>
      <c r="P150" s="48">
        <f t="shared" si="71"/>
        <v>716007</v>
      </c>
      <c r="Q150" s="48"/>
      <c r="R150" s="48">
        <f>R151+R152+R153+R154+R172</f>
        <v>15496067</v>
      </c>
      <c r="S150" s="48">
        <f t="shared" si="72"/>
        <v>114260</v>
      </c>
      <c r="T150" s="48"/>
      <c r="U150" s="48">
        <f>U151+U152+U153+U154+U172</f>
        <v>15508113</v>
      </c>
      <c r="V150" s="48">
        <f t="shared" si="73"/>
        <v>12046</v>
      </c>
      <c r="W150" s="48"/>
      <c r="X150" s="48">
        <f>X151+X152+X153+X154+X172</f>
        <v>15508113</v>
      </c>
      <c r="Y150" s="48">
        <f t="shared" si="74"/>
        <v>0</v>
      </c>
      <c r="Z150" s="48"/>
      <c r="AA150" s="48">
        <f>AA151+AA152+AA153+AA154+AA172</f>
        <v>15528613</v>
      </c>
      <c r="AB150" s="48">
        <f t="shared" si="75"/>
        <v>20500</v>
      </c>
      <c r="AC150" s="48"/>
    </row>
    <row r="151" spans="2:29" ht="15.6" customHeight="1" x14ac:dyDescent="0.25">
      <c r="B151" s="90" t="s">
        <v>401</v>
      </c>
      <c r="C151" s="164" t="s">
        <v>72</v>
      </c>
      <c r="D151" s="176" t="s">
        <v>402</v>
      </c>
      <c r="E151" s="178">
        <v>70000</v>
      </c>
      <c r="F151" s="97">
        <f>ROUND(E151,0)</f>
        <v>70000</v>
      </c>
      <c r="G151" s="73">
        <f>F151-E151</f>
        <v>0</v>
      </c>
      <c r="H151" s="166"/>
      <c r="I151" s="73">
        <f>ROUND(F151,0)</f>
        <v>70000</v>
      </c>
      <c r="J151" s="73">
        <f t="shared" si="69"/>
        <v>0</v>
      </c>
      <c r="K151" s="167"/>
      <c r="L151" s="73">
        <f>ROUND(I151,0)</f>
        <v>70000</v>
      </c>
      <c r="M151" s="73">
        <f t="shared" si="70"/>
        <v>0</v>
      </c>
      <c r="N151" s="167"/>
      <c r="O151" s="73">
        <f>ROUND(L151,0)</f>
        <v>70000</v>
      </c>
      <c r="P151" s="73">
        <f t="shared" si="71"/>
        <v>0</v>
      </c>
      <c r="Q151" s="167"/>
      <c r="R151" s="73">
        <f>ROUND(O151,0)</f>
        <v>70000</v>
      </c>
      <c r="S151" s="73">
        <f t="shared" si="72"/>
        <v>0</v>
      </c>
      <c r="T151" s="167"/>
      <c r="U151" s="73">
        <f>ROUND(R151,0)</f>
        <v>70000</v>
      </c>
      <c r="V151" s="73">
        <f t="shared" si="73"/>
        <v>0</v>
      </c>
      <c r="W151" s="167"/>
      <c r="X151" s="73">
        <f>ROUND(U151,0)</f>
        <v>70000</v>
      </c>
      <c r="Y151" s="73">
        <f t="shared" si="74"/>
        <v>0</v>
      </c>
      <c r="Z151" s="167"/>
      <c r="AA151" s="73">
        <f>ROUND(X151,0)</f>
        <v>70000</v>
      </c>
      <c r="AB151" s="73">
        <f t="shared" si="75"/>
        <v>0</v>
      </c>
      <c r="AC151" s="167"/>
    </row>
    <row r="152" spans="2:29" ht="28.15" customHeight="1" x14ac:dyDescent="0.25">
      <c r="B152" s="90" t="s">
        <v>425</v>
      </c>
      <c r="C152" s="164" t="s">
        <v>84</v>
      </c>
      <c r="D152" s="176" t="s">
        <v>426</v>
      </c>
      <c r="E152" s="178">
        <v>330452</v>
      </c>
      <c r="F152" s="178">
        <f>ROUND(E152,0)</f>
        <v>330452</v>
      </c>
      <c r="G152" s="177">
        <f t="shared" si="68"/>
        <v>0</v>
      </c>
      <c r="H152" s="98"/>
      <c r="I152" s="177">
        <f>ROUND(F152,0)</f>
        <v>330452</v>
      </c>
      <c r="J152" s="177">
        <f t="shared" si="69"/>
        <v>0</v>
      </c>
      <c r="K152" s="179"/>
      <c r="L152" s="177">
        <f>ROUND(I152,0)</f>
        <v>330452</v>
      </c>
      <c r="M152" s="177">
        <f t="shared" si="70"/>
        <v>0</v>
      </c>
      <c r="N152" s="179"/>
      <c r="O152" s="177">
        <f>ROUND(L152,0)</f>
        <v>330452</v>
      </c>
      <c r="P152" s="177">
        <f t="shared" si="71"/>
        <v>0</v>
      </c>
      <c r="Q152" s="179"/>
      <c r="R152" s="177">
        <f>ROUND(O152,0)</f>
        <v>330452</v>
      </c>
      <c r="S152" s="177">
        <f t="shared" si="72"/>
        <v>0</v>
      </c>
      <c r="T152" s="179"/>
      <c r="U152" s="177">
        <f>ROUND(R152,0)</f>
        <v>330452</v>
      </c>
      <c r="V152" s="177">
        <f t="shared" si="73"/>
        <v>0</v>
      </c>
      <c r="W152" s="179"/>
      <c r="X152" s="177">
        <f>ROUND(U152,0)</f>
        <v>330452</v>
      </c>
      <c r="Y152" s="177">
        <f t="shared" si="74"/>
        <v>0</v>
      </c>
      <c r="Z152" s="179"/>
      <c r="AA152" s="177">
        <f>ROUND(X152,0)</f>
        <v>330452</v>
      </c>
      <c r="AB152" s="177">
        <f t="shared" si="75"/>
        <v>0</v>
      </c>
      <c r="AC152" s="179"/>
    </row>
    <row r="153" spans="2:29" ht="19.5" customHeight="1" x14ac:dyDescent="0.25">
      <c r="B153" s="90" t="s">
        <v>427</v>
      </c>
      <c r="C153" s="164" t="s">
        <v>428</v>
      </c>
      <c r="D153" s="176" t="s">
        <v>429</v>
      </c>
      <c r="E153" s="178">
        <v>393055</v>
      </c>
      <c r="F153" s="178">
        <f>ROUND(E153,0)</f>
        <v>393055</v>
      </c>
      <c r="G153" s="177">
        <f t="shared" si="68"/>
        <v>0</v>
      </c>
      <c r="H153" s="98"/>
      <c r="I153" s="177">
        <f>ROUND(F153,0)</f>
        <v>393055</v>
      </c>
      <c r="J153" s="177">
        <f t="shared" si="69"/>
        <v>0</v>
      </c>
      <c r="K153" s="99"/>
      <c r="L153" s="177">
        <f>ROUND(I153,0)</f>
        <v>393055</v>
      </c>
      <c r="M153" s="177">
        <f t="shared" si="70"/>
        <v>0</v>
      </c>
      <c r="N153" s="99"/>
      <c r="O153" s="177">
        <f>ROUND(L153,0)</f>
        <v>393055</v>
      </c>
      <c r="P153" s="177">
        <f t="shared" si="71"/>
        <v>0</v>
      </c>
      <c r="Q153" s="99"/>
      <c r="R153" s="177">
        <f>ROUND(O153,0)</f>
        <v>393055</v>
      </c>
      <c r="S153" s="177">
        <f t="shared" si="72"/>
        <v>0</v>
      </c>
      <c r="T153" s="99"/>
      <c r="U153" s="177">
        <f>ROUND(R153,0)</f>
        <v>393055</v>
      </c>
      <c r="V153" s="177">
        <f t="shared" si="73"/>
        <v>0</v>
      </c>
      <c r="W153" s="99" t="s">
        <v>430</v>
      </c>
      <c r="X153" s="177">
        <f>ROUND(U153,0)</f>
        <v>393055</v>
      </c>
      <c r="Y153" s="177">
        <f t="shared" si="74"/>
        <v>0</v>
      </c>
      <c r="Z153" s="99"/>
      <c r="AA153" s="177">
        <f>ROUND(X153,0)</f>
        <v>393055</v>
      </c>
      <c r="AB153" s="177">
        <f t="shared" si="75"/>
        <v>0</v>
      </c>
      <c r="AC153" s="99"/>
    </row>
    <row r="154" spans="2:29" x14ac:dyDescent="0.25">
      <c r="C154" s="164" t="s">
        <v>431</v>
      </c>
      <c r="D154" s="176" t="s">
        <v>432</v>
      </c>
      <c r="E154" s="178">
        <v>1839370</v>
      </c>
      <c r="F154" s="178">
        <f t="shared" ref="F154:G154" si="88">SUM(F155:F171)</f>
        <v>1839370</v>
      </c>
      <c r="G154" s="177">
        <f t="shared" si="88"/>
        <v>0</v>
      </c>
      <c r="H154" s="180"/>
      <c r="I154" s="177">
        <f>SUM(I155:I171)</f>
        <v>1841370</v>
      </c>
      <c r="J154" s="177">
        <f t="shared" si="69"/>
        <v>2000</v>
      </c>
      <c r="K154" s="177"/>
      <c r="L154" s="177">
        <f>SUM(L155:L171)</f>
        <v>1834021</v>
      </c>
      <c r="M154" s="177">
        <f t="shared" si="70"/>
        <v>-7349</v>
      </c>
      <c r="N154" s="177"/>
      <c r="O154" s="177">
        <f>SUM(O155:O171)</f>
        <v>1862424</v>
      </c>
      <c r="P154" s="177">
        <f t="shared" si="71"/>
        <v>28403</v>
      </c>
      <c r="Q154" s="177"/>
      <c r="R154" s="177">
        <f>SUM(R155:R171)</f>
        <v>1777862</v>
      </c>
      <c r="S154" s="177">
        <f t="shared" si="72"/>
        <v>-84562</v>
      </c>
      <c r="T154" s="177"/>
      <c r="U154" s="177">
        <f>SUM(U155:U171)</f>
        <v>1777862</v>
      </c>
      <c r="V154" s="177">
        <f t="shared" si="73"/>
        <v>0</v>
      </c>
      <c r="W154" s="177"/>
      <c r="X154" s="177">
        <f>SUM(X155:X171)</f>
        <v>1777862</v>
      </c>
      <c r="Y154" s="177">
        <f t="shared" si="74"/>
        <v>0</v>
      </c>
      <c r="Z154" s="177"/>
      <c r="AA154" s="177">
        <f>SUM(AA155:AA171)</f>
        <v>1777862</v>
      </c>
      <c r="AB154" s="177">
        <f t="shared" si="75"/>
        <v>0</v>
      </c>
      <c r="AC154" s="177"/>
    </row>
    <row r="155" spans="2:29" ht="45.75" customHeight="1" x14ac:dyDescent="0.25">
      <c r="B155" s="90" t="s">
        <v>235</v>
      </c>
      <c r="C155" s="172" t="s">
        <v>433</v>
      </c>
      <c r="D155" s="137" t="s">
        <v>434</v>
      </c>
      <c r="E155" s="42">
        <v>696938</v>
      </c>
      <c r="F155" s="42">
        <f>ROUND(E155,0)</f>
        <v>696938</v>
      </c>
      <c r="G155" s="41">
        <f t="shared" si="68"/>
        <v>0</v>
      </c>
      <c r="H155" s="181"/>
      <c r="I155" s="41">
        <f>ROUND(F155,0)+2000</f>
        <v>698938</v>
      </c>
      <c r="J155" s="41">
        <f t="shared" si="69"/>
        <v>2000</v>
      </c>
      <c r="K155" s="64" t="s">
        <v>435</v>
      </c>
      <c r="L155" s="41">
        <f>ROUND(I155,0)-7349+5000+26640</f>
        <v>723229</v>
      </c>
      <c r="M155" s="41">
        <f t="shared" si="70"/>
        <v>24291</v>
      </c>
      <c r="N155" s="64" t="s">
        <v>436</v>
      </c>
      <c r="O155" s="41">
        <f>ROUND(L155,0)-5801-44284-3347</f>
        <v>669797</v>
      </c>
      <c r="P155" s="41">
        <f t="shared" si="71"/>
        <v>-53432</v>
      </c>
      <c r="Q155" s="64" t="s">
        <v>437</v>
      </c>
      <c r="R155" s="41">
        <f>ROUND(O155,0)+44284-85085-120000+19840+1500+1500</f>
        <v>531836</v>
      </c>
      <c r="S155" s="182">
        <f t="shared" si="72"/>
        <v>-137961</v>
      </c>
      <c r="T155" s="183" t="s">
        <v>438</v>
      </c>
      <c r="U155" s="41">
        <f>ROUND(R155,0)</f>
        <v>531836</v>
      </c>
      <c r="V155" s="41">
        <f t="shared" si="73"/>
        <v>0</v>
      </c>
      <c r="W155" s="45"/>
      <c r="X155" s="41">
        <f>ROUND(U155,0)</f>
        <v>531836</v>
      </c>
      <c r="Y155" s="41">
        <f t="shared" si="74"/>
        <v>0</v>
      </c>
      <c r="Z155" s="45"/>
      <c r="AA155" s="41">
        <f>ROUND(X155,0)</f>
        <v>531836</v>
      </c>
      <c r="AB155" s="41">
        <f t="shared" si="75"/>
        <v>0</v>
      </c>
      <c r="AC155" s="45" t="s">
        <v>439</v>
      </c>
    </row>
    <row r="156" spans="2:29" ht="18.600000000000001" customHeight="1" x14ac:dyDescent="0.25">
      <c r="B156" s="90" t="s">
        <v>440</v>
      </c>
      <c r="C156" s="172" t="s">
        <v>441</v>
      </c>
      <c r="D156" s="137" t="s">
        <v>442</v>
      </c>
      <c r="E156" s="42">
        <v>40000</v>
      </c>
      <c r="F156" s="42">
        <f t="shared" ref="F156:F171" si="89">ROUND(E156,0)</f>
        <v>40000</v>
      </c>
      <c r="G156" s="41">
        <f t="shared" si="68"/>
        <v>0</v>
      </c>
      <c r="H156" s="181"/>
      <c r="I156" s="41">
        <f t="shared" ref="I156:I168" si="90">ROUND(F156,0)</f>
        <v>40000</v>
      </c>
      <c r="J156" s="41">
        <f t="shared" si="69"/>
        <v>0</v>
      </c>
      <c r="K156" s="64"/>
      <c r="L156" s="41">
        <f>ROUND(I156,0)</f>
        <v>40000</v>
      </c>
      <c r="M156" s="41">
        <f t="shared" si="70"/>
        <v>0</v>
      </c>
      <c r="N156" s="64"/>
      <c r="O156" s="41">
        <f>ROUND(L156,0)</f>
        <v>40000</v>
      </c>
      <c r="P156" s="41">
        <f t="shared" si="71"/>
        <v>0</v>
      </c>
      <c r="Q156" s="64"/>
      <c r="R156" s="41">
        <f t="shared" ref="R156:R162" si="91">ROUND(O156,0)</f>
        <v>40000</v>
      </c>
      <c r="S156" s="41">
        <f t="shared" si="72"/>
        <v>0</v>
      </c>
      <c r="T156" s="64"/>
      <c r="U156" s="41">
        <f t="shared" ref="U156:U171" si="92">ROUND(R156,0)</f>
        <v>40000</v>
      </c>
      <c r="V156" s="41">
        <f t="shared" si="73"/>
        <v>0</v>
      </c>
      <c r="W156" s="64"/>
      <c r="X156" s="41">
        <f t="shared" ref="X156:X171" si="93">ROUND(U156,0)</f>
        <v>40000</v>
      </c>
      <c r="Y156" s="41">
        <f t="shared" si="74"/>
        <v>0</v>
      </c>
      <c r="Z156" s="64"/>
      <c r="AA156" s="41">
        <f t="shared" ref="AA156:AA171" si="94">ROUND(X156,0)</f>
        <v>40000</v>
      </c>
      <c r="AB156" s="41">
        <f t="shared" si="75"/>
        <v>0</v>
      </c>
      <c r="AC156" s="64"/>
    </row>
    <row r="157" spans="2:29" ht="16.5" customHeight="1" x14ac:dyDescent="0.25">
      <c r="B157" s="90" t="s">
        <v>440</v>
      </c>
      <c r="C157" s="172" t="s">
        <v>443</v>
      </c>
      <c r="D157" s="137" t="s">
        <v>444</v>
      </c>
      <c r="E157" s="42">
        <v>15094</v>
      </c>
      <c r="F157" s="42">
        <f t="shared" si="89"/>
        <v>15094</v>
      </c>
      <c r="G157" s="41">
        <f t="shared" si="68"/>
        <v>0</v>
      </c>
      <c r="H157" s="181"/>
      <c r="I157" s="41">
        <f t="shared" si="90"/>
        <v>15094</v>
      </c>
      <c r="J157" s="41">
        <f t="shared" si="69"/>
        <v>0</v>
      </c>
      <c r="K157" s="64"/>
      <c r="L157" s="41">
        <f>ROUND(I157,0)</f>
        <v>15094</v>
      </c>
      <c r="M157" s="41">
        <f t="shared" si="70"/>
        <v>0</v>
      </c>
      <c r="N157" s="64"/>
      <c r="O157" s="41">
        <f>ROUND(L157,0)</f>
        <v>15094</v>
      </c>
      <c r="P157" s="41">
        <f t="shared" si="71"/>
        <v>0</v>
      </c>
      <c r="Q157" s="64"/>
      <c r="R157" s="41">
        <f t="shared" si="91"/>
        <v>15094</v>
      </c>
      <c r="S157" s="41">
        <f t="shared" si="72"/>
        <v>0</v>
      </c>
      <c r="T157" s="64"/>
      <c r="U157" s="41">
        <f t="shared" si="92"/>
        <v>15094</v>
      </c>
      <c r="V157" s="41">
        <f t="shared" si="73"/>
        <v>0</v>
      </c>
      <c r="W157" s="64"/>
      <c r="X157" s="41">
        <f t="shared" si="93"/>
        <v>15094</v>
      </c>
      <c r="Y157" s="41">
        <f t="shared" si="74"/>
        <v>0</v>
      </c>
      <c r="Z157" s="64"/>
      <c r="AA157" s="41">
        <f t="shared" si="94"/>
        <v>15094</v>
      </c>
      <c r="AB157" s="41">
        <f t="shared" si="75"/>
        <v>0</v>
      </c>
      <c r="AC157" s="64"/>
    </row>
    <row r="158" spans="2:29" ht="28.15" customHeight="1" x14ac:dyDescent="0.25">
      <c r="B158" s="90" t="s">
        <v>445</v>
      </c>
      <c r="C158" s="184" t="s">
        <v>446</v>
      </c>
      <c r="D158" s="93" t="s">
        <v>447</v>
      </c>
      <c r="E158" s="42">
        <v>50458</v>
      </c>
      <c r="F158" s="42">
        <f>ROUND(E158,0)</f>
        <v>50458</v>
      </c>
      <c r="G158" s="41">
        <f t="shared" si="68"/>
        <v>0</v>
      </c>
      <c r="H158" s="181"/>
      <c r="I158" s="41">
        <f t="shared" si="90"/>
        <v>50458</v>
      </c>
      <c r="J158" s="41">
        <f t="shared" si="69"/>
        <v>0</v>
      </c>
      <c r="K158" s="64"/>
      <c r="L158" s="41">
        <f>ROUND(I158,0)</f>
        <v>50458</v>
      </c>
      <c r="M158" s="41">
        <f t="shared" si="70"/>
        <v>0</v>
      </c>
      <c r="N158" s="64"/>
      <c r="O158" s="41">
        <f>ROUND(L158,0)</f>
        <v>50458</v>
      </c>
      <c r="P158" s="41">
        <f t="shared" si="71"/>
        <v>0</v>
      </c>
      <c r="Q158" s="64"/>
      <c r="R158" s="41">
        <f t="shared" si="91"/>
        <v>50458</v>
      </c>
      <c r="S158" s="41">
        <f t="shared" si="72"/>
        <v>0</v>
      </c>
      <c r="T158" s="64"/>
      <c r="U158" s="41">
        <f t="shared" si="92"/>
        <v>50458</v>
      </c>
      <c r="V158" s="41">
        <f t="shared" si="73"/>
        <v>0</v>
      </c>
      <c r="W158" s="64"/>
      <c r="X158" s="41">
        <f t="shared" si="93"/>
        <v>50458</v>
      </c>
      <c r="Y158" s="41">
        <f t="shared" si="74"/>
        <v>0</v>
      </c>
      <c r="Z158" s="64"/>
      <c r="AA158" s="41">
        <f t="shared" si="94"/>
        <v>50458</v>
      </c>
      <c r="AB158" s="41">
        <f t="shared" si="75"/>
        <v>0</v>
      </c>
      <c r="AC158" s="64"/>
    </row>
    <row r="159" spans="2:29" ht="40.9" customHeight="1" x14ac:dyDescent="0.25">
      <c r="B159" s="90" t="s">
        <v>448</v>
      </c>
      <c r="C159" s="184" t="s">
        <v>449</v>
      </c>
      <c r="D159" s="185" t="s">
        <v>450</v>
      </c>
      <c r="E159" s="42">
        <v>145650</v>
      </c>
      <c r="F159" s="42">
        <f t="shared" si="89"/>
        <v>145650</v>
      </c>
      <c r="G159" s="41">
        <f t="shared" si="68"/>
        <v>0</v>
      </c>
      <c r="H159" s="181"/>
      <c r="I159" s="41">
        <f>ROUND(F159,0)</f>
        <v>145650</v>
      </c>
      <c r="J159" s="41">
        <f t="shared" si="69"/>
        <v>0</v>
      </c>
      <c r="K159" s="64"/>
      <c r="L159" s="41">
        <f>ROUND(I159,0)-5000-26640</f>
        <v>114010</v>
      </c>
      <c r="M159" s="41">
        <f t="shared" si="70"/>
        <v>-31640</v>
      </c>
      <c r="N159" s="64" t="s">
        <v>451</v>
      </c>
      <c r="O159" s="41">
        <f>ROUND(L159,0)+3347</f>
        <v>117357</v>
      </c>
      <c r="P159" s="41">
        <f t="shared" si="71"/>
        <v>3347</v>
      </c>
      <c r="Q159" s="64" t="s">
        <v>452</v>
      </c>
      <c r="R159" s="41">
        <f t="shared" si="91"/>
        <v>117357</v>
      </c>
      <c r="S159" s="41">
        <f t="shared" si="72"/>
        <v>0</v>
      </c>
      <c r="T159" s="64"/>
      <c r="U159" s="41">
        <f t="shared" si="92"/>
        <v>117357</v>
      </c>
      <c r="V159" s="41">
        <f t="shared" si="73"/>
        <v>0</v>
      </c>
      <c r="W159" s="64"/>
      <c r="X159" s="41">
        <f t="shared" si="93"/>
        <v>117357</v>
      </c>
      <c r="Y159" s="41">
        <f t="shared" si="74"/>
        <v>0</v>
      </c>
      <c r="Z159" s="64"/>
      <c r="AA159" s="41">
        <f t="shared" si="94"/>
        <v>117357</v>
      </c>
      <c r="AB159" s="41">
        <f t="shared" si="75"/>
        <v>0</v>
      </c>
      <c r="AC159" s="64"/>
    </row>
    <row r="160" spans="2:29" ht="31.9" customHeight="1" x14ac:dyDescent="0.25">
      <c r="B160" s="90" t="s">
        <v>453</v>
      </c>
      <c r="C160" s="184" t="s">
        <v>454</v>
      </c>
      <c r="D160" s="185" t="s">
        <v>261</v>
      </c>
      <c r="E160" s="42">
        <v>397337</v>
      </c>
      <c r="F160" s="42">
        <f t="shared" si="89"/>
        <v>397337</v>
      </c>
      <c r="G160" s="41">
        <f t="shared" si="68"/>
        <v>0</v>
      </c>
      <c r="H160" s="181"/>
      <c r="I160" s="41">
        <f t="shared" si="90"/>
        <v>397337</v>
      </c>
      <c r="J160" s="41">
        <f t="shared" si="69"/>
        <v>0</v>
      </c>
      <c r="K160" s="64"/>
      <c r="L160" s="41">
        <f t="shared" ref="L160:L168" si="95">ROUND(I160,0)</f>
        <v>397337</v>
      </c>
      <c r="M160" s="41">
        <f t="shared" si="70"/>
        <v>0</v>
      </c>
      <c r="N160" s="64"/>
      <c r="O160" s="41">
        <f>ROUND(L160,0)</f>
        <v>397337</v>
      </c>
      <c r="P160" s="41">
        <f t="shared" si="71"/>
        <v>0</v>
      </c>
      <c r="Q160" s="64"/>
      <c r="R160" s="41">
        <f t="shared" si="91"/>
        <v>397337</v>
      </c>
      <c r="S160" s="41">
        <f t="shared" si="72"/>
        <v>0</v>
      </c>
      <c r="T160" s="64"/>
      <c r="U160" s="41">
        <f t="shared" si="92"/>
        <v>397337</v>
      </c>
      <c r="V160" s="41">
        <f t="shared" si="73"/>
        <v>0</v>
      </c>
      <c r="W160" s="64"/>
      <c r="X160" s="41">
        <f t="shared" si="93"/>
        <v>397337</v>
      </c>
      <c r="Y160" s="41">
        <f t="shared" si="74"/>
        <v>0</v>
      </c>
      <c r="Z160" s="64"/>
      <c r="AA160" s="41">
        <f t="shared" si="94"/>
        <v>397337</v>
      </c>
      <c r="AB160" s="41">
        <f t="shared" si="75"/>
        <v>0</v>
      </c>
      <c r="AC160" s="64"/>
    </row>
    <row r="161" spans="2:29" ht="15" customHeight="1" x14ac:dyDescent="0.25">
      <c r="B161" s="186" t="s">
        <v>455</v>
      </c>
      <c r="C161" s="184" t="s">
        <v>456</v>
      </c>
      <c r="D161" s="185" t="s">
        <v>219</v>
      </c>
      <c r="E161" s="42">
        <v>207440</v>
      </c>
      <c r="F161" s="42">
        <f t="shared" si="89"/>
        <v>207440</v>
      </c>
      <c r="G161" s="41">
        <f t="shared" si="68"/>
        <v>0</v>
      </c>
      <c r="H161" s="68"/>
      <c r="I161" s="41">
        <f t="shared" si="90"/>
        <v>207440</v>
      </c>
      <c r="J161" s="41">
        <f t="shared" si="69"/>
        <v>0</v>
      </c>
      <c r="K161" s="45"/>
      <c r="L161" s="41">
        <f t="shared" si="95"/>
        <v>207440</v>
      </c>
      <c r="M161" s="41">
        <f t="shared" si="70"/>
        <v>0</v>
      </c>
      <c r="N161" s="45"/>
      <c r="O161" s="41">
        <f>ROUND(L161,0)+22000+50687</f>
        <v>280127</v>
      </c>
      <c r="P161" s="41">
        <f t="shared" si="71"/>
        <v>72687</v>
      </c>
      <c r="Q161" s="45" t="s">
        <v>457</v>
      </c>
      <c r="R161" s="41">
        <f t="shared" si="91"/>
        <v>280127</v>
      </c>
      <c r="S161" s="41">
        <f t="shared" si="72"/>
        <v>0</v>
      </c>
      <c r="T161" s="45"/>
      <c r="U161" s="41">
        <f t="shared" si="92"/>
        <v>280127</v>
      </c>
      <c r="V161" s="41">
        <f t="shared" si="73"/>
        <v>0</v>
      </c>
      <c r="W161" s="45"/>
      <c r="X161" s="41">
        <f t="shared" si="93"/>
        <v>280127</v>
      </c>
      <c r="Y161" s="41">
        <f t="shared" si="74"/>
        <v>0</v>
      </c>
      <c r="Z161" s="45"/>
      <c r="AA161" s="41">
        <f t="shared" si="94"/>
        <v>280127</v>
      </c>
      <c r="AB161" s="41">
        <f t="shared" si="75"/>
        <v>0</v>
      </c>
      <c r="AC161" s="45"/>
    </row>
    <row r="162" spans="2:29" ht="39.6" customHeight="1" x14ac:dyDescent="0.25">
      <c r="B162" s="90" t="s">
        <v>458</v>
      </c>
      <c r="C162" s="184" t="s">
        <v>459</v>
      </c>
      <c r="D162" s="185" t="s">
        <v>222</v>
      </c>
      <c r="E162" s="42">
        <v>14067</v>
      </c>
      <c r="F162" s="42">
        <f t="shared" si="89"/>
        <v>14067</v>
      </c>
      <c r="G162" s="41">
        <f t="shared" si="68"/>
        <v>0</v>
      </c>
      <c r="H162" s="68"/>
      <c r="I162" s="41">
        <f t="shared" si="90"/>
        <v>14067</v>
      </c>
      <c r="J162" s="41">
        <f t="shared" si="69"/>
        <v>0</v>
      </c>
      <c r="K162" s="45"/>
      <c r="L162" s="41">
        <f t="shared" si="95"/>
        <v>14067</v>
      </c>
      <c r="M162" s="41">
        <f t="shared" si="70"/>
        <v>0</v>
      </c>
      <c r="N162" s="45"/>
      <c r="O162" s="41">
        <f>ROUND(L162,0)+5801</f>
        <v>19868</v>
      </c>
      <c r="P162" s="41">
        <f t="shared" si="71"/>
        <v>5801</v>
      </c>
      <c r="Q162" s="45" t="s">
        <v>460</v>
      </c>
      <c r="R162" s="41">
        <f t="shared" si="91"/>
        <v>19868</v>
      </c>
      <c r="S162" s="41">
        <f t="shared" si="72"/>
        <v>0</v>
      </c>
      <c r="T162" s="45"/>
      <c r="U162" s="41">
        <f t="shared" si="92"/>
        <v>19868</v>
      </c>
      <c r="V162" s="41">
        <f t="shared" si="73"/>
        <v>0</v>
      </c>
      <c r="W162" s="45"/>
      <c r="X162" s="41">
        <f t="shared" si="93"/>
        <v>19868</v>
      </c>
      <c r="Y162" s="41">
        <f t="shared" si="74"/>
        <v>0</v>
      </c>
      <c r="Z162" s="45"/>
      <c r="AA162" s="41">
        <f t="shared" si="94"/>
        <v>19868</v>
      </c>
      <c r="AB162" s="41">
        <f t="shared" si="75"/>
        <v>0</v>
      </c>
      <c r="AC162" s="45"/>
    </row>
    <row r="163" spans="2:29" ht="33" customHeight="1" x14ac:dyDescent="0.25">
      <c r="B163" s="90" t="s">
        <v>461</v>
      </c>
      <c r="C163" s="184" t="s">
        <v>462</v>
      </c>
      <c r="D163" s="185" t="s">
        <v>224</v>
      </c>
      <c r="E163" s="42">
        <v>7900</v>
      </c>
      <c r="F163" s="42">
        <f t="shared" si="89"/>
        <v>7900</v>
      </c>
      <c r="G163" s="41">
        <f t="shared" si="68"/>
        <v>0</v>
      </c>
      <c r="H163" s="68"/>
      <c r="I163" s="41">
        <f t="shared" si="90"/>
        <v>7900</v>
      </c>
      <c r="J163" s="41">
        <f t="shared" si="69"/>
        <v>0</v>
      </c>
      <c r="K163" s="45"/>
      <c r="L163" s="41">
        <f t="shared" si="95"/>
        <v>7900</v>
      </c>
      <c r="M163" s="41">
        <f t="shared" si="70"/>
        <v>0</v>
      </c>
      <c r="N163" s="45"/>
      <c r="O163" s="41">
        <f t="shared" ref="O163:O171" si="96">ROUND(L163,0)</f>
        <v>7900</v>
      </c>
      <c r="P163" s="41">
        <f t="shared" si="71"/>
        <v>0</v>
      </c>
      <c r="Q163" s="45"/>
      <c r="R163" s="41">
        <f>ROUND(O163,0)+12598</f>
        <v>20498</v>
      </c>
      <c r="S163" s="182">
        <f t="shared" si="72"/>
        <v>12598</v>
      </c>
      <c r="T163" s="183" t="s">
        <v>463</v>
      </c>
      <c r="U163" s="41">
        <f t="shared" si="92"/>
        <v>20498</v>
      </c>
      <c r="V163" s="41">
        <f t="shared" si="73"/>
        <v>0</v>
      </c>
      <c r="W163" s="45"/>
      <c r="X163" s="41">
        <f t="shared" si="93"/>
        <v>20498</v>
      </c>
      <c r="Y163" s="41">
        <f t="shared" si="74"/>
        <v>0</v>
      </c>
      <c r="Z163" s="45"/>
      <c r="AA163" s="41">
        <f t="shared" si="94"/>
        <v>20498</v>
      </c>
      <c r="AB163" s="41">
        <f t="shared" si="75"/>
        <v>0</v>
      </c>
      <c r="AC163" s="45"/>
    </row>
    <row r="164" spans="2:29" ht="17.45" customHeight="1" x14ac:dyDescent="0.25">
      <c r="B164" s="90" t="s">
        <v>235</v>
      </c>
      <c r="C164" s="184" t="s">
        <v>464</v>
      </c>
      <c r="D164" s="185" t="s">
        <v>227</v>
      </c>
      <c r="E164" s="42">
        <v>9000</v>
      </c>
      <c r="F164" s="42">
        <f t="shared" si="89"/>
        <v>9000</v>
      </c>
      <c r="G164" s="41">
        <f t="shared" si="68"/>
        <v>0</v>
      </c>
      <c r="H164" s="68"/>
      <c r="I164" s="41">
        <f t="shared" si="90"/>
        <v>9000</v>
      </c>
      <c r="J164" s="41">
        <f t="shared" si="69"/>
        <v>0</v>
      </c>
      <c r="K164" s="45"/>
      <c r="L164" s="41">
        <f t="shared" si="95"/>
        <v>9000</v>
      </c>
      <c r="M164" s="41">
        <f t="shared" si="70"/>
        <v>0</v>
      </c>
      <c r="N164" s="45"/>
      <c r="O164" s="41">
        <f t="shared" si="96"/>
        <v>9000</v>
      </c>
      <c r="P164" s="41">
        <f t="shared" si="71"/>
        <v>0</v>
      </c>
      <c r="Q164" s="45"/>
      <c r="R164" s="41">
        <f t="shared" ref="R164:R171" si="97">ROUND(O164,0)</f>
        <v>9000</v>
      </c>
      <c r="S164" s="41">
        <f t="shared" si="72"/>
        <v>0</v>
      </c>
      <c r="T164" s="45"/>
      <c r="U164" s="41">
        <f t="shared" si="92"/>
        <v>9000</v>
      </c>
      <c r="V164" s="41">
        <f t="shared" si="73"/>
        <v>0</v>
      </c>
      <c r="W164" s="45"/>
      <c r="X164" s="41">
        <f t="shared" si="93"/>
        <v>9000</v>
      </c>
      <c r="Y164" s="41">
        <f t="shared" si="74"/>
        <v>0</v>
      </c>
      <c r="Z164" s="45"/>
      <c r="AA164" s="41">
        <f t="shared" si="94"/>
        <v>9000</v>
      </c>
      <c r="AB164" s="41">
        <f t="shared" si="75"/>
        <v>0</v>
      </c>
      <c r="AC164" s="45"/>
    </row>
    <row r="165" spans="2:29" ht="55.9" customHeight="1" x14ac:dyDescent="0.25">
      <c r="B165" s="90" t="s">
        <v>235</v>
      </c>
      <c r="C165" s="184" t="s">
        <v>465</v>
      </c>
      <c r="D165" s="185" t="s">
        <v>229</v>
      </c>
      <c r="E165" s="42">
        <v>12020</v>
      </c>
      <c r="F165" s="42">
        <f t="shared" si="89"/>
        <v>12020</v>
      </c>
      <c r="G165" s="41">
        <f t="shared" si="68"/>
        <v>0</v>
      </c>
      <c r="H165" s="68"/>
      <c r="I165" s="41">
        <f t="shared" si="90"/>
        <v>12020</v>
      </c>
      <c r="J165" s="41">
        <f t="shared" si="69"/>
        <v>0</v>
      </c>
      <c r="K165" s="45"/>
      <c r="L165" s="41">
        <f t="shared" si="95"/>
        <v>12020</v>
      </c>
      <c r="M165" s="41">
        <f t="shared" si="70"/>
        <v>0</v>
      </c>
      <c r="N165" s="45"/>
      <c r="O165" s="41">
        <f t="shared" si="96"/>
        <v>12020</v>
      </c>
      <c r="P165" s="41">
        <f t="shared" si="71"/>
        <v>0</v>
      </c>
      <c r="Q165" s="45"/>
      <c r="R165" s="41">
        <f t="shared" si="97"/>
        <v>12020</v>
      </c>
      <c r="S165" s="41">
        <f t="shared" si="72"/>
        <v>0</v>
      </c>
      <c r="T165" s="45"/>
      <c r="U165" s="41">
        <f t="shared" si="92"/>
        <v>12020</v>
      </c>
      <c r="V165" s="41">
        <f t="shared" si="73"/>
        <v>0</v>
      </c>
      <c r="W165" s="45"/>
      <c r="X165" s="41">
        <f t="shared" si="93"/>
        <v>12020</v>
      </c>
      <c r="Y165" s="41">
        <f t="shared" si="74"/>
        <v>0</v>
      </c>
      <c r="Z165" s="45"/>
      <c r="AA165" s="41">
        <f t="shared" si="94"/>
        <v>12020</v>
      </c>
      <c r="AB165" s="41">
        <f t="shared" si="75"/>
        <v>0</v>
      </c>
      <c r="AC165" s="45"/>
    </row>
    <row r="166" spans="2:29" ht="40.9" customHeight="1" x14ac:dyDescent="0.25">
      <c r="B166" s="90" t="s">
        <v>235</v>
      </c>
      <c r="C166" s="184" t="s">
        <v>466</v>
      </c>
      <c r="D166" s="185" t="s">
        <v>231</v>
      </c>
      <c r="E166" s="42">
        <v>30655</v>
      </c>
      <c r="F166" s="42">
        <f t="shared" si="89"/>
        <v>30655</v>
      </c>
      <c r="G166" s="41">
        <f t="shared" si="68"/>
        <v>0</v>
      </c>
      <c r="H166" s="68"/>
      <c r="I166" s="41">
        <f t="shared" si="90"/>
        <v>30655</v>
      </c>
      <c r="J166" s="41">
        <f t="shared" si="69"/>
        <v>0</v>
      </c>
      <c r="K166" s="45"/>
      <c r="L166" s="41">
        <f t="shared" si="95"/>
        <v>30655</v>
      </c>
      <c r="M166" s="41">
        <f t="shared" si="70"/>
        <v>0</v>
      </c>
      <c r="N166" s="45"/>
      <c r="O166" s="41">
        <f t="shared" si="96"/>
        <v>30655</v>
      </c>
      <c r="P166" s="41">
        <f t="shared" si="71"/>
        <v>0</v>
      </c>
      <c r="Q166" s="45"/>
      <c r="R166" s="41">
        <f t="shared" si="97"/>
        <v>30655</v>
      </c>
      <c r="S166" s="41">
        <f t="shared" si="72"/>
        <v>0</v>
      </c>
      <c r="T166" s="45"/>
      <c r="U166" s="41">
        <f t="shared" si="92"/>
        <v>30655</v>
      </c>
      <c r="V166" s="41">
        <f t="shared" si="73"/>
        <v>0</v>
      </c>
      <c r="W166" s="45"/>
      <c r="X166" s="41">
        <f t="shared" si="93"/>
        <v>30655</v>
      </c>
      <c r="Y166" s="41">
        <f t="shared" si="74"/>
        <v>0</v>
      </c>
      <c r="Z166" s="45"/>
      <c r="AA166" s="41">
        <f t="shared" si="94"/>
        <v>30655</v>
      </c>
      <c r="AB166" s="41">
        <f t="shared" si="75"/>
        <v>0</v>
      </c>
      <c r="AC166" s="45"/>
    </row>
    <row r="167" spans="2:29" ht="16.899999999999999" customHeight="1" x14ac:dyDescent="0.25">
      <c r="B167" s="90" t="s">
        <v>232</v>
      </c>
      <c r="C167" s="184" t="s">
        <v>467</v>
      </c>
      <c r="D167" s="185" t="s">
        <v>234</v>
      </c>
      <c r="E167" s="42">
        <v>168527</v>
      </c>
      <c r="F167" s="42">
        <f t="shared" si="89"/>
        <v>168527</v>
      </c>
      <c r="G167" s="41">
        <f t="shared" si="68"/>
        <v>0</v>
      </c>
      <c r="H167" s="68"/>
      <c r="I167" s="41">
        <f t="shared" si="90"/>
        <v>168527</v>
      </c>
      <c r="J167" s="41">
        <f t="shared" si="69"/>
        <v>0</v>
      </c>
      <c r="K167" s="45"/>
      <c r="L167" s="41">
        <f t="shared" si="95"/>
        <v>168527</v>
      </c>
      <c r="M167" s="41">
        <f t="shared" si="70"/>
        <v>0</v>
      </c>
      <c r="N167" s="45"/>
      <c r="O167" s="41">
        <f t="shared" si="96"/>
        <v>168527</v>
      </c>
      <c r="P167" s="41">
        <f t="shared" si="71"/>
        <v>0</v>
      </c>
      <c r="Q167" s="45"/>
      <c r="R167" s="41">
        <f t="shared" si="97"/>
        <v>168527</v>
      </c>
      <c r="S167" s="41">
        <f t="shared" si="72"/>
        <v>0</v>
      </c>
      <c r="T167" s="45"/>
      <c r="U167" s="41">
        <f t="shared" si="92"/>
        <v>168527</v>
      </c>
      <c r="V167" s="41">
        <f t="shared" si="73"/>
        <v>0</v>
      </c>
      <c r="W167" s="45"/>
      <c r="X167" s="41">
        <f t="shared" si="93"/>
        <v>168527</v>
      </c>
      <c r="Y167" s="41">
        <f t="shared" si="74"/>
        <v>0</v>
      </c>
      <c r="Z167" s="45"/>
      <c r="AA167" s="41">
        <f t="shared" si="94"/>
        <v>168527</v>
      </c>
      <c r="AB167" s="41">
        <f t="shared" si="75"/>
        <v>0</v>
      </c>
      <c r="AC167" s="45"/>
    </row>
    <row r="168" spans="2:29" ht="42.6" customHeight="1" x14ac:dyDescent="0.25">
      <c r="B168" s="90" t="s">
        <v>235</v>
      </c>
      <c r="C168" s="184" t="s">
        <v>468</v>
      </c>
      <c r="D168" s="185" t="s">
        <v>469</v>
      </c>
      <c r="E168" s="42">
        <v>44284</v>
      </c>
      <c r="F168" s="42">
        <f t="shared" si="89"/>
        <v>44284</v>
      </c>
      <c r="G168" s="41">
        <f t="shared" si="68"/>
        <v>0</v>
      </c>
      <c r="H168" s="68"/>
      <c r="I168" s="41">
        <f t="shared" si="90"/>
        <v>44284</v>
      </c>
      <c r="J168" s="41">
        <f t="shared" si="69"/>
        <v>0</v>
      </c>
      <c r="K168" s="45"/>
      <c r="L168" s="41">
        <f t="shared" si="95"/>
        <v>44284</v>
      </c>
      <c r="M168" s="41">
        <f t="shared" si="70"/>
        <v>0</v>
      </c>
      <c r="N168" s="45"/>
      <c r="O168" s="41">
        <f t="shared" si="96"/>
        <v>44284</v>
      </c>
      <c r="P168" s="41">
        <f t="shared" si="71"/>
        <v>0</v>
      </c>
      <c r="Q168" s="45"/>
      <c r="R168" s="41">
        <f>ROUND(O168,0)-44284</f>
        <v>0</v>
      </c>
      <c r="S168" s="41">
        <f t="shared" si="72"/>
        <v>-44284</v>
      </c>
      <c r="T168" s="64" t="s">
        <v>470</v>
      </c>
      <c r="U168" s="41">
        <f t="shared" si="92"/>
        <v>0</v>
      </c>
      <c r="V168" s="41">
        <f t="shared" si="73"/>
        <v>0</v>
      </c>
      <c r="W168" s="64"/>
      <c r="X168" s="41">
        <f t="shared" si="93"/>
        <v>0</v>
      </c>
      <c r="Y168" s="41">
        <f t="shared" si="74"/>
        <v>0</v>
      </c>
      <c r="Z168" s="64"/>
      <c r="AA168" s="41">
        <f t="shared" si="94"/>
        <v>0</v>
      </c>
      <c r="AB168" s="41">
        <f t="shared" si="75"/>
        <v>0</v>
      </c>
      <c r="AC168" s="64"/>
    </row>
    <row r="169" spans="2:29" ht="27" customHeight="1" x14ac:dyDescent="0.25">
      <c r="B169" s="90" t="s">
        <v>471</v>
      </c>
      <c r="C169" s="184" t="s">
        <v>472</v>
      </c>
      <c r="D169" s="93" t="s">
        <v>473</v>
      </c>
      <c r="E169" s="42">
        <v>0</v>
      </c>
      <c r="F169" s="42">
        <f t="shared" si="89"/>
        <v>0</v>
      </c>
      <c r="G169" s="41">
        <f t="shared" si="68"/>
        <v>0</v>
      </c>
      <c r="H169" s="181"/>
      <c r="I169" s="41"/>
      <c r="J169" s="41">
        <f t="shared" si="69"/>
        <v>0</v>
      </c>
      <c r="K169" s="64"/>
      <c r="L169" s="41"/>
      <c r="M169" s="41">
        <f t="shared" si="70"/>
        <v>0</v>
      </c>
      <c r="N169" s="64"/>
      <c r="O169" s="41">
        <f t="shared" si="96"/>
        <v>0</v>
      </c>
      <c r="P169" s="41">
        <f t="shared" si="71"/>
        <v>0</v>
      </c>
      <c r="Q169" s="64"/>
      <c r="R169" s="41">
        <f>ROUND(O169,0)+85085</f>
        <v>85085</v>
      </c>
      <c r="S169" s="41">
        <f t="shared" si="72"/>
        <v>85085</v>
      </c>
      <c r="T169" s="64" t="s">
        <v>474</v>
      </c>
      <c r="U169" s="41">
        <f t="shared" si="92"/>
        <v>85085</v>
      </c>
      <c r="V169" s="41">
        <f t="shared" si="73"/>
        <v>0</v>
      </c>
      <c r="W169" s="64"/>
      <c r="X169" s="41">
        <f t="shared" si="93"/>
        <v>85085</v>
      </c>
      <c r="Y169" s="41">
        <f t="shared" si="74"/>
        <v>0</v>
      </c>
      <c r="Z169" s="64"/>
      <c r="AA169" s="41">
        <f t="shared" si="94"/>
        <v>85085</v>
      </c>
      <c r="AB169" s="41">
        <f t="shared" si="75"/>
        <v>0</v>
      </c>
      <c r="AC169" s="64"/>
    </row>
    <row r="170" spans="2:29" ht="30.6" customHeight="1" x14ac:dyDescent="0.25">
      <c r="B170" s="90" t="s">
        <v>295</v>
      </c>
      <c r="C170" s="184" t="s">
        <v>475</v>
      </c>
      <c r="D170" s="185" t="s">
        <v>476</v>
      </c>
      <c r="E170" s="42">
        <v>0</v>
      </c>
      <c r="F170" s="42">
        <f t="shared" si="89"/>
        <v>0</v>
      </c>
      <c r="G170" s="41">
        <f t="shared" si="68"/>
        <v>0</v>
      </c>
      <c r="H170" s="181"/>
      <c r="I170" s="41"/>
      <c r="J170" s="41">
        <f t="shared" si="69"/>
        <v>0</v>
      </c>
      <c r="K170" s="187"/>
      <c r="L170" s="41"/>
      <c r="M170" s="41">
        <f t="shared" si="70"/>
        <v>0</v>
      </c>
      <c r="N170" s="64"/>
      <c r="O170" s="41">
        <f t="shared" si="96"/>
        <v>0</v>
      </c>
      <c r="P170" s="41">
        <f t="shared" si="71"/>
        <v>0</v>
      </c>
      <c r="Q170" s="64"/>
      <c r="R170" s="41">
        <f t="shared" si="97"/>
        <v>0</v>
      </c>
      <c r="S170" s="41">
        <f t="shared" si="72"/>
        <v>0</v>
      </c>
      <c r="T170" s="64"/>
      <c r="U170" s="41">
        <f t="shared" si="92"/>
        <v>0</v>
      </c>
      <c r="V170" s="41">
        <f t="shared" si="73"/>
        <v>0</v>
      </c>
      <c r="W170" s="64"/>
      <c r="X170" s="41">
        <f t="shared" si="93"/>
        <v>0</v>
      </c>
      <c r="Y170" s="41">
        <f t="shared" si="74"/>
        <v>0</v>
      </c>
      <c r="Z170" s="64"/>
      <c r="AA170" s="41">
        <f t="shared" si="94"/>
        <v>0</v>
      </c>
      <c r="AB170" s="41">
        <f t="shared" si="75"/>
        <v>0</v>
      </c>
      <c r="AC170" s="64"/>
    </row>
    <row r="171" spans="2:29" ht="32.450000000000003" customHeight="1" x14ac:dyDescent="0.25">
      <c r="B171" s="90" t="s">
        <v>477</v>
      </c>
      <c r="C171" s="184" t="s">
        <v>464</v>
      </c>
      <c r="D171" s="185" t="s">
        <v>263</v>
      </c>
      <c r="E171" s="42">
        <v>0</v>
      </c>
      <c r="F171" s="42">
        <f t="shared" si="89"/>
        <v>0</v>
      </c>
      <c r="G171" s="41">
        <f t="shared" si="68"/>
        <v>0</v>
      </c>
      <c r="H171" s="181"/>
      <c r="I171" s="41"/>
      <c r="J171" s="41">
        <f t="shared" si="69"/>
        <v>0</v>
      </c>
      <c r="K171" s="188"/>
      <c r="L171" s="41"/>
      <c r="M171" s="41">
        <f t="shared" si="70"/>
        <v>0</v>
      </c>
      <c r="N171" s="188"/>
      <c r="O171" s="41">
        <f t="shared" si="96"/>
        <v>0</v>
      </c>
      <c r="P171" s="41">
        <f t="shared" si="71"/>
        <v>0</v>
      </c>
      <c r="Q171" s="188"/>
      <c r="R171" s="41">
        <f t="shared" si="97"/>
        <v>0</v>
      </c>
      <c r="S171" s="41">
        <f t="shared" si="72"/>
        <v>0</v>
      </c>
      <c r="T171" s="188"/>
      <c r="U171" s="41">
        <f t="shared" si="92"/>
        <v>0</v>
      </c>
      <c r="V171" s="41">
        <f t="shared" si="73"/>
        <v>0</v>
      </c>
      <c r="W171" s="188"/>
      <c r="X171" s="41">
        <f t="shared" si="93"/>
        <v>0</v>
      </c>
      <c r="Y171" s="41">
        <f t="shared" si="74"/>
        <v>0</v>
      </c>
      <c r="Z171" s="188"/>
      <c r="AA171" s="41">
        <f t="shared" si="94"/>
        <v>0</v>
      </c>
      <c r="AB171" s="41">
        <f t="shared" si="75"/>
        <v>0</v>
      </c>
      <c r="AC171" s="188"/>
    </row>
    <row r="172" spans="2:29" ht="29.25" customHeight="1" x14ac:dyDescent="0.25">
      <c r="C172" s="164" t="s">
        <v>478</v>
      </c>
      <c r="D172" s="176" t="s">
        <v>479</v>
      </c>
      <c r="E172" s="178">
        <v>11549801.841957785</v>
      </c>
      <c r="F172" s="178">
        <f t="shared" ref="F172" si="98">SUM(F173:F178,F182:F191)</f>
        <v>11653537</v>
      </c>
      <c r="G172" s="177">
        <f t="shared" si="68"/>
        <v>103735.15804221481</v>
      </c>
      <c r="H172" s="189"/>
      <c r="I172" s="177">
        <f>SUM(I173:I178,I182:I191)</f>
        <v>11956848</v>
      </c>
      <c r="J172" s="177">
        <f t="shared" si="69"/>
        <v>303311</v>
      </c>
      <c r="K172" s="190"/>
      <c r="L172" s="177">
        <f>SUM(L173:L178,L182:L191)</f>
        <v>12038272</v>
      </c>
      <c r="M172" s="177">
        <f t="shared" si="70"/>
        <v>81424</v>
      </c>
      <c r="N172" s="190"/>
      <c r="O172" s="177">
        <f>SUM(O173:O178,O182:O191)</f>
        <v>12725876</v>
      </c>
      <c r="P172" s="177">
        <f t="shared" si="71"/>
        <v>687604</v>
      </c>
      <c r="Q172" s="190"/>
      <c r="R172" s="177">
        <f>SUM(R173:R178,R182:R191)</f>
        <v>12924698</v>
      </c>
      <c r="S172" s="177">
        <f t="shared" si="72"/>
        <v>198822</v>
      </c>
      <c r="T172" s="190"/>
      <c r="U172" s="177">
        <f>SUM(U173:U178,U182:U191)</f>
        <v>12936744</v>
      </c>
      <c r="V172" s="177">
        <f t="shared" si="73"/>
        <v>12046</v>
      </c>
      <c r="W172" s="190"/>
      <c r="X172" s="177">
        <f>SUM(X173:X178,X182:X191)</f>
        <v>12936744</v>
      </c>
      <c r="Y172" s="177">
        <f t="shared" si="74"/>
        <v>0</v>
      </c>
      <c r="Z172" s="190"/>
      <c r="AA172" s="177">
        <f>SUM(AA173:AA178,AA182:AA191)</f>
        <v>12957244</v>
      </c>
      <c r="AB172" s="177">
        <f t="shared" si="75"/>
        <v>20500</v>
      </c>
      <c r="AC172" s="190"/>
    </row>
    <row r="173" spans="2:29" ht="27.6" customHeight="1" x14ac:dyDescent="0.25">
      <c r="B173" s="90" t="s">
        <v>480</v>
      </c>
      <c r="C173" s="172" t="s">
        <v>481</v>
      </c>
      <c r="D173" s="185" t="s">
        <v>482</v>
      </c>
      <c r="E173" s="42">
        <v>1199200.0293275001</v>
      </c>
      <c r="F173" s="42">
        <f>ROUND(E173,0)</f>
        <v>1199200</v>
      </c>
      <c r="G173" s="41">
        <f t="shared" si="68"/>
        <v>-2.9327500145882368E-2</v>
      </c>
      <c r="H173" s="191"/>
      <c r="I173" s="41">
        <f>ROUND(F173,0)</f>
        <v>1199200</v>
      </c>
      <c r="J173" s="41">
        <f t="shared" si="69"/>
        <v>0</v>
      </c>
      <c r="K173" s="188"/>
      <c r="L173" s="41">
        <f>ROUND(I173,0)</f>
        <v>1199200</v>
      </c>
      <c r="M173" s="41">
        <f t="shared" si="70"/>
        <v>0</v>
      </c>
      <c r="N173" s="188"/>
      <c r="O173" s="41">
        <f>ROUND(L173,0)</f>
        <v>1199200</v>
      </c>
      <c r="P173" s="41">
        <f t="shared" si="71"/>
        <v>0</v>
      </c>
      <c r="Q173" s="188"/>
      <c r="R173" s="41">
        <f>ROUND(O173,0)+2400</f>
        <v>1201600</v>
      </c>
      <c r="S173" s="41">
        <f t="shared" si="72"/>
        <v>2400</v>
      </c>
      <c r="T173" s="188" t="s">
        <v>483</v>
      </c>
      <c r="U173" s="41">
        <f>ROUND(R173,0)</f>
        <v>1201600</v>
      </c>
      <c r="V173" s="41">
        <f t="shared" si="73"/>
        <v>0</v>
      </c>
      <c r="W173" s="188"/>
      <c r="X173" s="41">
        <f>ROUND(U173,0)</f>
        <v>1201600</v>
      </c>
      <c r="Y173" s="41">
        <f t="shared" si="74"/>
        <v>0</v>
      </c>
      <c r="Z173" s="188"/>
      <c r="AA173" s="41">
        <f>ROUND(X173,0)+20500</f>
        <v>1222100</v>
      </c>
      <c r="AB173" s="41">
        <f t="shared" si="75"/>
        <v>20500</v>
      </c>
      <c r="AC173" s="188" t="s">
        <v>484</v>
      </c>
    </row>
    <row r="174" spans="2:29" ht="13.9" customHeight="1" x14ac:dyDescent="0.25">
      <c r="B174" s="90" t="s">
        <v>485</v>
      </c>
      <c r="C174" s="172" t="s">
        <v>486</v>
      </c>
      <c r="D174" s="185" t="s">
        <v>487</v>
      </c>
      <c r="E174" s="42">
        <v>1875164.83</v>
      </c>
      <c r="F174" s="42">
        <f t="shared" ref="F174:F187" si="99">ROUND(E174,0)</f>
        <v>1875165</v>
      </c>
      <c r="G174" s="41">
        <f t="shared" si="68"/>
        <v>0.16999999992549419</v>
      </c>
      <c r="H174" s="181"/>
      <c r="I174" s="41">
        <f>ROUND(F174,0)</f>
        <v>1875165</v>
      </c>
      <c r="J174" s="41">
        <f t="shared" si="69"/>
        <v>0</v>
      </c>
      <c r="K174" s="64"/>
      <c r="L174" s="41">
        <f>ROUND(I174,0)</f>
        <v>1875165</v>
      </c>
      <c r="M174" s="41">
        <f t="shared" si="70"/>
        <v>0</v>
      </c>
      <c r="N174" s="64"/>
      <c r="O174" s="41">
        <f>ROUND(L174,0)</f>
        <v>1875165</v>
      </c>
      <c r="P174" s="41">
        <f t="shared" si="71"/>
        <v>0</v>
      </c>
      <c r="Q174" s="64"/>
      <c r="R174" s="41">
        <f>ROUND(O174,0)</f>
        <v>1875165</v>
      </c>
      <c r="S174" s="41">
        <f t="shared" si="72"/>
        <v>0</v>
      </c>
      <c r="T174" s="64"/>
      <c r="U174" s="41">
        <f>ROUND(R174,0)</f>
        <v>1875165</v>
      </c>
      <c r="V174" s="41">
        <f t="shared" si="73"/>
        <v>0</v>
      </c>
      <c r="W174" s="64"/>
      <c r="X174" s="41">
        <f>ROUND(U174,0)</f>
        <v>1875165</v>
      </c>
      <c r="Y174" s="41">
        <f t="shared" si="74"/>
        <v>0</v>
      </c>
      <c r="Z174" s="64"/>
      <c r="AA174" s="41">
        <f>ROUND(X174,0)</f>
        <v>1875165</v>
      </c>
      <c r="AB174" s="41">
        <f t="shared" si="75"/>
        <v>0</v>
      </c>
      <c r="AC174" s="64"/>
    </row>
    <row r="175" spans="2:29" ht="27" customHeight="1" x14ac:dyDescent="0.25">
      <c r="B175" s="90" t="s">
        <v>213</v>
      </c>
      <c r="C175" s="184" t="s">
        <v>488</v>
      </c>
      <c r="D175" s="185" t="s">
        <v>347</v>
      </c>
      <c r="E175" s="42">
        <v>363351</v>
      </c>
      <c r="F175" s="42">
        <f>ROUND(E175,0)-1-3420+92966</f>
        <v>452896</v>
      </c>
      <c r="G175" s="41">
        <f t="shared" si="68"/>
        <v>89545</v>
      </c>
      <c r="H175" s="64" t="s">
        <v>489</v>
      </c>
      <c r="I175" s="41">
        <f>ROUND(F175,0)</f>
        <v>452896</v>
      </c>
      <c r="J175" s="41">
        <f t="shared" si="69"/>
        <v>0</v>
      </c>
      <c r="K175" s="64"/>
      <c r="L175" s="41">
        <f>ROUND(I175,0)</f>
        <v>452896</v>
      </c>
      <c r="M175" s="41">
        <f t="shared" si="70"/>
        <v>0</v>
      </c>
      <c r="N175" s="64"/>
      <c r="O175" s="41">
        <f>ROUND(L175,0)</f>
        <v>452896</v>
      </c>
      <c r="P175" s="41">
        <f t="shared" si="71"/>
        <v>0</v>
      </c>
      <c r="Q175" s="64"/>
      <c r="R175" s="41">
        <f>ROUND(O175,0)</f>
        <v>452896</v>
      </c>
      <c r="S175" s="41">
        <f t="shared" si="72"/>
        <v>0</v>
      </c>
      <c r="T175" s="64"/>
      <c r="U175" s="41">
        <f>ROUND(R175,0)</f>
        <v>452896</v>
      </c>
      <c r="V175" s="41">
        <f t="shared" si="73"/>
        <v>0</v>
      </c>
      <c r="W175" s="64"/>
      <c r="X175" s="41">
        <f>ROUND(U175,0)</f>
        <v>452896</v>
      </c>
      <c r="Y175" s="41">
        <f t="shared" si="74"/>
        <v>0</v>
      </c>
      <c r="Z175" s="64"/>
      <c r="AA175" s="41">
        <f>ROUND(X175,0)</f>
        <v>452896</v>
      </c>
      <c r="AB175" s="41">
        <f t="shared" si="75"/>
        <v>0</v>
      </c>
      <c r="AC175" s="64"/>
    </row>
    <row r="176" spans="2:29" ht="27" customHeight="1" x14ac:dyDescent="0.25">
      <c r="B176" s="90" t="s">
        <v>490</v>
      </c>
      <c r="C176" s="184" t="s">
        <v>491</v>
      </c>
      <c r="D176" s="185" t="s">
        <v>492</v>
      </c>
      <c r="E176" s="42"/>
      <c r="F176" s="42"/>
      <c r="G176" s="41"/>
      <c r="H176" s="64"/>
      <c r="I176" s="41"/>
      <c r="J176" s="41"/>
      <c r="K176" s="64"/>
      <c r="L176" s="41"/>
      <c r="M176" s="41"/>
      <c r="N176" s="64"/>
      <c r="O176" s="41"/>
      <c r="P176" s="41"/>
      <c r="Q176" s="64"/>
      <c r="R176" s="41">
        <v>120000</v>
      </c>
      <c r="S176" s="41">
        <f t="shared" si="72"/>
        <v>120000</v>
      </c>
      <c r="T176" s="64" t="s">
        <v>493</v>
      </c>
      <c r="U176" s="41">
        <v>120000</v>
      </c>
      <c r="V176" s="41">
        <f t="shared" si="73"/>
        <v>0</v>
      </c>
      <c r="W176" s="64"/>
      <c r="X176" s="41">
        <v>120000</v>
      </c>
      <c r="Y176" s="41">
        <f t="shared" si="74"/>
        <v>0</v>
      </c>
      <c r="Z176" s="64"/>
      <c r="AA176" s="41">
        <v>120000</v>
      </c>
      <c r="AB176" s="41">
        <f t="shared" si="75"/>
        <v>0</v>
      </c>
      <c r="AC176" s="64"/>
    </row>
    <row r="177" spans="2:29" ht="14.25" customHeight="1" x14ac:dyDescent="0.25">
      <c r="B177" s="90" t="s">
        <v>494</v>
      </c>
      <c r="C177" s="172" t="s">
        <v>495</v>
      </c>
      <c r="D177" s="185" t="s">
        <v>496</v>
      </c>
      <c r="E177" s="42">
        <v>1574037</v>
      </c>
      <c r="F177" s="42">
        <f>ROUND(E177,0)+168382-168382</f>
        <v>1574037</v>
      </c>
      <c r="G177" s="41">
        <f t="shared" si="68"/>
        <v>0</v>
      </c>
      <c r="H177" s="96" t="s">
        <v>497</v>
      </c>
      <c r="I177" s="41">
        <f>ROUND(F177,0)</f>
        <v>1574037</v>
      </c>
      <c r="J177" s="41">
        <f t="shared" si="69"/>
        <v>0</v>
      </c>
      <c r="K177" s="64"/>
      <c r="L177" s="41">
        <f>ROUND(I177,0)</f>
        <v>1574037</v>
      </c>
      <c r="M177" s="41">
        <f t="shared" si="70"/>
        <v>0</v>
      </c>
      <c r="N177" s="64"/>
      <c r="O177" s="41">
        <f>ROUND(L177,0)+680342</f>
        <v>2254379</v>
      </c>
      <c r="P177" s="41">
        <f t="shared" si="71"/>
        <v>680342</v>
      </c>
      <c r="Q177" s="64" t="s">
        <v>325</v>
      </c>
      <c r="R177" s="41">
        <f>ROUND(O177,0)</f>
        <v>2254379</v>
      </c>
      <c r="S177" s="41">
        <f t="shared" si="72"/>
        <v>0</v>
      </c>
      <c r="T177" s="64"/>
      <c r="U177" s="41">
        <f>ROUND(R177,0)</f>
        <v>2254379</v>
      </c>
      <c r="V177" s="41">
        <f t="shared" si="73"/>
        <v>0</v>
      </c>
      <c r="W177" s="64"/>
      <c r="X177" s="41">
        <f>ROUND(U177,0)</f>
        <v>2254379</v>
      </c>
      <c r="Y177" s="41">
        <f t="shared" si="74"/>
        <v>0</v>
      </c>
      <c r="Z177" s="64"/>
      <c r="AA177" s="41">
        <f>ROUND(X177,0)</f>
        <v>2254379</v>
      </c>
      <c r="AB177" s="41">
        <f t="shared" si="75"/>
        <v>0</v>
      </c>
      <c r="AC177" s="64"/>
    </row>
    <row r="178" spans="2:29" ht="32.25" customHeight="1" x14ac:dyDescent="0.25">
      <c r="B178" s="90" t="s">
        <v>3</v>
      </c>
      <c r="C178" s="172" t="s">
        <v>498</v>
      </c>
      <c r="D178" s="185" t="s">
        <v>499</v>
      </c>
      <c r="E178" s="192">
        <v>5403977.9826302836</v>
      </c>
      <c r="F178" s="192">
        <f>SUM(F179:F181)</f>
        <v>5418168</v>
      </c>
      <c r="G178" s="41">
        <f t="shared" si="68"/>
        <v>14190.017369716428</v>
      </c>
      <c r="H178" s="181"/>
      <c r="I178" s="111">
        <f>SUM(I179:I181)</f>
        <v>5367776</v>
      </c>
      <c r="J178" s="41">
        <f t="shared" si="69"/>
        <v>-50392</v>
      </c>
      <c r="K178" s="64"/>
      <c r="L178" s="111">
        <f>SUM(L179:L181)</f>
        <v>5373200</v>
      </c>
      <c r="M178" s="41">
        <f t="shared" si="70"/>
        <v>5424</v>
      </c>
      <c r="N178" s="64"/>
      <c r="O178" s="111">
        <f>SUM(O179:O181)</f>
        <v>5380462</v>
      </c>
      <c r="P178" s="41">
        <f t="shared" si="71"/>
        <v>7262</v>
      </c>
      <c r="Q178" s="64"/>
      <c r="R178" s="111">
        <f>SUM(R179:R181)</f>
        <v>5420641</v>
      </c>
      <c r="S178" s="41">
        <f t="shared" si="72"/>
        <v>40179</v>
      </c>
      <c r="T178" s="64"/>
      <c r="U178" s="111">
        <f>SUM(U179:U181)</f>
        <v>5452687</v>
      </c>
      <c r="V178" s="41">
        <f t="shared" si="73"/>
        <v>32046</v>
      </c>
      <c r="W178" s="64"/>
      <c r="X178" s="111">
        <f>SUM(X179:X181)</f>
        <v>5446879</v>
      </c>
      <c r="Y178" s="41">
        <f t="shared" si="74"/>
        <v>-5808</v>
      </c>
      <c r="Z178" s="64"/>
      <c r="AA178" s="111">
        <f>SUM(AA179:AA181)</f>
        <v>5446879</v>
      </c>
      <c r="AB178" s="41">
        <f t="shared" si="75"/>
        <v>0</v>
      </c>
      <c r="AC178" s="64"/>
    </row>
    <row r="179" spans="2:29" s="202" customFormat="1" ht="18" customHeight="1" x14ac:dyDescent="0.25">
      <c r="B179" s="193"/>
      <c r="C179" s="194" t="s">
        <v>500</v>
      </c>
      <c r="D179" s="195" t="s">
        <v>501</v>
      </c>
      <c r="E179" s="197">
        <v>4799085.2470302833</v>
      </c>
      <c r="F179" s="197">
        <f>ROUND(E179,0)+13000-645+1835</f>
        <v>4813275</v>
      </c>
      <c r="G179" s="196">
        <f t="shared" si="68"/>
        <v>14189.752969716676</v>
      </c>
      <c r="H179" s="198" t="s">
        <v>502</v>
      </c>
      <c r="I179" s="199">
        <f>ROUND(F179,0)-10919-6705-19453</f>
        <v>4776198</v>
      </c>
      <c r="J179" s="196">
        <f t="shared" si="69"/>
        <v>-37077</v>
      </c>
      <c r="K179" s="200" t="s">
        <v>503</v>
      </c>
      <c r="L179" s="199">
        <f>ROUND(I179,0)-9076+3500+11000</f>
        <v>4781622</v>
      </c>
      <c r="M179" s="196">
        <f t="shared" si="70"/>
        <v>5424</v>
      </c>
      <c r="N179" s="200" t="s">
        <v>504</v>
      </c>
      <c r="O179" s="199">
        <f>ROUND(L179,0)+276+62+102+28+165+6629</f>
        <v>4788884</v>
      </c>
      <c r="P179" s="196">
        <f t="shared" si="71"/>
        <v>7262</v>
      </c>
      <c r="Q179" s="64" t="s">
        <v>505</v>
      </c>
      <c r="R179" s="199">
        <f>ROUND(O179,0)-6508-328-4600+10757-2978+19000-6000+40000</f>
        <v>4838227</v>
      </c>
      <c r="S179" s="196">
        <f t="shared" si="72"/>
        <v>49343</v>
      </c>
      <c r="T179" s="64" t="s">
        <v>506</v>
      </c>
      <c r="U179" s="199">
        <f>ROUND(R179,0)+4000+4000-7614-12386+20000-7954-3872-18064</f>
        <v>4816337</v>
      </c>
      <c r="V179" s="196">
        <f t="shared" si="73"/>
        <v>-21890</v>
      </c>
      <c r="W179" s="64" t="s">
        <v>507</v>
      </c>
      <c r="X179" s="199">
        <f>ROUND(U179,0)-5808</f>
        <v>4810529</v>
      </c>
      <c r="Y179" s="196">
        <f t="shared" si="74"/>
        <v>-5808</v>
      </c>
      <c r="Z179" s="64" t="s">
        <v>508</v>
      </c>
      <c r="AA179" s="199">
        <f>ROUND(X179,0)-450</f>
        <v>4810079</v>
      </c>
      <c r="AB179" s="196">
        <f t="shared" si="75"/>
        <v>-450</v>
      </c>
      <c r="AC179" s="201" t="s">
        <v>509</v>
      </c>
    </row>
    <row r="180" spans="2:29" s="202" customFormat="1" ht="18.75" customHeight="1" x14ac:dyDescent="0.25">
      <c r="B180" s="193"/>
      <c r="C180" s="194" t="s">
        <v>510</v>
      </c>
      <c r="D180" s="195" t="s">
        <v>511</v>
      </c>
      <c r="E180" s="197">
        <v>350000</v>
      </c>
      <c r="F180" s="197">
        <f t="shared" si="99"/>
        <v>350000</v>
      </c>
      <c r="G180" s="196">
        <f t="shared" si="68"/>
        <v>0</v>
      </c>
      <c r="H180" s="198"/>
      <c r="I180" s="199">
        <f>ROUND(F180,0)-13315</f>
        <v>336685</v>
      </c>
      <c r="J180" s="196">
        <f t="shared" si="69"/>
        <v>-13315</v>
      </c>
      <c r="K180" s="200" t="s">
        <v>406</v>
      </c>
      <c r="L180" s="199">
        <f>ROUND(I180,0)</f>
        <v>336685</v>
      </c>
      <c r="M180" s="196">
        <f t="shared" si="70"/>
        <v>0</v>
      </c>
      <c r="N180" s="200"/>
      <c r="O180" s="199">
        <f t="shared" ref="O180:O191" si="100">ROUND(L180,0)</f>
        <v>336685</v>
      </c>
      <c r="P180" s="196">
        <f t="shared" si="71"/>
        <v>0</v>
      </c>
      <c r="Q180" s="200"/>
      <c r="R180" s="199">
        <f>ROUND(O180,0)-7000-3130-18034</f>
        <v>308521</v>
      </c>
      <c r="S180" s="196">
        <f t="shared" si="72"/>
        <v>-28164</v>
      </c>
      <c r="T180" s="200" t="s">
        <v>512</v>
      </c>
      <c r="U180" s="199">
        <f>ROUND(R180,0)+20000+7614+12386</f>
        <v>348521</v>
      </c>
      <c r="V180" s="196">
        <f t="shared" si="73"/>
        <v>40000</v>
      </c>
      <c r="W180" s="200" t="s">
        <v>513</v>
      </c>
      <c r="X180" s="199">
        <f>ROUND(U180,0)</f>
        <v>348521</v>
      </c>
      <c r="Y180" s="196">
        <f t="shared" si="74"/>
        <v>0</v>
      </c>
      <c r="Z180" s="200"/>
      <c r="AA180" s="199">
        <f>ROUND(X180,0)+450</f>
        <v>348971</v>
      </c>
      <c r="AB180" s="196">
        <f t="shared" si="75"/>
        <v>450</v>
      </c>
      <c r="AC180" s="203"/>
    </row>
    <row r="181" spans="2:29" s="202" customFormat="1" ht="46.5" customHeight="1" x14ac:dyDescent="0.25">
      <c r="B181" s="193"/>
      <c r="C181" s="194" t="s">
        <v>514</v>
      </c>
      <c r="D181" s="195" t="s">
        <v>515</v>
      </c>
      <c r="E181" s="197">
        <v>254892.73560000001</v>
      </c>
      <c r="F181" s="197">
        <f t="shared" si="99"/>
        <v>254893</v>
      </c>
      <c r="G181" s="196">
        <f t="shared" si="68"/>
        <v>0.26439999998547137</v>
      </c>
      <c r="H181" s="198"/>
      <c r="I181" s="199">
        <f>ROUND(F181,0)</f>
        <v>254893</v>
      </c>
      <c r="J181" s="196">
        <f t="shared" si="69"/>
        <v>0</v>
      </c>
      <c r="K181" s="200"/>
      <c r="L181" s="199">
        <f>ROUND(I181,0)</f>
        <v>254893</v>
      </c>
      <c r="M181" s="196">
        <f t="shared" si="70"/>
        <v>0</v>
      </c>
      <c r="N181" s="200"/>
      <c r="O181" s="199">
        <f t="shared" si="100"/>
        <v>254893</v>
      </c>
      <c r="P181" s="196">
        <f t="shared" si="71"/>
        <v>0</v>
      </c>
      <c r="Q181" s="200"/>
      <c r="R181" s="199">
        <f>ROUND(O181,0)+13000+6000</f>
        <v>273893</v>
      </c>
      <c r="S181" s="196">
        <f t="shared" si="72"/>
        <v>19000</v>
      </c>
      <c r="T181" s="200" t="s">
        <v>516</v>
      </c>
      <c r="U181" s="199">
        <f>ROUND(R181,0)-4000-4000+3872+18064</f>
        <v>287829</v>
      </c>
      <c r="V181" s="196">
        <f t="shared" si="73"/>
        <v>13936</v>
      </c>
      <c r="W181" s="64" t="s">
        <v>517</v>
      </c>
      <c r="X181" s="199">
        <f>ROUND(U181,0)</f>
        <v>287829</v>
      </c>
      <c r="Y181" s="196">
        <f t="shared" si="74"/>
        <v>0</v>
      </c>
      <c r="Z181" s="64"/>
      <c r="AA181" s="199">
        <f>ROUND(X181,0)</f>
        <v>287829</v>
      </c>
      <c r="AB181" s="196">
        <f t="shared" si="75"/>
        <v>0</v>
      </c>
      <c r="AC181" s="64" t="s">
        <v>518</v>
      </c>
    </row>
    <row r="182" spans="2:29" ht="26.45" customHeight="1" x14ac:dyDescent="0.25">
      <c r="B182" s="90" t="s">
        <v>3</v>
      </c>
      <c r="C182" s="184" t="s">
        <v>519</v>
      </c>
      <c r="D182" s="185" t="s">
        <v>520</v>
      </c>
      <c r="E182" s="42">
        <v>35000</v>
      </c>
      <c r="F182" s="42">
        <f t="shared" si="99"/>
        <v>35000</v>
      </c>
      <c r="G182" s="41">
        <f t="shared" si="68"/>
        <v>0</v>
      </c>
      <c r="H182" s="181"/>
      <c r="I182" s="41">
        <f t="shared" ref="I182:I191" si="101">ROUND(F182,0)</f>
        <v>35000</v>
      </c>
      <c r="J182" s="41">
        <f t="shared" si="69"/>
        <v>0</v>
      </c>
      <c r="K182" s="64"/>
      <c r="L182" s="41">
        <f t="shared" ref="L182:L189" si="102">ROUND(I182,0)</f>
        <v>35000</v>
      </c>
      <c r="M182" s="41">
        <f t="shared" si="70"/>
        <v>0</v>
      </c>
      <c r="N182" s="64"/>
      <c r="O182" s="41">
        <f t="shared" si="100"/>
        <v>35000</v>
      </c>
      <c r="P182" s="41">
        <f t="shared" si="71"/>
        <v>0</v>
      </c>
      <c r="Q182" s="64"/>
      <c r="R182" s="41">
        <f>ROUND(O182,0)</f>
        <v>35000</v>
      </c>
      <c r="S182" s="41">
        <f t="shared" si="72"/>
        <v>0</v>
      </c>
      <c r="T182" s="64"/>
      <c r="U182" s="41">
        <f t="shared" ref="U182:U191" si="103">ROUND(R182,0)</f>
        <v>35000</v>
      </c>
      <c r="V182" s="41">
        <f t="shared" si="73"/>
        <v>0</v>
      </c>
      <c r="W182" s="64"/>
      <c r="X182" s="41">
        <f t="shared" ref="X182:X187" si="104">ROUND(U182,0)</f>
        <v>35000</v>
      </c>
      <c r="Y182" s="41">
        <f t="shared" si="74"/>
        <v>0</v>
      </c>
      <c r="Z182" s="64"/>
      <c r="AA182" s="41">
        <f t="shared" ref="AA182:AA184" si="105">ROUND(X182,0)</f>
        <v>35000</v>
      </c>
      <c r="AB182" s="41">
        <f t="shared" si="75"/>
        <v>0</v>
      </c>
      <c r="AC182" s="64"/>
    </row>
    <row r="183" spans="2:29" ht="41.45" customHeight="1" x14ac:dyDescent="0.25">
      <c r="B183" s="90" t="s">
        <v>3</v>
      </c>
      <c r="C183" s="184" t="s">
        <v>521</v>
      </c>
      <c r="D183" s="185" t="s">
        <v>522</v>
      </c>
      <c r="E183" s="42">
        <v>210000</v>
      </c>
      <c r="F183" s="42">
        <f t="shared" si="99"/>
        <v>210000</v>
      </c>
      <c r="G183" s="41">
        <f t="shared" si="68"/>
        <v>0</v>
      </c>
      <c r="H183" s="181"/>
      <c r="I183" s="41">
        <f>ROUND(F183,0)+90000</f>
        <v>300000</v>
      </c>
      <c r="J183" s="41">
        <f t="shared" si="69"/>
        <v>90000</v>
      </c>
      <c r="K183" s="64" t="s">
        <v>523</v>
      </c>
      <c r="L183" s="41">
        <f t="shared" si="102"/>
        <v>300000</v>
      </c>
      <c r="M183" s="41">
        <f t="shared" si="70"/>
        <v>0</v>
      </c>
      <c r="N183" s="64"/>
      <c r="O183" s="41">
        <f t="shared" si="100"/>
        <v>300000</v>
      </c>
      <c r="P183" s="41">
        <f t="shared" si="71"/>
        <v>0</v>
      </c>
      <c r="Q183" s="64"/>
      <c r="R183" s="41">
        <f t="shared" ref="R183:R189" si="106">ROUND(O183,0)</f>
        <v>300000</v>
      </c>
      <c r="S183" s="41">
        <f t="shared" si="72"/>
        <v>0</v>
      </c>
      <c r="T183" s="64"/>
      <c r="U183" s="41">
        <f t="shared" si="103"/>
        <v>300000</v>
      </c>
      <c r="V183" s="41">
        <f t="shared" si="73"/>
        <v>0</v>
      </c>
      <c r="W183" s="64"/>
      <c r="X183" s="41">
        <f t="shared" si="104"/>
        <v>300000</v>
      </c>
      <c r="Y183" s="41">
        <f t="shared" si="74"/>
        <v>0</v>
      </c>
      <c r="Z183" s="64"/>
      <c r="AA183" s="41">
        <f t="shared" si="105"/>
        <v>300000</v>
      </c>
      <c r="AB183" s="41">
        <f t="shared" si="75"/>
        <v>0</v>
      </c>
      <c r="AC183" s="64"/>
    </row>
    <row r="184" spans="2:29" ht="18" customHeight="1" x14ac:dyDescent="0.25">
      <c r="B184" s="90" t="s">
        <v>3</v>
      </c>
      <c r="C184" s="184" t="s">
        <v>524</v>
      </c>
      <c r="D184" s="185" t="s">
        <v>525</v>
      </c>
      <c r="E184" s="42"/>
      <c r="F184" s="42"/>
      <c r="G184" s="41"/>
      <c r="H184" s="181"/>
      <c r="I184" s="41">
        <v>263703</v>
      </c>
      <c r="J184" s="41">
        <f t="shared" si="69"/>
        <v>263703</v>
      </c>
      <c r="K184" s="64"/>
      <c r="L184" s="41">
        <f>ROUND(I184,0)</f>
        <v>263703</v>
      </c>
      <c r="M184" s="41">
        <f>L184-I184</f>
        <v>0</v>
      </c>
      <c r="N184" s="64"/>
      <c r="O184" s="41">
        <f t="shared" si="100"/>
        <v>263703</v>
      </c>
      <c r="P184" s="41">
        <f>O184-L184</f>
        <v>0</v>
      </c>
      <c r="Q184" s="64"/>
      <c r="R184" s="41">
        <f t="shared" si="106"/>
        <v>263703</v>
      </c>
      <c r="S184" s="41">
        <f t="shared" si="72"/>
        <v>0</v>
      </c>
      <c r="T184" s="64"/>
      <c r="U184" s="41">
        <f t="shared" si="103"/>
        <v>263703</v>
      </c>
      <c r="V184" s="41">
        <f t="shared" si="73"/>
        <v>0</v>
      </c>
      <c r="W184" s="64"/>
      <c r="X184" s="41">
        <f t="shared" si="104"/>
        <v>263703</v>
      </c>
      <c r="Y184" s="41">
        <f t="shared" si="74"/>
        <v>0</v>
      </c>
      <c r="Z184" s="64"/>
      <c r="AA184" s="41">
        <f t="shared" si="105"/>
        <v>263703</v>
      </c>
      <c r="AB184" s="41">
        <f t="shared" si="75"/>
        <v>0</v>
      </c>
      <c r="AC184" s="64"/>
    </row>
    <row r="185" spans="2:29" ht="30.75" customHeight="1" x14ac:dyDescent="0.25">
      <c r="B185" s="90" t="s">
        <v>3</v>
      </c>
      <c r="C185" s="184" t="s">
        <v>526</v>
      </c>
      <c r="D185" s="185" t="s">
        <v>527</v>
      </c>
      <c r="E185" s="42">
        <v>17500</v>
      </c>
      <c r="F185" s="42">
        <f t="shared" si="99"/>
        <v>17500</v>
      </c>
      <c r="G185" s="41">
        <f t="shared" si="68"/>
        <v>0</v>
      </c>
      <c r="H185" s="181"/>
      <c r="I185" s="41">
        <f t="shared" si="101"/>
        <v>17500</v>
      </c>
      <c r="J185" s="41">
        <f t="shared" si="69"/>
        <v>0</v>
      </c>
      <c r="K185" s="64"/>
      <c r="L185" s="41">
        <f>ROUND(I185,0)</f>
        <v>17500</v>
      </c>
      <c r="M185" s="41">
        <f t="shared" si="70"/>
        <v>0</v>
      </c>
      <c r="N185" s="64"/>
      <c r="O185" s="41">
        <f t="shared" si="100"/>
        <v>17500</v>
      </c>
      <c r="P185" s="41">
        <f t="shared" si="71"/>
        <v>0</v>
      </c>
      <c r="Q185" s="64"/>
      <c r="R185" s="41">
        <f t="shared" si="106"/>
        <v>17500</v>
      </c>
      <c r="S185" s="41">
        <f t="shared" si="72"/>
        <v>0</v>
      </c>
      <c r="T185" s="64"/>
      <c r="U185" s="41">
        <f t="shared" si="103"/>
        <v>17500</v>
      </c>
      <c r="V185" s="41">
        <f t="shared" si="73"/>
        <v>0</v>
      </c>
      <c r="W185" s="64"/>
      <c r="X185" s="41">
        <f>ROUND(U185,0)+5808</f>
        <v>23308</v>
      </c>
      <c r="Y185" s="41">
        <f t="shared" si="74"/>
        <v>5808</v>
      </c>
      <c r="Z185" s="64" t="s">
        <v>508</v>
      </c>
      <c r="AA185" s="41">
        <f>ROUND(X185,0)</f>
        <v>23308</v>
      </c>
      <c r="AB185" s="41">
        <f t="shared" si="75"/>
        <v>0</v>
      </c>
      <c r="AC185" s="64"/>
    </row>
    <row r="186" spans="2:29" ht="43.5" customHeight="1" x14ac:dyDescent="0.25">
      <c r="B186" s="90" t="s">
        <v>3</v>
      </c>
      <c r="C186" s="184" t="s">
        <v>528</v>
      </c>
      <c r="D186" s="185" t="s">
        <v>363</v>
      </c>
      <c r="E186" s="42">
        <v>255000</v>
      </c>
      <c r="F186" s="42">
        <f t="shared" si="99"/>
        <v>255000</v>
      </c>
      <c r="G186" s="41">
        <f t="shared" si="68"/>
        <v>0</v>
      </c>
      <c r="H186" s="181"/>
      <c r="I186" s="41">
        <f t="shared" si="101"/>
        <v>255000</v>
      </c>
      <c r="J186" s="41">
        <f t="shared" si="69"/>
        <v>0</v>
      </c>
      <c r="K186" s="64"/>
      <c r="L186" s="41">
        <f t="shared" si="102"/>
        <v>255000</v>
      </c>
      <c r="M186" s="41">
        <f t="shared" si="70"/>
        <v>0</v>
      </c>
      <c r="N186" s="64"/>
      <c r="O186" s="41">
        <f t="shared" si="100"/>
        <v>255000</v>
      </c>
      <c r="P186" s="41">
        <f t="shared" si="71"/>
        <v>0</v>
      </c>
      <c r="Q186" s="64"/>
      <c r="R186" s="41">
        <f>ROUND(O186,0)-15000</f>
        <v>240000</v>
      </c>
      <c r="S186" s="41">
        <f t="shared" si="72"/>
        <v>-15000</v>
      </c>
      <c r="T186" s="64" t="s">
        <v>529</v>
      </c>
      <c r="U186" s="41">
        <f t="shared" si="103"/>
        <v>240000</v>
      </c>
      <c r="V186" s="41">
        <f t="shared" si="73"/>
        <v>0</v>
      </c>
      <c r="W186" s="64"/>
      <c r="X186" s="41">
        <f t="shared" si="104"/>
        <v>240000</v>
      </c>
      <c r="Y186" s="41">
        <f t="shared" si="74"/>
        <v>0</v>
      </c>
      <c r="Z186" s="64"/>
      <c r="AA186" s="41">
        <f t="shared" ref="AA186:AA187" si="107">ROUND(X186,0)</f>
        <v>240000</v>
      </c>
      <c r="AB186" s="41">
        <f t="shared" si="75"/>
        <v>0</v>
      </c>
      <c r="AC186" s="64"/>
    </row>
    <row r="187" spans="2:29" ht="25.9" customHeight="1" x14ac:dyDescent="0.25">
      <c r="B187" s="90" t="s">
        <v>3</v>
      </c>
      <c r="C187" s="184" t="s">
        <v>530</v>
      </c>
      <c r="D187" s="185" t="s">
        <v>531</v>
      </c>
      <c r="E187" s="42">
        <v>39800</v>
      </c>
      <c r="F187" s="42">
        <f t="shared" si="99"/>
        <v>39800</v>
      </c>
      <c r="G187" s="41">
        <f t="shared" si="68"/>
        <v>0</v>
      </c>
      <c r="H187" s="181"/>
      <c r="I187" s="41">
        <f t="shared" si="101"/>
        <v>39800</v>
      </c>
      <c r="J187" s="41">
        <f t="shared" si="69"/>
        <v>0</v>
      </c>
      <c r="K187" s="64"/>
      <c r="L187" s="41">
        <f t="shared" si="102"/>
        <v>39800</v>
      </c>
      <c r="M187" s="41">
        <f t="shared" si="70"/>
        <v>0</v>
      </c>
      <c r="N187" s="64"/>
      <c r="O187" s="41">
        <f t="shared" si="100"/>
        <v>39800</v>
      </c>
      <c r="P187" s="41">
        <f t="shared" si="71"/>
        <v>0</v>
      </c>
      <c r="Q187" s="64"/>
      <c r="R187" s="41">
        <f>ROUND(O187,0)-10022-10757-19000</f>
        <v>21</v>
      </c>
      <c r="S187" s="41">
        <f t="shared" si="72"/>
        <v>-39779</v>
      </c>
      <c r="T187" s="64" t="s">
        <v>532</v>
      </c>
      <c r="U187" s="41">
        <f t="shared" si="103"/>
        <v>21</v>
      </c>
      <c r="V187" s="41">
        <f t="shared" si="73"/>
        <v>0</v>
      </c>
      <c r="W187" s="64"/>
      <c r="X187" s="41">
        <f t="shared" si="104"/>
        <v>21</v>
      </c>
      <c r="Y187" s="41">
        <f t="shared" si="74"/>
        <v>0</v>
      </c>
      <c r="Z187" s="64"/>
      <c r="AA187" s="41">
        <f t="shared" si="107"/>
        <v>21</v>
      </c>
      <c r="AB187" s="41">
        <f t="shared" si="75"/>
        <v>0</v>
      </c>
      <c r="AC187" s="64"/>
    </row>
    <row r="188" spans="2:29" ht="45.6" customHeight="1" x14ac:dyDescent="0.25">
      <c r="B188" s="90" t="s">
        <v>3</v>
      </c>
      <c r="C188" s="184" t="s">
        <v>530</v>
      </c>
      <c r="D188" s="185" t="s">
        <v>533</v>
      </c>
      <c r="E188" s="42">
        <v>30000</v>
      </c>
      <c r="F188" s="42">
        <f>ROUND(E188,0)</f>
        <v>30000</v>
      </c>
      <c r="G188" s="41">
        <f>F188-E188</f>
        <v>0</v>
      </c>
      <c r="H188" s="181"/>
      <c r="I188" s="41">
        <f>ROUND(F188,0)</f>
        <v>30000</v>
      </c>
      <c r="J188" s="41">
        <f>I188-F188</f>
        <v>0</v>
      </c>
      <c r="K188" s="64"/>
      <c r="L188" s="41">
        <f>ROUND(I188,0)</f>
        <v>30000</v>
      </c>
      <c r="M188" s="41">
        <f>L188-I188</f>
        <v>0</v>
      </c>
      <c r="N188" s="64"/>
      <c r="O188" s="41">
        <f t="shared" si="100"/>
        <v>30000</v>
      </c>
      <c r="P188" s="41">
        <f>O188-L188</f>
        <v>0</v>
      </c>
      <c r="Q188" s="64"/>
      <c r="R188" s="41">
        <f t="shared" si="106"/>
        <v>30000</v>
      </c>
      <c r="S188" s="41">
        <f>R188-O188</f>
        <v>0</v>
      </c>
      <c r="T188" s="64"/>
      <c r="U188" s="41">
        <f>ROUND(R188,0)-20000</f>
        <v>10000</v>
      </c>
      <c r="V188" s="41">
        <f>U188-R188</f>
        <v>-20000</v>
      </c>
      <c r="W188" s="64" t="s">
        <v>534</v>
      </c>
      <c r="X188" s="41">
        <f>ROUND(U188,0)</f>
        <v>10000</v>
      </c>
      <c r="Y188" s="41">
        <f>X188-U188</f>
        <v>0</v>
      </c>
      <c r="Z188" s="64"/>
      <c r="AA188" s="41">
        <f>ROUND(X188,0)</f>
        <v>10000</v>
      </c>
      <c r="AB188" s="41">
        <f>AA188-X188</f>
        <v>0</v>
      </c>
      <c r="AC188" s="64"/>
    </row>
    <row r="189" spans="2:29" ht="16.5" customHeight="1" x14ac:dyDescent="0.25">
      <c r="B189" s="90" t="s">
        <v>264</v>
      </c>
      <c r="C189" s="184" t="s">
        <v>535</v>
      </c>
      <c r="D189" s="185" t="s">
        <v>266</v>
      </c>
      <c r="E189" s="42">
        <v>546771</v>
      </c>
      <c r="F189" s="42">
        <f>ROUND(E189,0)</f>
        <v>546771</v>
      </c>
      <c r="G189" s="41">
        <f>F189-E189</f>
        <v>0</v>
      </c>
      <c r="H189" s="181"/>
      <c r="I189" s="41">
        <f t="shared" si="101"/>
        <v>546771</v>
      </c>
      <c r="J189" s="41">
        <f t="shared" si="69"/>
        <v>0</v>
      </c>
      <c r="K189" s="64"/>
      <c r="L189" s="41">
        <f t="shared" si="102"/>
        <v>546771</v>
      </c>
      <c r="M189" s="41">
        <f t="shared" si="70"/>
        <v>0</v>
      </c>
      <c r="N189" s="64"/>
      <c r="O189" s="41">
        <f t="shared" si="100"/>
        <v>546771</v>
      </c>
      <c r="P189" s="41">
        <f t="shared" si="71"/>
        <v>0</v>
      </c>
      <c r="Q189" s="64"/>
      <c r="R189" s="41">
        <f t="shared" si="106"/>
        <v>546771</v>
      </c>
      <c r="S189" s="41">
        <f t="shared" ref="S189:S259" si="108">R189-O189</f>
        <v>0</v>
      </c>
      <c r="T189" s="64"/>
      <c r="U189" s="41">
        <f t="shared" si="103"/>
        <v>546771</v>
      </c>
      <c r="V189" s="41">
        <f t="shared" ref="V189:V259" si="109">U189-R189</f>
        <v>0</v>
      </c>
      <c r="W189" s="64" t="s">
        <v>536</v>
      </c>
      <c r="X189" s="41">
        <f t="shared" ref="X189:X191" si="110">ROUND(U189,0)</f>
        <v>546771</v>
      </c>
      <c r="Y189" s="41">
        <f t="shared" ref="Y189:Y259" si="111">X189-U189</f>
        <v>0</v>
      </c>
      <c r="Z189" s="64"/>
      <c r="AA189" s="41">
        <f t="shared" ref="AA189:AA191" si="112">ROUND(X189,0)</f>
        <v>546771</v>
      </c>
      <c r="AB189" s="41">
        <f t="shared" ref="AB189:AB259" si="113">AA189-X189</f>
        <v>0</v>
      </c>
      <c r="AC189" s="64"/>
    </row>
    <row r="190" spans="2:29" ht="31.9" customHeight="1" x14ac:dyDescent="0.25">
      <c r="B190" s="90"/>
      <c r="C190" s="184" t="s">
        <v>537</v>
      </c>
      <c r="D190" s="185" t="s">
        <v>538</v>
      </c>
      <c r="E190" s="42">
        <v>0</v>
      </c>
      <c r="F190" s="42">
        <f>ROUND(E190,0)</f>
        <v>0</v>
      </c>
      <c r="G190" s="41">
        <f>F190-E190</f>
        <v>0</v>
      </c>
      <c r="H190" s="64"/>
      <c r="I190" s="41">
        <f t="shared" si="101"/>
        <v>0</v>
      </c>
      <c r="J190" s="41">
        <f t="shared" si="69"/>
        <v>0</v>
      </c>
      <c r="K190" s="64"/>
      <c r="L190" s="41">
        <f>ROUND(I190,0)+55000</f>
        <v>55000</v>
      </c>
      <c r="M190" s="41">
        <f t="shared" si="70"/>
        <v>55000</v>
      </c>
      <c r="N190" s="64" t="s">
        <v>539</v>
      </c>
      <c r="O190" s="41">
        <f t="shared" si="100"/>
        <v>55000</v>
      </c>
      <c r="P190" s="41">
        <f t="shared" si="71"/>
        <v>0</v>
      </c>
      <c r="Q190" s="64"/>
      <c r="R190" s="41">
        <f>ROUND(O190,0)+6508+15000+328+7000+3130+18034</f>
        <v>105000</v>
      </c>
      <c r="S190" s="41">
        <f t="shared" si="108"/>
        <v>50000</v>
      </c>
      <c r="T190" s="64" t="s">
        <v>540</v>
      </c>
      <c r="U190" s="41">
        <f t="shared" si="103"/>
        <v>105000</v>
      </c>
      <c r="V190" s="41">
        <f t="shared" si="109"/>
        <v>0</v>
      </c>
      <c r="W190" s="64"/>
      <c r="X190" s="41">
        <f t="shared" si="110"/>
        <v>105000</v>
      </c>
      <c r="Y190" s="41">
        <f t="shared" si="111"/>
        <v>0</v>
      </c>
      <c r="Z190" s="64"/>
      <c r="AA190" s="41">
        <f t="shared" si="112"/>
        <v>105000</v>
      </c>
      <c r="AB190" s="41">
        <f t="shared" si="113"/>
        <v>0</v>
      </c>
      <c r="AC190" s="64"/>
    </row>
    <row r="191" spans="2:29" ht="29.45" customHeight="1" x14ac:dyDescent="0.25">
      <c r="B191" s="90" t="s">
        <v>541</v>
      </c>
      <c r="C191" s="184" t="s">
        <v>542</v>
      </c>
      <c r="D191" s="185" t="s">
        <v>543</v>
      </c>
      <c r="E191" s="42">
        <v>0</v>
      </c>
      <c r="F191" s="42">
        <f>ROUND(E191,0)</f>
        <v>0</v>
      </c>
      <c r="G191" s="41">
        <f>F191-E191</f>
        <v>0</v>
      </c>
      <c r="H191" s="68"/>
      <c r="I191" s="41">
        <f t="shared" si="101"/>
        <v>0</v>
      </c>
      <c r="J191" s="41">
        <f t="shared" si="69"/>
        <v>0</v>
      </c>
      <c r="K191" s="45"/>
      <c r="L191" s="41">
        <f>ROUND(I191,0)+21000</f>
        <v>21000</v>
      </c>
      <c r="M191" s="41">
        <f t="shared" si="70"/>
        <v>21000</v>
      </c>
      <c r="N191" s="64" t="s">
        <v>539</v>
      </c>
      <c r="O191" s="41">
        <f t="shared" si="100"/>
        <v>21000</v>
      </c>
      <c r="P191" s="41">
        <f t="shared" si="71"/>
        <v>0</v>
      </c>
      <c r="Q191" s="45"/>
      <c r="R191" s="41">
        <f>ROUND(O191,0)+31000+10022</f>
        <v>62022</v>
      </c>
      <c r="S191" s="41">
        <f t="shared" si="108"/>
        <v>41022</v>
      </c>
      <c r="T191" s="45" t="s">
        <v>544</v>
      </c>
      <c r="U191" s="41">
        <f t="shared" si="103"/>
        <v>62022</v>
      </c>
      <c r="V191" s="41">
        <f t="shared" si="109"/>
        <v>0</v>
      </c>
      <c r="W191" s="45"/>
      <c r="X191" s="41">
        <f t="shared" si="110"/>
        <v>62022</v>
      </c>
      <c r="Y191" s="41">
        <f t="shared" si="111"/>
        <v>0</v>
      </c>
      <c r="Z191" s="45"/>
      <c r="AA191" s="41">
        <f t="shared" si="112"/>
        <v>62022</v>
      </c>
      <c r="AB191" s="41">
        <f t="shared" si="113"/>
        <v>0</v>
      </c>
      <c r="AC191" s="45"/>
    </row>
    <row r="192" spans="2:29" x14ac:dyDescent="0.25">
      <c r="C192" s="169" t="s">
        <v>106</v>
      </c>
      <c r="D192" s="170" t="s">
        <v>545</v>
      </c>
      <c r="E192" s="48">
        <v>2519181.6714729005</v>
      </c>
      <c r="F192" s="49">
        <f t="shared" ref="F192" si="114">SUM(F193,F198:F202)+F205+F206</f>
        <v>2529195</v>
      </c>
      <c r="G192" s="48">
        <f>SUM(G193,G198:G206)</f>
        <v>10013.342056599839</v>
      </c>
      <c r="H192" s="52"/>
      <c r="I192" s="48">
        <f>SUM(I193,I198:I202)+I205+I206</f>
        <v>2529195</v>
      </c>
      <c r="J192" s="48">
        <f t="shared" si="69"/>
        <v>0</v>
      </c>
      <c r="K192" s="48"/>
      <c r="L192" s="48">
        <f>SUM(L193,L198:L202)+L205+L206</f>
        <v>2527695</v>
      </c>
      <c r="M192" s="48">
        <f t="shared" si="70"/>
        <v>-1500</v>
      </c>
      <c r="N192" s="48"/>
      <c r="O192" s="48">
        <f>SUM(O193,O198:O202)+O205+O206</f>
        <v>2554562</v>
      </c>
      <c r="P192" s="48">
        <f t="shared" si="71"/>
        <v>26867</v>
      </c>
      <c r="Q192" s="48"/>
      <c r="R192" s="48">
        <f>SUM(R193,R198:R202)+R205+R206</f>
        <v>2551562</v>
      </c>
      <c r="S192" s="48">
        <f t="shared" si="108"/>
        <v>-3000</v>
      </c>
      <c r="T192" s="48"/>
      <c r="U192" s="48">
        <f>SUM(U193,U198:U202)+U205+U206</f>
        <v>2566319</v>
      </c>
      <c r="V192" s="48">
        <f t="shared" si="109"/>
        <v>14757</v>
      </c>
      <c r="W192" s="48"/>
      <c r="X192" s="48">
        <f>SUM(X193,X198:X202)+X205+X206</f>
        <v>2566319</v>
      </c>
      <c r="Y192" s="48">
        <f t="shared" si="111"/>
        <v>0</v>
      </c>
      <c r="Z192" s="48"/>
      <c r="AA192" s="48">
        <f>SUM(AA193,AA198:AA202)+AA205+AA206</f>
        <v>2566319</v>
      </c>
      <c r="AB192" s="48">
        <f t="shared" si="113"/>
        <v>0</v>
      </c>
      <c r="AC192" s="48"/>
    </row>
    <row r="193" spans="2:29" ht="23.25" customHeight="1" x14ac:dyDescent="0.25">
      <c r="C193" s="164" t="s">
        <v>109</v>
      </c>
      <c r="D193" s="165" t="s">
        <v>546</v>
      </c>
      <c r="E193" s="97">
        <v>1326357.7900424001</v>
      </c>
      <c r="F193" s="97">
        <f>SUM(F194:F197)</f>
        <v>1326358</v>
      </c>
      <c r="G193" s="97">
        <f>SUM(G194:G197)</f>
        <v>0.20995759987272322</v>
      </c>
      <c r="H193" s="97">
        <f>SUM(H194:H197)</f>
        <v>0</v>
      </c>
      <c r="I193" s="97">
        <f>SUM(I194:I197)</f>
        <v>1326358</v>
      </c>
      <c r="J193" s="73">
        <f t="shared" si="69"/>
        <v>0</v>
      </c>
      <c r="K193" s="73"/>
      <c r="L193" s="97">
        <f>SUM(L194:L197)</f>
        <v>1334858</v>
      </c>
      <c r="M193" s="73">
        <f t="shared" si="70"/>
        <v>8500</v>
      </c>
      <c r="N193" s="73"/>
      <c r="O193" s="73">
        <f>SUM(O194:O197)</f>
        <v>1355693</v>
      </c>
      <c r="P193" s="73">
        <f t="shared" si="71"/>
        <v>20835</v>
      </c>
      <c r="Q193" s="73"/>
      <c r="R193" s="73">
        <f>SUM(R194:R197)</f>
        <v>1352693</v>
      </c>
      <c r="S193" s="73">
        <f t="shared" si="108"/>
        <v>-3000</v>
      </c>
      <c r="T193" s="73"/>
      <c r="U193" s="73">
        <f>SUM(U194:U197)</f>
        <v>1367450</v>
      </c>
      <c r="V193" s="73">
        <f t="shared" si="109"/>
        <v>14757</v>
      </c>
      <c r="W193" s="73"/>
      <c r="X193" s="73">
        <f>SUM(X194:X197)</f>
        <v>1367450</v>
      </c>
      <c r="Y193" s="73">
        <f t="shared" si="111"/>
        <v>0</v>
      </c>
      <c r="Z193" s="73"/>
      <c r="AA193" s="73">
        <f>SUM(AA194:AA197)</f>
        <v>1367450</v>
      </c>
      <c r="AB193" s="73">
        <f t="shared" si="113"/>
        <v>0</v>
      </c>
      <c r="AC193" s="73"/>
    </row>
    <row r="194" spans="2:29" ht="17.25" customHeight="1" x14ac:dyDescent="0.25">
      <c r="B194" s="90" t="s">
        <v>547</v>
      </c>
      <c r="C194" s="172" t="s">
        <v>548</v>
      </c>
      <c r="D194" s="173" t="s">
        <v>549</v>
      </c>
      <c r="E194" s="42">
        <v>638049.85509206681</v>
      </c>
      <c r="F194" s="42">
        <f>ROUND(E194,0)</f>
        <v>638050</v>
      </c>
      <c r="G194" s="41">
        <f t="shared" ref="G194:G257" si="115">F194-E194</f>
        <v>0.14490793319419026</v>
      </c>
      <c r="H194" s="181"/>
      <c r="I194" s="41">
        <f t="shared" ref="I194:I201" si="116">ROUND(F194,0)</f>
        <v>638050</v>
      </c>
      <c r="J194" s="41">
        <f t="shared" si="69"/>
        <v>0</v>
      </c>
      <c r="K194" s="205"/>
      <c r="L194" s="41">
        <f>ROUND(I194,0)</f>
        <v>638050</v>
      </c>
      <c r="M194" s="41">
        <f t="shared" si="70"/>
        <v>0</v>
      </c>
      <c r="N194" s="205"/>
      <c r="O194" s="41">
        <f>ROUND(L194,0)+21000</f>
        <v>659050</v>
      </c>
      <c r="P194" s="41">
        <f t="shared" si="71"/>
        <v>21000</v>
      </c>
      <c r="Q194" s="205" t="s">
        <v>95</v>
      </c>
      <c r="R194" s="41">
        <f t="shared" ref="R194:R201" si="117">ROUND(O194,0)</f>
        <v>659050</v>
      </c>
      <c r="S194" s="41">
        <f t="shared" si="108"/>
        <v>0</v>
      </c>
      <c r="T194" s="205"/>
      <c r="U194" s="41">
        <f>ROUND(R194,0)+7079</f>
        <v>666129</v>
      </c>
      <c r="V194" s="41">
        <f t="shared" si="109"/>
        <v>7079</v>
      </c>
      <c r="W194" s="64" t="s">
        <v>177</v>
      </c>
      <c r="X194" s="41">
        <f>ROUND(U194,0)</f>
        <v>666129</v>
      </c>
      <c r="Y194" s="41">
        <f t="shared" si="111"/>
        <v>0</v>
      </c>
      <c r="Z194" s="64"/>
      <c r="AA194" s="41">
        <f>ROUND(X194,0)</f>
        <v>666129</v>
      </c>
      <c r="AB194" s="41">
        <f t="shared" si="113"/>
        <v>0</v>
      </c>
      <c r="AC194" s="64"/>
    </row>
    <row r="195" spans="2:29" ht="18" customHeight="1" x14ac:dyDescent="0.25">
      <c r="B195" s="90" t="s">
        <v>550</v>
      </c>
      <c r="C195" s="172" t="s">
        <v>551</v>
      </c>
      <c r="D195" s="173" t="s">
        <v>552</v>
      </c>
      <c r="E195" s="42">
        <v>485179.86028633331</v>
      </c>
      <c r="F195" s="42">
        <f>ROUND(E195,0)</f>
        <v>485180</v>
      </c>
      <c r="G195" s="41">
        <f t="shared" si="115"/>
        <v>0.1397136666928418</v>
      </c>
      <c r="H195" s="181"/>
      <c r="I195" s="41">
        <f t="shared" si="116"/>
        <v>485180</v>
      </c>
      <c r="J195" s="41">
        <f t="shared" si="69"/>
        <v>0</v>
      </c>
      <c r="K195" s="64"/>
      <c r="L195" s="41">
        <f>ROUND(I195,0)+8500</f>
        <v>493680</v>
      </c>
      <c r="M195" s="41">
        <f t="shared" si="70"/>
        <v>8500</v>
      </c>
      <c r="N195" s="205" t="s">
        <v>553</v>
      </c>
      <c r="O195" s="41">
        <f>ROUND(L195,0)-165</f>
        <v>493515</v>
      </c>
      <c r="P195" s="41">
        <f t="shared" si="71"/>
        <v>-165</v>
      </c>
      <c r="Q195" s="64" t="s">
        <v>554</v>
      </c>
      <c r="R195" s="41">
        <f t="shared" si="117"/>
        <v>493515</v>
      </c>
      <c r="S195" s="41">
        <f t="shared" si="108"/>
        <v>0</v>
      </c>
      <c r="T195" s="64"/>
      <c r="U195" s="41">
        <f>ROUND(R195,0)+7678</f>
        <v>501193</v>
      </c>
      <c r="V195" s="41">
        <f t="shared" si="109"/>
        <v>7678</v>
      </c>
      <c r="W195" s="206"/>
      <c r="X195" s="41">
        <f>ROUND(U195,0)</f>
        <v>501193</v>
      </c>
      <c r="Y195" s="41">
        <f t="shared" si="111"/>
        <v>0</v>
      </c>
      <c r="Z195" s="206"/>
      <c r="AA195" s="41">
        <f>ROUND(X195,0)</f>
        <v>501193</v>
      </c>
      <c r="AB195" s="41">
        <f t="shared" si="113"/>
        <v>0</v>
      </c>
      <c r="AC195" s="206"/>
    </row>
    <row r="196" spans="2:29" ht="16.5" customHeight="1" x14ac:dyDescent="0.25">
      <c r="B196" s="90" t="s">
        <v>555</v>
      </c>
      <c r="C196" s="172" t="s">
        <v>556</v>
      </c>
      <c r="D196" s="173" t="s">
        <v>557</v>
      </c>
      <c r="E196" s="42">
        <v>172588.07466400001</v>
      </c>
      <c r="F196" s="42">
        <f>ROUND(E196,0)</f>
        <v>172588</v>
      </c>
      <c r="G196" s="41">
        <f t="shared" si="115"/>
        <v>-7.466400001430884E-2</v>
      </c>
      <c r="H196" s="68"/>
      <c r="I196" s="41">
        <f t="shared" si="116"/>
        <v>172588</v>
      </c>
      <c r="J196" s="41">
        <f t="shared" si="69"/>
        <v>0</v>
      </c>
      <c r="K196" s="45"/>
      <c r="L196" s="41">
        <f t="shared" ref="L196:L206" si="118">ROUND(I196,0)</f>
        <v>172588</v>
      </c>
      <c r="M196" s="41">
        <f t="shared" si="70"/>
        <v>0</v>
      </c>
      <c r="N196" s="45"/>
      <c r="O196" s="41">
        <f t="shared" ref="O196:O206" si="119">ROUND(L196,0)</f>
        <v>172588</v>
      </c>
      <c r="P196" s="41">
        <f t="shared" si="71"/>
        <v>0</v>
      </c>
      <c r="Q196" s="45"/>
      <c r="R196" s="41">
        <f>ROUND(O196,0)-1500</f>
        <v>171088</v>
      </c>
      <c r="S196" s="182">
        <f t="shared" si="108"/>
        <v>-1500</v>
      </c>
      <c r="T196" s="207" t="s">
        <v>558</v>
      </c>
      <c r="U196" s="41">
        <f t="shared" ref="U196:U201" si="120">ROUND(R196,0)</f>
        <v>171088</v>
      </c>
      <c r="V196" s="41">
        <f t="shared" si="109"/>
        <v>0</v>
      </c>
      <c r="W196" s="64"/>
      <c r="X196" s="41">
        <f t="shared" ref="X196:X201" si="121">ROUND(U196,0)</f>
        <v>171088</v>
      </c>
      <c r="Y196" s="41">
        <f t="shared" si="111"/>
        <v>0</v>
      </c>
      <c r="Z196" s="64"/>
      <c r="AA196" s="41">
        <f t="shared" ref="AA196:AA201" si="122">ROUND(X196,0)</f>
        <v>171088</v>
      </c>
      <c r="AB196" s="41">
        <f t="shared" si="113"/>
        <v>0</v>
      </c>
      <c r="AC196" s="64"/>
    </row>
    <row r="197" spans="2:29" ht="18.75" customHeight="1" x14ac:dyDescent="0.25">
      <c r="B197" s="90" t="s">
        <v>559</v>
      </c>
      <c r="C197" s="172" t="s">
        <v>560</v>
      </c>
      <c r="D197" s="173" t="s">
        <v>561</v>
      </c>
      <c r="E197" s="92">
        <v>30540</v>
      </c>
      <c r="F197" s="92">
        <f>ROUND(E197,0)</f>
        <v>30540</v>
      </c>
      <c r="G197" s="41">
        <f>F197-E197</f>
        <v>0</v>
      </c>
      <c r="H197" s="208"/>
      <c r="I197" s="41">
        <f t="shared" si="116"/>
        <v>30540</v>
      </c>
      <c r="J197" s="41">
        <f t="shared" si="69"/>
        <v>0</v>
      </c>
      <c r="K197" s="45"/>
      <c r="L197" s="41">
        <f t="shared" si="118"/>
        <v>30540</v>
      </c>
      <c r="M197" s="41">
        <f t="shared" si="70"/>
        <v>0</v>
      </c>
      <c r="N197" s="209"/>
      <c r="O197" s="41">
        <f t="shared" si="119"/>
        <v>30540</v>
      </c>
      <c r="P197" s="41">
        <f t="shared" si="71"/>
        <v>0</v>
      </c>
      <c r="Q197" s="209"/>
      <c r="R197" s="41">
        <f>ROUND(O197,0)-1500</f>
        <v>29040</v>
      </c>
      <c r="S197" s="182">
        <f t="shared" si="108"/>
        <v>-1500</v>
      </c>
      <c r="T197" s="210"/>
      <c r="U197" s="41">
        <f t="shared" si="120"/>
        <v>29040</v>
      </c>
      <c r="V197" s="41">
        <f t="shared" si="109"/>
        <v>0</v>
      </c>
      <c r="W197" s="206"/>
      <c r="X197" s="41">
        <f t="shared" si="121"/>
        <v>29040</v>
      </c>
      <c r="Y197" s="41">
        <f t="shared" si="111"/>
        <v>0</v>
      </c>
      <c r="Z197" s="206"/>
      <c r="AA197" s="41">
        <f t="shared" si="122"/>
        <v>29040</v>
      </c>
      <c r="AB197" s="41">
        <f t="shared" si="113"/>
        <v>0</v>
      </c>
      <c r="AC197" s="206"/>
    </row>
    <row r="198" spans="2:29" ht="29.45" customHeight="1" x14ac:dyDescent="0.25">
      <c r="B198" s="90" t="s">
        <v>562</v>
      </c>
      <c r="C198" s="211" t="s">
        <v>563</v>
      </c>
      <c r="D198" s="165" t="s">
        <v>564</v>
      </c>
      <c r="E198" s="97">
        <v>185742</v>
      </c>
      <c r="F198" s="97">
        <f>ROUND(E198,0)+10013</f>
        <v>195755</v>
      </c>
      <c r="G198" s="73">
        <f t="shared" si="115"/>
        <v>10013</v>
      </c>
      <c r="H198" s="212" t="s">
        <v>565</v>
      </c>
      <c r="I198" s="73">
        <f t="shared" si="116"/>
        <v>195755</v>
      </c>
      <c r="J198" s="73">
        <f t="shared" si="69"/>
        <v>0</v>
      </c>
      <c r="K198" s="213"/>
      <c r="L198" s="73">
        <f t="shared" si="118"/>
        <v>195755</v>
      </c>
      <c r="M198" s="73">
        <f t="shared" si="70"/>
        <v>0</v>
      </c>
      <c r="N198" s="213"/>
      <c r="O198" s="73">
        <f t="shared" si="119"/>
        <v>195755</v>
      </c>
      <c r="P198" s="73">
        <f t="shared" si="71"/>
        <v>0</v>
      </c>
      <c r="Q198" s="213"/>
      <c r="R198" s="73">
        <f t="shared" si="117"/>
        <v>195755</v>
      </c>
      <c r="S198" s="73">
        <f t="shared" si="108"/>
        <v>0</v>
      </c>
      <c r="T198" s="213"/>
      <c r="U198" s="73">
        <f t="shared" si="120"/>
        <v>195755</v>
      </c>
      <c r="V198" s="73">
        <f t="shared" si="109"/>
        <v>0</v>
      </c>
      <c r="W198" s="213"/>
      <c r="X198" s="73">
        <f t="shared" si="121"/>
        <v>195755</v>
      </c>
      <c r="Y198" s="73">
        <f t="shared" si="111"/>
        <v>0</v>
      </c>
      <c r="Z198" s="213"/>
      <c r="AA198" s="73">
        <f t="shared" si="122"/>
        <v>195755</v>
      </c>
      <c r="AB198" s="73">
        <f t="shared" si="113"/>
        <v>0</v>
      </c>
      <c r="AC198" s="213"/>
    </row>
    <row r="199" spans="2:29" ht="27" customHeight="1" x14ac:dyDescent="0.25">
      <c r="B199" s="90" t="s">
        <v>566</v>
      </c>
      <c r="C199" s="211" t="s">
        <v>567</v>
      </c>
      <c r="D199" s="165" t="s">
        <v>568</v>
      </c>
      <c r="E199" s="97">
        <v>0</v>
      </c>
      <c r="F199" s="97">
        <f t="shared" ref="F199:F206" si="123">ROUND(E199,0)</f>
        <v>0</v>
      </c>
      <c r="G199" s="73">
        <f t="shared" si="115"/>
        <v>0</v>
      </c>
      <c r="H199" s="98"/>
      <c r="I199" s="73">
        <f t="shared" si="116"/>
        <v>0</v>
      </c>
      <c r="J199" s="73">
        <f t="shared" si="69"/>
        <v>0</v>
      </c>
      <c r="K199" s="99"/>
      <c r="L199" s="73">
        <f t="shared" si="118"/>
        <v>0</v>
      </c>
      <c r="M199" s="73">
        <f t="shared" si="70"/>
        <v>0</v>
      </c>
      <c r="N199" s="99"/>
      <c r="O199" s="73">
        <f t="shared" si="119"/>
        <v>0</v>
      </c>
      <c r="P199" s="73">
        <f t="shared" si="71"/>
        <v>0</v>
      </c>
      <c r="Q199" s="99"/>
      <c r="R199" s="73">
        <f t="shared" si="117"/>
        <v>0</v>
      </c>
      <c r="S199" s="73">
        <f t="shared" si="108"/>
        <v>0</v>
      </c>
      <c r="T199" s="99"/>
      <c r="U199" s="73">
        <f t="shared" si="120"/>
        <v>0</v>
      </c>
      <c r="V199" s="73">
        <f t="shared" si="109"/>
        <v>0</v>
      </c>
      <c r="W199" s="99"/>
      <c r="X199" s="73">
        <f t="shared" si="121"/>
        <v>0</v>
      </c>
      <c r="Y199" s="73">
        <f t="shared" si="111"/>
        <v>0</v>
      </c>
      <c r="Z199" s="99"/>
      <c r="AA199" s="73">
        <f t="shared" si="122"/>
        <v>0</v>
      </c>
      <c r="AB199" s="73">
        <f t="shared" si="113"/>
        <v>0</v>
      </c>
      <c r="AC199" s="99"/>
    </row>
    <row r="200" spans="2:29" ht="15" customHeight="1" x14ac:dyDescent="0.25">
      <c r="B200" s="90" t="s">
        <v>569</v>
      </c>
      <c r="C200" s="164" t="s">
        <v>570</v>
      </c>
      <c r="D200" s="165" t="s">
        <v>571</v>
      </c>
      <c r="E200" s="97">
        <v>153395.37309000001</v>
      </c>
      <c r="F200" s="97">
        <f t="shared" si="123"/>
        <v>153395</v>
      </c>
      <c r="G200" s="73">
        <f t="shared" si="115"/>
        <v>-0.37309000000823289</v>
      </c>
      <c r="H200" s="214"/>
      <c r="I200" s="73">
        <f t="shared" si="116"/>
        <v>153395</v>
      </c>
      <c r="J200" s="73">
        <f t="shared" si="69"/>
        <v>0</v>
      </c>
      <c r="K200" s="213"/>
      <c r="L200" s="73">
        <f t="shared" si="118"/>
        <v>153395</v>
      </c>
      <c r="M200" s="73">
        <f t="shared" si="70"/>
        <v>0</v>
      </c>
      <c r="N200" s="213"/>
      <c r="O200" s="73">
        <f>ROUND(L200,0)-276</f>
        <v>153119</v>
      </c>
      <c r="P200" s="73">
        <f t="shared" si="71"/>
        <v>-276</v>
      </c>
      <c r="Q200" s="213" t="s">
        <v>572</v>
      </c>
      <c r="R200" s="73">
        <f t="shared" si="117"/>
        <v>153119</v>
      </c>
      <c r="S200" s="73">
        <f t="shared" si="108"/>
        <v>0</v>
      </c>
      <c r="T200" s="213"/>
      <c r="U200" s="73">
        <f t="shared" si="120"/>
        <v>153119</v>
      </c>
      <c r="V200" s="73">
        <f t="shared" si="109"/>
        <v>0</v>
      </c>
      <c r="W200" s="213"/>
      <c r="X200" s="73">
        <f t="shared" si="121"/>
        <v>153119</v>
      </c>
      <c r="Y200" s="73">
        <f t="shared" si="111"/>
        <v>0</v>
      </c>
      <c r="Z200" s="213"/>
      <c r="AA200" s="73">
        <f t="shared" si="122"/>
        <v>153119</v>
      </c>
      <c r="AB200" s="73">
        <f t="shared" si="113"/>
        <v>0</v>
      </c>
      <c r="AC200" s="213"/>
    </row>
    <row r="201" spans="2:29" ht="15.6" customHeight="1" x14ac:dyDescent="0.25">
      <c r="B201" s="90" t="s">
        <v>573</v>
      </c>
      <c r="C201" s="164" t="s">
        <v>574</v>
      </c>
      <c r="D201" s="165" t="s">
        <v>575</v>
      </c>
      <c r="E201" s="97">
        <v>64813.521870000011</v>
      </c>
      <c r="F201" s="97">
        <f t="shared" si="123"/>
        <v>64814</v>
      </c>
      <c r="G201" s="73">
        <f t="shared" si="115"/>
        <v>0.47812999998859596</v>
      </c>
      <c r="H201" s="214"/>
      <c r="I201" s="73">
        <f t="shared" si="116"/>
        <v>64814</v>
      </c>
      <c r="J201" s="73">
        <f t="shared" si="69"/>
        <v>0</v>
      </c>
      <c r="K201" s="213"/>
      <c r="L201" s="73">
        <f t="shared" si="118"/>
        <v>64814</v>
      </c>
      <c r="M201" s="73">
        <f t="shared" si="70"/>
        <v>0</v>
      </c>
      <c r="N201" s="213"/>
      <c r="O201" s="73">
        <f>ROUND(L201,0)-62</f>
        <v>64752</v>
      </c>
      <c r="P201" s="73">
        <f t="shared" si="71"/>
        <v>-62</v>
      </c>
      <c r="Q201" s="213" t="s">
        <v>576</v>
      </c>
      <c r="R201" s="73">
        <f t="shared" si="117"/>
        <v>64752</v>
      </c>
      <c r="S201" s="73">
        <f t="shared" si="108"/>
        <v>0</v>
      </c>
      <c r="T201" s="213"/>
      <c r="U201" s="73">
        <f t="shared" si="120"/>
        <v>64752</v>
      </c>
      <c r="V201" s="73">
        <f t="shared" si="109"/>
        <v>0</v>
      </c>
      <c r="W201" s="213"/>
      <c r="X201" s="73">
        <f t="shared" si="121"/>
        <v>64752</v>
      </c>
      <c r="Y201" s="73">
        <f t="shared" si="111"/>
        <v>0</v>
      </c>
      <c r="Z201" s="213"/>
      <c r="AA201" s="73">
        <f t="shared" si="122"/>
        <v>64752</v>
      </c>
      <c r="AB201" s="73">
        <f t="shared" si="113"/>
        <v>0</v>
      </c>
      <c r="AC201" s="213"/>
    </row>
    <row r="202" spans="2:29" ht="15" customHeight="1" x14ac:dyDescent="0.25">
      <c r="B202" s="90" t="s">
        <v>315</v>
      </c>
      <c r="C202" s="164" t="s">
        <v>577</v>
      </c>
      <c r="D202" s="165" t="s">
        <v>578</v>
      </c>
      <c r="E202" s="97">
        <v>765644.98647050001</v>
      </c>
      <c r="F202" s="97">
        <f t="shared" ref="F202" si="124">F203+F204</f>
        <v>765645</v>
      </c>
      <c r="G202" s="73">
        <f t="shared" si="115"/>
        <v>1.3529499992728233E-2</v>
      </c>
      <c r="H202" s="98"/>
      <c r="I202" s="73">
        <f>I203+I204</f>
        <v>765645</v>
      </c>
      <c r="J202" s="73">
        <f t="shared" ref="J202:J282" si="125">I202-F202</f>
        <v>0</v>
      </c>
      <c r="K202" s="99"/>
      <c r="L202" s="73">
        <f>L203+L204</f>
        <v>755645</v>
      </c>
      <c r="M202" s="73">
        <f t="shared" ref="M202:M282" si="126">L202-I202</f>
        <v>-10000</v>
      </c>
      <c r="N202" s="99"/>
      <c r="O202" s="73">
        <f>O203+O204</f>
        <v>762015</v>
      </c>
      <c r="P202" s="73">
        <f t="shared" ref="P202:P282" si="127">O202-L202</f>
        <v>6370</v>
      </c>
      <c r="Q202" s="99"/>
      <c r="R202" s="73">
        <f>R203+R204</f>
        <v>762015</v>
      </c>
      <c r="S202" s="73">
        <f t="shared" si="108"/>
        <v>0</v>
      </c>
      <c r="T202" s="99"/>
      <c r="U202" s="73">
        <f>U203+U204</f>
        <v>762015</v>
      </c>
      <c r="V202" s="73">
        <f t="shared" si="109"/>
        <v>0</v>
      </c>
      <c r="W202" s="99"/>
      <c r="X202" s="73">
        <f>X203+X204</f>
        <v>762015</v>
      </c>
      <c r="Y202" s="73">
        <f t="shared" si="111"/>
        <v>0</v>
      </c>
      <c r="Z202" s="99"/>
      <c r="AA202" s="73">
        <f>AA203+AA204</f>
        <v>762015</v>
      </c>
      <c r="AB202" s="73">
        <f t="shared" si="113"/>
        <v>0</v>
      </c>
      <c r="AC202" s="99"/>
    </row>
    <row r="203" spans="2:29" ht="15" customHeight="1" x14ac:dyDescent="0.25">
      <c r="B203" s="90"/>
      <c r="C203" s="215" t="s">
        <v>579</v>
      </c>
      <c r="D203" s="173" t="s">
        <v>580</v>
      </c>
      <c r="E203" s="92">
        <v>765644.98647050001</v>
      </c>
      <c r="F203" s="92">
        <f>ROUND(E203,0)-126968</f>
        <v>638677</v>
      </c>
      <c r="G203" s="204">
        <f t="shared" si="115"/>
        <v>-126967.98647050001</v>
      </c>
      <c r="H203" s="45" t="s">
        <v>581</v>
      </c>
      <c r="I203" s="41">
        <f>ROUND(F203,0)-43878</f>
        <v>594799</v>
      </c>
      <c r="J203" s="41">
        <f t="shared" si="125"/>
        <v>-43878</v>
      </c>
      <c r="K203" s="45" t="s">
        <v>582</v>
      </c>
      <c r="L203" s="41">
        <f>ROUND(I203,0)-10000</f>
        <v>584799</v>
      </c>
      <c r="M203" s="41">
        <f t="shared" si="126"/>
        <v>-10000</v>
      </c>
      <c r="N203" s="45" t="s">
        <v>583</v>
      </c>
      <c r="O203" s="41">
        <f>ROUND(L203,0)+6370-926</f>
        <v>590243</v>
      </c>
      <c r="P203" s="41">
        <f t="shared" si="127"/>
        <v>5444</v>
      </c>
      <c r="Q203" s="45" t="s">
        <v>584</v>
      </c>
      <c r="R203" s="41">
        <f>ROUND(O203,0)</f>
        <v>590243</v>
      </c>
      <c r="S203" s="41">
        <f t="shared" si="108"/>
        <v>0</v>
      </c>
      <c r="T203" s="45"/>
      <c r="U203" s="41">
        <f>ROUND(R203,0)</f>
        <v>590243</v>
      </c>
      <c r="V203" s="41">
        <f t="shared" si="109"/>
        <v>0</v>
      </c>
      <c r="W203" s="45"/>
      <c r="X203" s="41">
        <f>ROUND(U203,0)</f>
        <v>590243</v>
      </c>
      <c r="Y203" s="41">
        <f t="shared" si="111"/>
        <v>0</v>
      </c>
      <c r="Z203" s="45"/>
      <c r="AA203" s="41">
        <f>ROUND(X203,0)</f>
        <v>590243</v>
      </c>
      <c r="AB203" s="41">
        <f t="shared" si="113"/>
        <v>0</v>
      </c>
      <c r="AC203" s="45"/>
    </row>
    <row r="204" spans="2:29" ht="15" customHeight="1" x14ac:dyDescent="0.25">
      <c r="B204" s="90"/>
      <c r="C204" s="216" t="s">
        <v>585</v>
      </c>
      <c r="D204" s="173" t="s">
        <v>586</v>
      </c>
      <c r="E204" s="92">
        <v>0</v>
      </c>
      <c r="F204" s="92">
        <v>126968</v>
      </c>
      <c r="G204" s="204">
        <f t="shared" si="115"/>
        <v>126968</v>
      </c>
      <c r="H204" s="68"/>
      <c r="I204" s="41">
        <f>ROUND(F204,0)+43878</f>
        <v>170846</v>
      </c>
      <c r="J204" s="41">
        <f t="shared" si="125"/>
        <v>43878</v>
      </c>
      <c r="K204" s="45" t="s">
        <v>582</v>
      </c>
      <c r="L204" s="41">
        <f t="shared" si="118"/>
        <v>170846</v>
      </c>
      <c r="M204" s="41">
        <f t="shared" si="126"/>
        <v>0</v>
      </c>
      <c r="N204" s="45"/>
      <c r="O204" s="41">
        <f>ROUND(L204,0)+926</f>
        <v>171772</v>
      </c>
      <c r="P204" s="41">
        <f t="shared" si="127"/>
        <v>926</v>
      </c>
      <c r="Q204" s="45" t="s">
        <v>587</v>
      </c>
      <c r="R204" s="41">
        <f>ROUND(O204,0)</f>
        <v>171772</v>
      </c>
      <c r="S204" s="41">
        <f t="shared" si="108"/>
        <v>0</v>
      </c>
      <c r="T204" s="45"/>
      <c r="U204" s="41">
        <f>ROUND(R204,0)</f>
        <v>171772</v>
      </c>
      <c r="V204" s="41">
        <f t="shared" si="109"/>
        <v>0</v>
      </c>
      <c r="W204" s="45"/>
      <c r="X204" s="41">
        <f>ROUND(U204,0)</f>
        <v>171772</v>
      </c>
      <c r="Y204" s="41">
        <f t="shared" si="111"/>
        <v>0</v>
      </c>
      <c r="Z204" s="45"/>
      <c r="AA204" s="41">
        <f>ROUND(X204,0)</f>
        <v>171772</v>
      </c>
      <c r="AB204" s="41">
        <f t="shared" si="113"/>
        <v>0</v>
      </c>
      <c r="AC204" s="45"/>
    </row>
    <row r="205" spans="2:29" ht="15.6" customHeight="1" x14ac:dyDescent="0.25">
      <c r="B205" s="90" t="s">
        <v>588</v>
      </c>
      <c r="C205" s="164" t="s">
        <v>589</v>
      </c>
      <c r="D205" s="165" t="s">
        <v>590</v>
      </c>
      <c r="E205" s="97">
        <v>4000</v>
      </c>
      <c r="F205" s="97">
        <f t="shared" si="123"/>
        <v>4000</v>
      </c>
      <c r="G205" s="73">
        <f t="shared" si="115"/>
        <v>0</v>
      </c>
      <c r="H205" s="166"/>
      <c r="I205" s="73">
        <f>ROUND(F205,0)</f>
        <v>4000</v>
      </c>
      <c r="J205" s="73">
        <f t="shared" si="125"/>
        <v>0</v>
      </c>
      <c r="K205" s="167"/>
      <c r="L205" s="73">
        <f t="shared" si="118"/>
        <v>4000</v>
      </c>
      <c r="M205" s="73">
        <f t="shared" si="126"/>
        <v>0</v>
      </c>
      <c r="N205" s="167"/>
      <c r="O205" s="73">
        <f t="shared" si="119"/>
        <v>4000</v>
      </c>
      <c r="P205" s="73">
        <f t="shared" si="127"/>
        <v>0</v>
      </c>
      <c r="Q205" s="167"/>
      <c r="R205" s="73">
        <f>ROUND(O205,0)</f>
        <v>4000</v>
      </c>
      <c r="S205" s="73">
        <f t="shared" si="108"/>
        <v>0</v>
      </c>
      <c r="T205" s="167"/>
      <c r="U205" s="73">
        <f>ROUND(R205,0)</f>
        <v>4000</v>
      </c>
      <c r="V205" s="73">
        <f t="shared" si="109"/>
        <v>0</v>
      </c>
      <c r="W205" s="167"/>
      <c r="X205" s="73">
        <f>ROUND(U205,0)</f>
        <v>4000</v>
      </c>
      <c r="Y205" s="73">
        <f t="shared" si="111"/>
        <v>0</v>
      </c>
      <c r="Z205" s="167"/>
      <c r="AA205" s="73">
        <f>ROUND(X205,0)</f>
        <v>4000</v>
      </c>
      <c r="AB205" s="73">
        <f t="shared" si="113"/>
        <v>0</v>
      </c>
      <c r="AC205" s="167"/>
    </row>
    <row r="206" spans="2:29" ht="15.6" customHeight="1" x14ac:dyDescent="0.25">
      <c r="B206" s="90" t="s">
        <v>591</v>
      </c>
      <c r="C206" s="164" t="s">
        <v>592</v>
      </c>
      <c r="D206" s="165" t="s">
        <v>593</v>
      </c>
      <c r="E206" s="97">
        <v>19228</v>
      </c>
      <c r="F206" s="97">
        <f t="shared" si="123"/>
        <v>19228</v>
      </c>
      <c r="G206" s="73">
        <f t="shared" si="115"/>
        <v>0</v>
      </c>
      <c r="H206" s="166"/>
      <c r="I206" s="73">
        <f>ROUND(F206,0)</f>
        <v>19228</v>
      </c>
      <c r="J206" s="73">
        <f t="shared" si="125"/>
        <v>0</v>
      </c>
      <c r="K206" s="167"/>
      <c r="L206" s="73">
        <f t="shared" si="118"/>
        <v>19228</v>
      </c>
      <c r="M206" s="73">
        <f t="shared" si="126"/>
        <v>0</v>
      </c>
      <c r="N206" s="167"/>
      <c r="O206" s="73">
        <f t="shared" si="119"/>
        <v>19228</v>
      </c>
      <c r="P206" s="73">
        <f t="shared" si="127"/>
        <v>0</v>
      </c>
      <c r="Q206" s="167"/>
      <c r="R206" s="73">
        <f>ROUND(O206,0)</f>
        <v>19228</v>
      </c>
      <c r="S206" s="73">
        <f t="shared" si="108"/>
        <v>0</v>
      </c>
      <c r="T206" s="167"/>
      <c r="U206" s="73">
        <f>ROUND(R206,0)</f>
        <v>19228</v>
      </c>
      <c r="V206" s="73">
        <f t="shared" si="109"/>
        <v>0</v>
      </c>
      <c r="W206" s="167"/>
      <c r="X206" s="73">
        <f>ROUND(U206,0)</f>
        <v>19228</v>
      </c>
      <c r="Y206" s="73">
        <f t="shared" si="111"/>
        <v>0</v>
      </c>
      <c r="Z206" s="167"/>
      <c r="AA206" s="73">
        <f>ROUND(X206,0)</f>
        <v>19228</v>
      </c>
      <c r="AB206" s="73">
        <f t="shared" si="113"/>
        <v>0</v>
      </c>
      <c r="AC206" s="167"/>
    </row>
    <row r="207" spans="2:29" s="155" customFormat="1" ht="15.6" customHeight="1" x14ac:dyDescent="0.2">
      <c r="C207" s="169" t="s">
        <v>116</v>
      </c>
      <c r="D207" s="170" t="s">
        <v>594</v>
      </c>
      <c r="E207" s="48">
        <v>3797025.7610668591</v>
      </c>
      <c r="F207" s="48">
        <f t="shared" ref="F207:L207" si="128">F208+F215+F218+F223+F224+F225+F226+F227+F228</f>
        <v>3834372</v>
      </c>
      <c r="G207" s="48">
        <f t="shared" si="128"/>
        <v>37346.238933140878</v>
      </c>
      <c r="H207" s="48">
        <f t="shared" si="128"/>
        <v>0</v>
      </c>
      <c r="I207" s="48">
        <f t="shared" si="128"/>
        <v>3834372</v>
      </c>
      <c r="J207" s="48">
        <f t="shared" si="128"/>
        <v>0</v>
      </c>
      <c r="K207" s="48">
        <f t="shared" si="128"/>
        <v>0</v>
      </c>
      <c r="L207" s="48">
        <f t="shared" si="128"/>
        <v>3806675</v>
      </c>
      <c r="M207" s="48">
        <f t="shared" si="126"/>
        <v>-27697</v>
      </c>
      <c r="N207" s="48"/>
      <c r="O207" s="48">
        <f>O208+O215+O218+O223+O224+O225+O226+O227+O228</f>
        <v>3850931</v>
      </c>
      <c r="P207" s="48">
        <f t="shared" si="127"/>
        <v>44256</v>
      </c>
      <c r="Q207" s="48"/>
      <c r="R207" s="48">
        <f>R208+R215+R218+R223+R224+R225+R226+R227+R228</f>
        <v>3850931</v>
      </c>
      <c r="S207" s="48">
        <f t="shared" si="108"/>
        <v>0</v>
      </c>
      <c r="T207" s="48"/>
      <c r="U207" s="48">
        <f>U208+U215+U218+U223+U224+U225+U226+U227+U228</f>
        <v>3870931</v>
      </c>
      <c r="V207" s="48">
        <f t="shared" si="109"/>
        <v>20000</v>
      </c>
      <c r="W207" s="48"/>
      <c r="X207" s="48">
        <f>X208+X215+X218+X223+X224+X225+X226+X227+X228</f>
        <v>3832063</v>
      </c>
      <c r="Y207" s="48">
        <f t="shared" si="111"/>
        <v>-38868</v>
      </c>
      <c r="Z207" s="48"/>
      <c r="AA207" s="48">
        <f>AA208+AA215+AA218+AA223+AA224+AA225+AA226+AA227+AA228</f>
        <v>3832063</v>
      </c>
      <c r="AB207" s="48">
        <f t="shared" si="113"/>
        <v>0</v>
      </c>
      <c r="AC207" s="48"/>
    </row>
    <row r="208" spans="2:29" s="155" customFormat="1" ht="15" customHeight="1" x14ac:dyDescent="0.25">
      <c r="C208" s="164" t="s">
        <v>119</v>
      </c>
      <c r="D208" s="165" t="s">
        <v>595</v>
      </c>
      <c r="E208" s="97">
        <v>2756987.0633929078</v>
      </c>
      <c r="F208" s="97">
        <f t="shared" ref="F208:G208" si="129">F209+F210+F211+F212+F214</f>
        <v>2756987</v>
      </c>
      <c r="G208" s="73">
        <f t="shared" si="129"/>
        <v>-6.3392907846719027E-2</v>
      </c>
      <c r="H208" s="168"/>
      <c r="I208" s="73">
        <f>SUM(I209:I214)</f>
        <v>2756987</v>
      </c>
      <c r="J208" s="73">
        <f>SUM(J209:J214)</f>
        <v>0</v>
      </c>
      <c r="K208" s="73">
        <f>SUM(K209:K214)</f>
        <v>0</v>
      </c>
      <c r="L208" s="73">
        <f>SUM(L209:L214)</f>
        <v>2756987</v>
      </c>
      <c r="M208" s="73">
        <f t="shared" si="126"/>
        <v>0</v>
      </c>
      <c r="N208" s="73"/>
      <c r="O208" s="73">
        <f>SUM(O209:O214)</f>
        <v>2756959</v>
      </c>
      <c r="P208" s="73">
        <f t="shared" si="127"/>
        <v>-28</v>
      </c>
      <c r="Q208" s="73"/>
      <c r="R208" s="73">
        <f>SUM(R209:R214)</f>
        <v>2756959</v>
      </c>
      <c r="S208" s="73">
        <f t="shared" si="108"/>
        <v>0</v>
      </c>
      <c r="T208" s="73"/>
      <c r="U208" s="73">
        <f>SUM(U209:U214)</f>
        <v>2756959</v>
      </c>
      <c r="V208" s="73">
        <f t="shared" si="109"/>
        <v>0</v>
      </c>
      <c r="W208" s="73"/>
      <c r="X208" s="73">
        <f>SUM(X209:X214)</f>
        <v>2718091</v>
      </c>
      <c r="Y208" s="73">
        <f t="shared" si="111"/>
        <v>-38868</v>
      </c>
      <c r="Z208" s="73"/>
      <c r="AA208" s="73">
        <f>SUM(AA209:AA214)</f>
        <v>2718091</v>
      </c>
      <c r="AB208" s="73">
        <f t="shared" si="113"/>
        <v>0</v>
      </c>
      <c r="AC208" s="73"/>
    </row>
    <row r="209" spans="2:29" s="217" customFormat="1" ht="18.600000000000001" customHeight="1" outlineLevel="1" x14ac:dyDescent="0.25">
      <c r="B209" s="217">
        <v>1010</v>
      </c>
      <c r="C209" s="215" t="s">
        <v>596</v>
      </c>
      <c r="D209" s="218" t="s">
        <v>597</v>
      </c>
      <c r="E209" s="219">
        <v>650934.06339290785</v>
      </c>
      <c r="F209" s="219">
        <f>ROUND(E209,0)</f>
        <v>650934</v>
      </c>
      <c r="G209" s="204">
        <f t="shared" si="115"/>
        <v>-6.3392907846719027E-2</v>
      </c>
      <c r="H209" s="220"/>
      <c r="I209" s="204">
        <f>ROUND(F209,0)</f>
        <v>650934</v>
      </c>
      <c r="J209" s="204">
        <f t="shared" si="125"/>
        <v>0</v>
      </c>
      <c r="K209" s="64"/>
      <c r="L209" s="204">
        <f>ROUND(I209,0)</f>
        <v>650934</v>
      </c>
      <c r="M209" s="204">
        <f t="shared" si="126"/>
        <v>0</v>
      </c>
      <c r="N209" s="64"/>
      <c r="O209" s="204">
        <f>ROUND(L209,0)-1186</f>
        <v>649748</v>
      </c>
      <c r="P209" s="204">
        <f t="shared" si="127"/>
        <v>-1186</v>
      </c>
      <c r="Q209" s="45" t="s">
        <v>598</v>
      </c>
      <c r="R209" s="204">
        <f>ROUND(O209,0)</f>
        <v>649748</v>
      </c>
      <c r="S209" s="204">
        <f t="shared" si="108"/>
        <v>0</v>
      </c>
      <c r="T209" s="45"/>
      <c r="U209" s="204">
        <f>ROUND(R209,0)</f>
        <v>649748</v>
      </c>
      <c r="V209" s="204">
        <f t="shared" si="109"/>
        <v>0</v>
      </c>
      <c r="W209" s="45"/>
      <c r="X209" s="204">
        <f>ROUND(U209,0)</f>
        <v>649748</v>
      </c>
      <c r="Y209" s="204">
        <f t="shared" si="111"/>
        <v>0</v>
      </c>
      <c r="Z209" s="45"/>
      <c r="AA209" s="204">
        <f>ROUND(X209,0)</f>
        <v>649748</v>
      </c>
      <c r="AB209" s="204">
        <f t="shared" si="113"/>
        <v>0</v>
      </c>
      <c r="AC209" s="45"/>
    </row>
    <row r="210" spans="2:29" s="217" customFormat="1" ht="55.9" customHeight="1" outlineLevel="1" x14ac:dyDescent="0.25">
      <c r="B210" s="217">
        <v>1010</v>
      </c>
      <c r="C210" s="216" t="s">
        <v>599</v>
      </c>
      <c r="D210" s="218" t="s">
        <v>600</v>
      </c>
      <c r="E210" s="219">
        <v>1598833</v>
      </c>
      <c r="F210" s="219">
        <f>ROUND(E210,0)</f>
        <v>1598833</v>
      </c>
      <c r="G210" s="204">
        <f t="shared" si="115"/>
        <v>0</v>
      </c>
      <c r="H210" s="68"/>
      <c r="I210" s="204">
        <f>ROUND(F210,0)</f>
        <v>1598833</v>
      </c>
      <c r="J210" s="204">
        <f t="shared" si="125"/>
        <v>0</v>
      </c>
      <c r="K210" s="95"/>
      <c r="L210" s="204">
        <f>ROUND(I210,0)</f>
        <v>1598833</v>
      </c>
      <c r="M210" s="204">
        <f t="shared" si="126"/>
        <v>0</v>
      </c>
      <c r="N210" s="95"/>
      <c r="O210" s="204">
        <f>ROUND(L210,0)</f>
        <v>1598833</v>
      </c>
      <c r="P210" s="204">
        <f t="shared" si="127"/>
        <v>0</v>
      </c>
      <c r="Q210" s="95"/>
      <c r="R210" s="204">
        <f>ROUND(O210,0)</f>
        <v>1598833</v>
      </c>
      <c r="S210" s="204">
        <f t="shared" si="108"/>
        <v>0</v>
      </c>
      <c r="T210" s="95"/>
      <c r="U210" s="204">
        <f>ROUND(R210,0)</f>
        <v>1598833</v>
      </c>
      <c r="V210" s="204">
        <f t="shared" si="109"/>
        <v>0</v>
      </c>
      <c r="W210" s="95" t="s">
        <v>601</v>
      </c>
      <c r="X210" s="204">
        <f>ROUND(U210,0)-35046-3822</f>
        <v>1559965</v>
      </c>
      <c r="Y210" s="204">
        <f t="shared" si="111"/>
        <v>-38868</v>
      </c>
      <c r="Z210" s="95" t="s">
        <v>602</v>
      </c>
      <c r="AA210" s="204">
        <f>ROUND(X210,0)</f>
        <v>1559965</v>
      </c>
      <c r="AB210" s="204">
        <f t="shared" si="113"/>
        <v>0</v>
      </c>
      <c r="AC210" s="95"/>
    </row>
    <row r="211" spans="2:29" s="217" customFormat="1" ht="17.45" customHeight="1" outlineLevel="1" x14ac:dyDescent="0.25">
      <c r="B211" s="217">
        <v>1010</v>
      </c>
      <c r="C211" s="216" t="s">
        <v>603</v>
      </c>
      <c r="D211" s="218" t="s">
        <v>604</v>
      </c>
      <c r="E211" s="219">
        <v>0</v>
      </c>
      <c r="F211" s="219">
        <f>ROUND(E211,0)</f>
        <v>0</v>
      </c>
      <c r="G211" s="204">
        <f t="shared" si="115"/>
        <v>0</v>
      </c>
      <c r="H211" s="94"/>
      <c r="I211" s="204">
        <f>ROUND(F211,0)</f>
        <v>0</v>
      </c>
      <c r="J211" s="204">
        <f t="shared" si="125"/>
        <v>0</v>
      </c>
      <c r="K211" s="95"/>
      <c r="L211" s="204">
        <f>ROUND(I211,0)</f>
        <v>0</v>
      </c>
      <c r="M211" s="204">
        <f t="shared" si="126"/>
        <v>0</v>
      </c>
      <c r="N211" s="95"/>
      <c r="O211" s="204">
        <f>ROUND(L211,0)</f>
        <v>0</v>
      </c>
      <c r="P211" s="204">
        <f t="shared" si="127"/>
        <v>0</v>
      </c>
      <c r="Q211" s="95"/>
      <c r="R211" s="204">
        <f>ROUND(O211,0)</f>
        <v>0</v>
      </c>
      <c r="S211" s="204">
        <f t="shared" si="108"/>
        <v>0</v>
      </c>
      <c r="T211" s="95"/>
      <c r="U211" s="204">
        <f>ROUND(R211,0)</f>
        <v>0</v>
      </c>
      <c r="V211" s="204">
        <f t="shared" si="109"/>
        <v>0</v>
      </c>
      <c r="W211" s="95"/>
      <c r="X211" s="204">
        <f>ROUND(U211,0)</f>
        <v>0</v>
      </c>
      <c r="Y211" s="204">
        <f t="shared" si="111"/>
        <v>0</v>
      </c>
      <c r="Z211" s="95"/>
      <c r="AA211" s="204">
        <f>ROUND(X211,0)</f>
        <v>0</v>
      </c>
      <c r="AB211" s="204">
        <f t="shared" si="113"/>
        <v>0</v>
      </c>
      <c r="AC211" s="95"/>
    </row>
    <row r="212" spans="2:29" s="217" customFormat="1" outlineLevel="1" x14ac:dyDescent="0.25">
      <c r="B212" s="217">
        <v>1012</v>
      </c>
      <c r="C212" s="216" t="s">
        <v>605</v>
      </c>
      <c r="D212" s="218" t="s">
        <v>606</v>
      </c>
      <c r="E212" s="219">
        <v>501000</v>
      </c>
      <c r="F212" s="219">
        <f>ROUND(E212,0)</f>
        <v>501000</v>
      </c>
      <c r="G212" s="204">
        <f t="shared" si="115"/>
        <v>0</v>
      </c>
      <c r="H212" s="220"/>
      <c r="I212" s="204">
        <f>ROUND(F212,0)</f>
        <v>501000</v>
      </c>
      <c r="J212" s="204">
        <f t="shared" si="125"/>
        <v>0</v>
      </c>
      <c r="K212" s="221"/>
      <c r="L212" s="204">
        <f>ROUND(I212,0)</f>
        <v>501000</v>
      </c>
      <c r="M212" s="204">
        <f t="shared" si="126"/>
        <v>0</v>
      </c>
      <c r="N212" s="221"/>
      <c r="O212" s="204">
        <f>ROUND(L212,0)</f>
        <v>501000</v>
      </c>
      <c r="P212" s="204">
        <f t="shared" si="127"/>
        <v>0</v>
      </c>
      <c r="Q212" s="221"/>
      <c r="R212" s="204">
        <f>ROUND(O212,0)</f>
        <v>501000</v>
      </c>
      <c r="S212" s="204">
        <f t="shared" si="108"/>
        <v>0</v>
      </c>
      <c r="T212" s="221"/>
      <c r="U212" s="204">
        <f>ROUND(R212,0)</f>
        <v>501000</v>
      </c>
      <c r="V212" s="204">
        <f t="shared" si="109"/>
        <v>0</v>
      </c>
      <c r="W212" s="221"/>
      <c r="X212" s="204">
        <f>ROUND(U212,0)</f>
        <v>501000</v>
      </c>
      <c r="Y212" s="204">
        <f t="shared" si="111"/>
        <v>0</v>
      </c>
      <c r="Z212" s="221"/>
      <c r="AA212" s="204">
        <f>ROUND(X212,0)</f>
        <v>501000</v>
      </c>
      <c r="AB212" s="204">
        <f t="shared" si="113"/>
        <v>0</v>
      </c>
      <c r="AC212" s="221"/>
    </row>
    <row r="213" spans="2:29" s="217" customFormat="1" outlineLevel="1" x14ac:dyDescent="0.25">
      <c r="C213" s="216" t="s">
        <v>607</v>
      </c>
      <c r="D213" s="218" t="s">
        <v>608</v>
      </c>
      <c r="E213" s="219"/>
      <c r="F213" s="219"/>
      <c r="G213" s="204"/>
      <c r="H213" s="220"/>
      <c r="I213" s="204"/>
      <c r="J213" s="204"/>
      <c r="K213" s="221"/>
      <c r="L213" s="204"/>
      <c r="M213" s="204"/>
      <c r="N213" s="221"/>
      <c r="O213" s="204">
        <f>1186</f>
        <v>1186</v>
      </c>
      <c r="P213" s="204">
        <f t="shared" si="127"/>
        <v>1186</v>
      </c>
      <c r="Q213" s="45" t="s">
        <v>598</v>
      </c>
      <c r="R213" s="204">
        <f>1186</f>
        <v>1186</v>
      </c>
      <c r="S213" s="204">
        <f t="shared" si="108"/>
        <v>0</v>
      </c>
      <c r="T213" s="45"/>
      <c r="U213" s="204">
        <f>1186</f>
        <v>1186</v>
      </c>
      <c r="V213" s="204">
        <f t="shared" si="109"/>
        <v>0</v>
      </c>
      <c r="W213" s="45"/>
      <c r="X213" s="204">
        <f>1186</f>
        <v>1186</v>
      </c>
      <c r="Y213" s="204">
        <f t="shared" si="111"/>
        <v>0</v>
      </c>
      <c r="Z213" s="45"/>
      <c r="AA213" s="204">
        <f>1186</f>
        <v>1186</v>
      </c>
      <c r="AB213" s="204">
        <f t="shared" si="113"/>
        <v>0</v>
      </c>
      <c r="AC213" s="45"/>
    </row>
    <row r="214" spans="2:29" s="217" customFormat="1" outlineLevel="1" x14ac:dyDescent="0.25">
      <c r="B214" s="217">
        <v>1015</v>
      </c>
      <c r="C214" s="216" t="s">
        <v>609</v>
      </c>
      <c r="D214" s="218" t="s">
        <v>610</v>
      </c>
      <c r="E214" s="219">
        <v>6220</v>
      </c>
      <c r="F214" s="219">
        <f>ROUND(E214,0)</f>
        <v>6220</v>
      </c>
      <c r="G214" s="204">
        <f t="shared" si="115"/>
        <v>0</v>
      </c>
      <c r="H214" s="220"/>
      <c r="I214" s="204">
        <f>ROUND(F214,0)</f>
        <v>6220</v>
      </c>
      <c r="J214" s="204">
        <f t="shared" si="125"/>
        <v>0</v>
      </c>
      <c r="K214" s="221"/>
      <c r="L214" s="204">
        <f>ROUND(I214,0)</f>
        <v>6220</v>
      </c>
      <c r="M214" s="204">
        <f t="shared" si="126"/>
        <v>0</v>
      </c>
      <c r="N214" s="221"/>
      <c r="O214" s="204">
        <f>ROUND(L214,0)-28</f>
        <v>6192</v>
      </c>
      <c r="P214" s="204">
        <f t="shared" si="127"/>
        <v>-28</v>
      </c>
      <c r="Q214" s="221" t="s">
        <v>611</v>
      </c>
      <c r="R214" s="204">
        <f>ROUND(O214,0)</f>
        <v>6192</v>
      </c>
      <c r="S214" s="204">
        <f t="shared" si="108"/>
        <v>0</v>
      </c>
      <c r="T214" s="221"/>
      <c r="U214" s="204">
        <f>ROUND(R214,0)</f>
        <v>6192</v>
      </c>
      <c r="V214" s="204">
        <f t="shared" si="109"/>
        <v>0</v>
      </c>
      <c r="W214" s="221"/>
      <c r="X214" s="204">
        <f>ROUND(U214,0)</f>
        <v>6192</v>
      </c>
      <c r="Y214" s="204">
        <f t="shared" si="111"/>
        <v>0</v>
      </c>
      <c r="Z214" s="221"/>
      <c r="AA214" s="204">
        <f>ROUND(X214,0)</f>
        <v>6192</v>
      </c>
      <c r="AB214" s="204">
        <f t="shared" si="113"/>
        <v>0</v>
      </c>
      <c r="AC214" s="221"/>
    </row>
    <row r="215" spans="2:29" s="155" customFormat="1" ht="19.5" customHeight="1" x14ac:dyDescent="0.25">
      <c r="C215" s="164" t="s">
        <v>127</v>
      </c>
      <c r="D215" s="165" t="s">
        <v>612</v>
      </c>
      <c r="E215" s="97">
        <v>14014</v>
      </c>
      <c r="F215" s="97">
        <f>F216+F217</f>
        <v>14244</v>
      </c>
      <c r="G215" s="73">
        <f t="shared" si="115"/>
        <v>230</v>
      </c>
      <c r="H215" s="98"/>
      <c r="I215" s="73">
        <f>I216+I217</f>
        <v>14244</v>
      </c>
      <c r="J215" s="73">
        <f t="shared" si="125"/>
        <v>0</v>
      </c>
      <c r="K215" s="99"/>
      <c r="L215" s="73">
        <f>L216+L217</f>
        <v>14244</v>
      </c>
      <c r="M215" s="73">
        <f t="shared" si="126"/>
        <v>0</v>
      </c>
      <c r="N215" s="99"/>
      <c r="O215" s="73">
        <f>O216+O217</f>
        <v>14244</v>
      </c>
      <c r="P215" s="73">
        <f t="shared" si="127"/>
        <v>0</v>
      </c>
      <c r="Q215" s="99"/>
      <c r="R215" s="73">
        <f>R216+R217</f>
        <v>14244</v>
      </c>
      <c r="S215" s="73">
        <f t="shared" si="108"/>
        <v>0</v>
      </c>
      <c r="T215" s="99"/>
      <c r="U215" s="73">
        <f>U216+U217</f>
        <v>14244</v>
      </c>
      <c r="V215" s="73">
        <f t="shared" si="109"/>
        <v>0</v>
      </c>
      <c r="W215" s="99"/>
      <c r="X215" s="73">
        <f>X216+X217</f>
        <v>14244</v>
      </c>
      <c r="Y215" s="73">
        <f t="shared" si="111"/>
        <v>0</v>
      </c>
      <c r="Z215" s="99"/>
      <c r="AA215" s="73">
        <f>AA216+AA217</f>
        <v>14244</v>
      </c>
      <c r="AB215" s="73">
        <f t="shared" si="113"/>
        <v>0</v>
      </c>
      <c r="AC215" s="99"/>
    </row>
    <row r="216" spans="2:29" s="217" customFormat="1" outlineLevel="1" x14ac:dyDescent="0.25">
      <c r="B216" s="217">
        <v>1011</v>
      </c>
      <c r="C216" s="216" t="s">
        <v>613</v>
      </c>
      <c r="D216" s="218" t="s">
        <v>614</v>
      </c>
      <c r="E216" s="219">
        <v>1407</v>
      </c>
      <c r="F216" s="219">
        <f>ROUND(E216,0)</f>
        <v>1407</v>
      </c>
      <c r="G216" s="204">
        <f t="shared" si="115"/>
        <v>0</v>
      </c>
      <c r="H216" s="220"/>
      <c r="I216" s="204">
        <f>ROUND(F216,0)</f>
        <v>1407</v>
      </c>
      <c r="J216" s="204">
        <f t="shared" si="125"/>
        <v>0</v>
      </c>
      <c r="K216" s="221"/>
      <c r="L216" s="204">
        <f>ROUND(I216,0)</f>
        <v>1407</v>
      </c>
      <c r="M216" s="204">
        <f t="shared" si="126"/>
        <v>0</v>
      </c>
      <c r="N216" s="221"/>
      <c r="O216" s="204">
        <f>ROUND(L216,0)</f>
        <v>1407</v>
      </c>
      <c r="P216" s="204">
        <f t="shared" si="127"/>
        <v>0</v>
      </c>
      <c r="Q216" s="221"/>
      <c r="R216" s="204">
        <f>ROUND(O216,0)</f>
        <v>1407</v>
      </c>
      <c r="S216" s="204">
        <f t="shared" si="108"/>
        <v>0</v>
      </c>
      <c r="T216" s="221"/>
      <c r="U216" s="204">
        <f>ROUND(R216,0)</f>
        <v>1407</v>
      </c>
      <c r="V216" s="204">
        <f t="shared" si="109"/>
        <v>0</v>
      </c>
      <c r="W216" s="221"/>
      <c r="X216" s="204">
        <f>ROUND(U216,0)</f>
        <v>1407</v>
      </c>
      <c r="Y216" s="204">
        <f t="shared" si="111"/>
        <v>0</v>
      </c>
      <c r="Z216" s="221"/>
      <c r="AA216" s="204">
        <f>ROUND(X216,0)</f>
        <v>1407</v>
      </c>
      <c r="AB216" s="204">
        <f t="shared" si="113"/>
        <v>0</v>
      </c>
      <c r="AC216" s="221"/>
    </row>
    <row r="217" spans="2:29" s="217" customFormat="1" outlineLevel="1" x14ac:dyDescent="0.25">
      <c r="B217" s="217">
        <v>1011</v>
      </c>
      <c r="C217" s="216" t="s">
        <v>615</v>
      </c>
      <c r="D217" s="218" t="s">
        <v>616</v>
      </c>
      <c r="E217" s="219">
        <v>12607</v>
      </c>
      <c r="F217" s="219">
        <f>ROUND(E217,0)+230</f>
        <v>12837</v>
      </c>
      <c r="G217" s="204">
        <f t="shared" si="115"/>
        <v>230</v>
      </c>
      <c r="H217" s="221" t="s">
        <v>1</v>
      </c>
      <c r="I217" s="204">
        <f>ROUND(F217,0)</f>
        <v>12837</v>
      </c>
      <c r="J217" s="204">
        <f t="shared" si="125"/>
        <v>0</v>
      </c>
      <c r="K217" s="221"/>
      <c r="L217" s="204">
        <f>ROUND(I217,0)</f>
        <v>12837</v>
      </c>
      <c r="M217" s="204">
        <f t="shared" si="126"/>
        <v>0</v>
      </c>
      <c r="N217" s="221"/>
      <c r="O217" s="204">
        <f>ROUND(L217,0)</f>
        <v>12837</v>
      </c>
      <c r="P217" s="204">
        <f t="shared" si="127"/>
        <v>0</v>
      </c>
      <c r="Q217" s="221"/>
      <c r="R217" s="204">
        <f>ROUND(O217,0)</f>
        <v>12837</v>
      </c>
      <c r="S217" s="204">
        <f t="shared" si="108"/>
        <v>0</v>
      </c>
      <c r="T217" s="221"/>
      <c r="U217" s="204">
        <f>ROUND(R217,0)</f>
        <v>12837</v>
      </c>
      <c r="V217" s="204">
        <f t="shared" si="109"/>
        <v>0</v>
      </c>
      <c r="W217" s="221"/>
      <c r="X217" s="204">
        <f>ROUND(U217,0)</f>
        <v>12837</v>
      </c>
      <c r="Y217" s="204">
        <f t="shared" si="111"/>
        <v>0</v>
      </c>
      <c r="Z217" s="221"/>
      <c r="AA217" s="204">
        <f>ROUND(X217,0)</f>
        <v>12837</v>
      </c>
      <c r="AB217" s="204">
        <f t="shared" si="113"/>
        <v>0</v>
      </c>
      <c r="AC217" s="221"/>
    </row>
    <row r="218" spans="2:29" s="155" customFormat="1" ht="27" customHeight="1" x14ac:dyDescent="0.25">
      <c r="C218" s="164" t="s">
        <v>129</v>
      </c>
      <c r="D218" s="165" t="s">
        <v>617</v>
      </c>
      <c r="E218" s="74">
        <v>622113.62317695003</v>
      </c>
      <c r="F218" s="74">
        <f t="shared" ref="F218:G218" si="130">SUM(F219:F222)</f>
        <v>659230</v>
      </c>
      <c r="G218" s="75">
        <f t="shared" si="130"/>
        <v>37116.376823049912</v>
      </c>
      <c r="H218" s="166"/>
      <c r="I218" s="75">
        <f>SUM(I219:I222)</f>
        <v>659230</v>
      </c>
      <c r="J218" s="75">
        <f t="shared" si="125"/>
        <v>0</v>
      </c>
      <c r="K218" s="167"/>
      <c r="L218" s="75">
        <f>SUM(L219:L222)</f>
        <v>631533</v>
      </c>
      <c r="M218" s="75">
        <f t="shared" si="126"/>
        <v>-27697</v>
      </c>
      <c r="N218" s="167"/>
      <c r="O218" s="75">
        <f>SUM(O219:O222)</f>
        <v>631533</v>
      </c>
      <c r="P218" s="75">
        <f t="shared" si="127"/>
        <v>0</v>
      </c>
      <c r="Q218" s="167"/>
      <c r="R218" s="75">
        <f>SUM(R219:R222)</f>
        <v>631533</v>
      </c>
      <c r="S218" s="75">
        <f t="shared" si="108"/>
        <v>0</v>
      </c>
      <c r="T218" s="167"/>
      <c r="U218" s="75">
        <f>SUM(U219:U222)</f>
        <v>631533</v>
      </c>
      <c r="V218" s="75">
        <f t="shared" si="109"/>
        <v>0</v>
      </c>
      <c r="W218" s="167"/>
      <c r="X218" s="75">
        <f>SUM(X219:X222)</f>
        <v>631533</v>
      </c>
      <c r="Y218" s="75">
        <f t="shared" si="111"/>
        <v>0</v>
      </c>
      <c r="Z218" s="167"/>
      <c r="AA218" s="75">
        <f>SUM(AA219:AA222)</f>
        <v>631533</v>
      </c>
      <c r="AB218" s="75">
        <f t="shared" si="113"/>
        <v>0</v>
      </c>
      <c r="AC218" s="167"/>
    </row>
    <row r="219" spans="2:29" s="155" customFormat="1" ht="15" customHeight="1" x14ac:dyDescent="0.25">
      <c r="B219" s="1" t="s">
        <v>618</v>
      </c>
      <c r="C219" s="222" t="s">
        <v>619</v>
      </c>
      <c r="D219" s="223" t="s">
        <v>620</v>
      </c>
      <c r="E219" s="42">
        <v>402246.62317695009</v>
      </c>
      <c r="F219" s="42">
        <f>ROUND(E219,0)</f>
        <v>402247</v>
      </c>
      <c r="G219" s="41">
        <f t="shared" si="115"/>
        <v>0.37682304991176352</v>
      </c>
      <c r="H219" s="43"/>
      <c r="I219" s="41">
        <f>ROUND(F219,0)</f>
        <v>402247</v>
      </c>
      <c r="J219" s="41">
        <f t="shared" si="125"/>
        <v>0</v>
      </c>
      <c r="K219" s="64"/>
      <c r="L219" s="41">
        <f>ROUND(I219,0)-27697</f>
        <v>374550</v>
      </c>
      <c r="M219" s="41">
        <f t="shared" si="126"/>
        <v>-27697</v>
      </c>
      <c r="N219" s="64" t="s">
        <v>399</v>
      </c>
      <c r="O219" s="41">
        <f>ROUND(L219,0)-3745</f>
        <v>370805</v>
      </c>
      <c r="P219" s="41">
        <f t="shared" si="127"/>
        <v>-3745</v>
      </c>
      <c r="Q219" s="45" t="s">
        <v>621</v>
      </c>
      <c r="R219" s="41">
        <f>ROUND(O219,0)</f>
        <v>370805</v>
      </c>
      <c r="S219" s="41">
        <f t="shared" si="108"/>
        <v>0</v>
      </c>
      <c r="T219" s="45"/>
      <c r="U219" s="41">
        <f>ROUND(R219,0)</f>
        <v>370805</v>
      </c>
      <c r="V219" s="41">
        <f t="shared" si="109"/>
        <v>0</v>
      </c>
      <c r="W219" s="45"/>
      <c r="X219" s="41">
        <f>ROUND(U219,0)</f>
        <v>370805</v>
      </c>
      <c r="Y219" s="41">
        <f t="shared" si="111"/>
        <v>0</v>
      </c>
      <c r="Z219" s="45"/>
      <c r="AA219" s="41">
        <f>ROUND(X219,0)</f>
        <v>370805</v>
      </c>
      <c r="AB219" s="41">
        <f t="shared" si="113"/>
        <v>0</v>
      </c>
      <c r="AC219" s="45"/>
    </row>
    <row r="220" spans="2:29" s="155" customFormat="1" ht="15" customHeight="1" x14ac:dyDescent="0.25">
      <c r="B220" s="1" t="s">
        <v>618</v>
      </c>
      <c r="C220" s="222" t="s">
        <v>622</v>
      </c>
      <c r="D220" s="223" t="s">
        <v>623</v>
      </c>
      <c r="E220" s="42"/>
      <c r="F220" s="42"/>
      <c r="G220" s="41"/>
      <c r="H220" s="43"/>
      <c r="I220" s="41"/>
      <c r="J220" s="41"/>
      <c r="K220" s="64"/>
      <c r="L220" s="41"/>
      <c r="M220" s="41"/>
      <c r="N220" s="64"/>
      <c r="O220" s="41">
        <f>3745</f>
        <v>3745</v>
      </c>
      <c r="P220" s="41">
        <f t="shared" si="127"/>
        <v>3745</v>
      </c>
      <c r="Q220" s="45" t="s">
        <v>621</v>
      </c>
      <c r="R220" s="41">
        <f>3745</f>
        <v>3745</v>
      </c>
      <c r="S220" s="41">
        <f t="shared" si="108"/>
        <v>0</v>
      </c>
      <c r="T220" s="45"/>
      <c r="U220" s="41">
        <f>3745</f>
        <v>3745</v>
      </c>
      <c r="V220" s="41">
        <f t="shared" si="109"/>
        <v>0</v>
      </c>
      <c r="W220" s="45"/>
      <c r="X220" s="41">
        <f>3745</f>
        <v>3745</v>
      </c>
      <c r="Y220" s="41">
        <f t="shared" si="111"/>
        <v>0</v>
      </c>
      <c r="Z220" s="45"/>
      <c r="AA220" s="41">
        <f>3745</f>
        <v>3745</v>
      </c>
      <c r="AB220" s="41">
        <f t="shared" si="113"/>
        <v>0</v>
      </c>
      <c r="AC220" s="45"/>
    </row>
    <row r="221" spans="2:29" s="155" customFormat="1" ht="15.75" customHeight="1" x14ac:dyDescent="0.25">
      <c r="B221" s="1" t="s">
        <v>618</v>
      </c>
      <c r="C221" s="224" t="s">
        <v>624</v>
      </c>
      <c r="D221" s="223" t="s">
        <v>625</v>
      </c>
      <c r="E221" s="42">
        <v>10250</v>
      </c>
      <c r="F221" s="42">
        <f>ROUND(E221,0)+38150</f>
        <v>48400</v>
      </c>
      <c r="G221" s="41">
        <f t="shared" si="115"/>
        <v>38150</v>
      </c>
      <c r="H221" s="44" t="s">
        <v>626</v>
      </c>
      <c r="I221" s="41">
        <f t="shared" ref="I221:I228" si="131">ROUND(F221,0)</f>
        <v>48400</v>
      </c>
      <c r="J221" s="41">
        <f t="shared" si="125"/>
        <v>0</v>
      </c>
      <c r="K221" s="44"/>
      <c r="L221" s="41">
        <f t="shared" ref="L221:L228" si="132">ROUND(I221,0)</f>
        <v>48400</v>
      </c>
      <c r="M221" s="41">
        <f t="shared" si="126"/>
        <v>0</v>
      </c>
      <c r="N221" s="44"/>
      <c r="O221" s="41">
        <f t="shared" ref="O221:O228" si="133">ROUND(L221,0)</f>
        <v>48400</v>
      </c>
      <c r="P221" s="41">
        <f t="shared" si="127"/>
        <v>0</v>
      </c>
      <c r="Q221" s="44"/>
      <c r="R221" s="41">
        <f t="shared" ref="R221:R228" si="134">ROUND(O221,0)</f>
        <v>48400</v>
      </c>
      <c r="S221" s="41">
        <f t="shared" si="108"/>
        <v>0</v>
      </c>
      <c r="T221" s="44"/>
      <c r="U221" s="41">
        <f t="shared" ref="U221:U228" si="135">ROUND(R221,0)</f>
        <v>48400</v>
      </c>
      <c r="V221" s="41">
        <f t="shared" si="109"/>
        <v>0</v>
      </c>
      <c r="W221" s="44"/>
      <c r="X221" s="41">
        <f t="shared" ref="X221:X223" si="136">ROUND(U221,0)</f>
        <v>48400</v>
      </c>
      <c r="Y221" s="41">
        <f t="shared" si="111"/>
        <v>0</v>
      </c>
      <c r="Z221" s="44"/>
      <c r="AA221" s="41">
        <f t="shared" ref="AA221:AA223" si="137">ROUND(X221,0)</f>
        <v>48400</v>
      </c>
      <c r="AB221" s="41">
        <f t="shared" si="113"/>
        <v>0</v>
      </c>
      <c r="AC221" s="44"/>
    </row>
    <row r="222" spans="2:29" s="155" customFormat="1" ht="15.6" customHeight="1" x14ac:dyDescent="0.25">
      <c r="B222" s="1" t="s">
        <v>627</v>
      </c>
      <c r="C222" s="222" t="s">
        <v>628</v>
      </c>
      <c r="D222" s="223" t="s">
        <v>629</v>
      </c>
      <c r="E222" s="42">
        <v>209617</v>
      </c>
      <c r="F222" s="42">
        <f>ROUND(E222,0)-1034</f>
        <v>208583</v>
      </c>
      <c r="G222" s="41">
        <f t="shared" si="115"/>
        <v>-1034</v>
      </c>
      <c r="H222" s="44" t="s">
        <v>1</v>
      </c>
      <c r="I222" s="41">
        <f t="shared" si="131"/>
        <v>208583</v>
      </c>
      <c r="J222" s="41">
        <f t="shared" si="125"/>
        <v>0</v>
      </c>
      <c r="K222" s="44"/>
      <c r="L222" s="41">
        <f t="shared" si="132"/>
        <v>208583</v>
      </c>
      <c r="M222" s="41">
        <f t="shared" si="126"/>
        <v>0</v>
      </c>
      <c r="N222" s="44"/>
      <c r="O222" s="41">
        <f t="shared" si="133"/>
        <v>208583</v>
      </c>
      <c r="P222" s="41">
        <f t="shared" si="127"/>
        <v>0</v>
      </c>
      <c r="Q222" s="44"/>
      <c r="R222" s="41">
        <f t="shared" si="134"/>
        <v>208583</v>
      </c>
      <c r="S222" s="41">
        <f t="shared" si="108"/>
        <v>0</v>
      </c>
      <c r="T222" s="44"/>
      <c r="U222" s="41">
        <f t="shared" si="135"/>
        <v>208583</v>
      </c>
      <c r="V222" s="41">
        <f t="shared" si="109"/>
        <v>0</v>
      </c>
      <c r="W222" s="44"/>
      <c r="X222" s="41">
        <f t="shared" si="136"/>
        <v>208583</v>
      </c>
      <c r="Y222" s="41">
        <f t="shared" si="111"/>
        <v>0</v>
      </c>
      <c r="Z222" s="44"/>
      <c r="AA222" s="41">
        <f t="shared" si="137"/>
        <v>208583</v>
      </c>
      <c r="AB222" s="41">
        <f t="shared" si="113"/>
        <v>0</v>
      </c>
      <c r="AC222" s="44"/>
    </row>
    <row r="223" spans="2:29" s="155" customFormat="1" ht="16.149999999999999" customHeight="1" x14ac:dyDescent="0.25">
      <c r="C223" s="164" t="s">
        <v>630</v>
      </c>
      <c r="D223" s="165" t="s">
        <v>631</v>
      </c>
      <c r="E223" s="97">
        <v>139599.07449700119</v>
      </c>
      <c r="F223" s="97">
        <f>ROUND(E223,0)</f>
        <v>139599</v>
      </c>
      <c r="G223" s="73">
        <f t="shared" si="115"/>
        <v>-7.4497001187410206E-2</v>
      </c>
      <c r="H223" s="166"/>
      <c r="I223" s="73">
        <f>ROUND(F223,0)</f>
        <v>139599</v>
      </c>
      <c r="J223" s="73">
        <f t="shared" si="125"/>
        <v>0</v>
      </c>
      <c r="K223" s="99"/>
      <c r="L223" s="73">
        <f t="shared" si="132"/>
        <v>139599</v>
      </c>
      <c r="M223" s="73">
        <f t="shared" si="126"/>
        <v>0</v>
      </c>
      <c r="N223" s="99"/>
      <c r="O223" s="73">
        <f t="shared" si="133"/>
        <v>139599</v>
      </c>
      <c r="P223" s="73">
        <f t="shared" si="127"/>
        <v>0</v>
      </c>
      <c r="Q223" s="99"/>
      <c r="R223" s="73">
        <f t="shared" si="134"/>
        <v>139599</v>
      </c>
      <c r="S223" s="73">
        <f t="shared" si="108"/>
        <v>0</v>
      </c>
      <c r="T223" s="99"/>
      <c r="U223" s="73">
        <f t="shared" si="135"/>
        <v>139599</v>
      </c>
      <c r="V223" s="73">
        <f t="shared" si="109"/>
        <v>0</v>
      </c>
      <c r="W223" s="99"/>
      <c r="X223" s="73">
        <f t="shared" si="136"/>
        <v>139599</v>
      </c>
      <c r="Y223" s="73">
        <f t="shared" si="111"/>
        <v>0</v>
      </c>
      <c r="Z223" s="99"/>
      <c r="AA223" s="73">
        <f t="shared" si="137"/>
        <v>139599</v>
      </c>
      <c r="AB223" s="73">
        <f t="shared" si="113"/>
        <v>0</v>
      </c>
      <c r="AC223" s="99"/>
    </row>
    <row r="224" spans="2:29" s="155" customFormat="1" ht="18.75" customHeight="1" x14ac:dyDescent="0.25">
      <c r="B224" s="1">
        <v>1016</v>
      </c>
      <c r="C224" s="164" t="s">
        <v>632</v>
      </c>
      <c r="D224" s="165" t="s">
        <v>197</v>
      </c>
      <c r="E224" s="97">
        <v>50000</v>
      </c>
      <c r="F224" s="97">
        <f>ROUND(E224,0)</f>
        <v>50000</v>
      </c>
      <c r="G224" s="73">
        <f t="shared" si="115"/>
        <v>0</v>
      </c>
      <c r="H224" s="166"/>
      <c r="I224" s="73">
        <f>ROUND(F224,0)</f>
        <v>50000</v>
      </c>
      <c r="J224" s="73">
        <f t="shared" si="125"/>
        <v>0</v>
      </c>
      <c r="K224" s="167"/>
      <c r="L224" s="73">
        <f t="shared" si="132"/>
        <v>50000</v>
      </c>
      <c r="M224" s="73">
        <f t="shared" si="126"/>
        <v>0</v>
      </c>
      <c r="N224" s="167"/>
      <c r="O224" s="73">
        <f>ROUND(L224,0)</f>
        <v>50000</v>
      </c>
      <c r="P224" s="73">
        <f t="shared" si="127"/>
        <v>0</v>
      </c>
      <c r="Q224" s="167"/>
      <c r="R224" s="73">
        <f t="shared" si="134"/>
        <v>50000</v>
      </c>
      <c r="S224" s="73">
        <f t="shared" si="108"/>
        <v>0</v>
      </c>
      <c r="T224" s="167"/>
      <c r="U224" s="73">
        <f>ROUND(R224,0)+20000</f>
        <v>70000</v>
      </c>
      <c r="V224" s="73">
        <f t="shared" si="109"/>
        <v>20000</v>
      </c>
      <c r="W224" s="99" t="s">
        <v>198</v>
      </c>
      <c r="X224" s="73">
        <f>ROUND(U224,0)</f>
        <v>70000</v>
      </c>
      <c r="Y224" s="73">
        <f t="shared" si="111"/>
        <v>0</v>
      </c>
      <c r="Z224" s="99"/>
      <c r="AA224" s="73">
        <f>ROUND(X224,0)</f>
        <v>70000</v>
      </c>
      <c r="AB224" s="73">
        <f t="shared" si="113"/>
        <v>0</v>
      </c>
      <c r="AC224" s="99"/>
    </row>
    <row r="225" spans="2:29" s="155" customFormat="1" ht="18.75" customHeight="1" x14ac:dyDescent="0.25">
      <c r="B225" s="1">
        <v>1017</v>
      </c>
      <c r="C225" s="164" t="s">
        <v>633</v>
      </c>
      <c r="D225" s="165" t="s">
        <v>200</v>
      </c>
      <c r="E225" s="97">
        <v>200000</v>
      </c>
      <c r="F225" s="97">
        <f>ROUND(E225,0)</f>
        <v>200000</v>
      </c>
      <c r="G225" s="73">
        <f t="shared" si="115"/>
        <v>0</v>
      </c>
      <c r="H225" s="166"/>
      <c r="I225" s="73">
        <f t="shared" si="131"/>
        <v>200000</v>
      </c>
      <c r="J225" s="73">
        <f t="shared" si="125"/>
        <v>0</v>
      </c>
      <c r="K225" s="167"/>
      <c r="L225" s="73">
        <f t="shared" si="132"/>
        <v>200000</v>
      </c>
      <c r="M225" s="73">
        <f t="shared" si="126"/>
        <v>0</v>
      </c>
      <c r="N225" s="167"/>
      <c r="O225" s="73">
        <f t="shared" si="133"/>
        <v>200000</v>
      </c>
      <c r="P225" s="73">
        <f t="shared" si="127"/>
        <v>0</v>
      </c>
      <c r="Q225" s="167"/>
      <c r="R225" s="73">
        <f t="shared" si="134"/>
        <v>200000</v>
      </c>
      <c r="S225" s="73">
        <f t="shared" si="108"/>
        <v>0</v>
      </c>
      <c r="T225" s="167"/>
      <c r="U225" s="73">
        <f t="shared" si="135"/>
        <v>200000</v>
      </c>
      <c r="V225" s="73">
        <f t="shared" si="109"/>
        <v>0</v>
      </c>
      <c r="W225" s="167"/>
      <c r="X225" s="73">
        <f t="shared" ref="X225:X228" si="138">ROUND(U225,0)</f>
        <v>200000</v>
      </c>
      <c r="Y225" s="73">
        <f t="shared" si="111"/>
        <v>0</v>
      </c>
      <c r="Z225" s="167"/>
      <c r="AA225" s="73">
        <f t="shared" ref="AA225:AA228" si="139">ROUND(X225,0)</f>
        <v>200000</v>
      </c>
      <c r="AB225" s="73">
        <f t="shared" si="113"/>
        <v>0</v>
      </c>
      <c r="AC225" s="167"/>
    </row>
    <row r="226" spans="2:29" s="155" customFormat="1" ht="40.15" customHeight="1" x14ac:dyDescent="0.25">
      <c r="B226" s="1">
        <v>1018</v>
      </c>
      <c r="C226" s="164" t="s">
        <v>634</v>
      </c>
      <c r="D226" s="165" t="s">
        <v>469</v>
      </c>
      <c r="E226" s="97"/>
      <c r="F226" s="97"/>
      <c r="G226" s="73"/>
      <c r="H226" s="166"/>
      <c r="I226" s="73"/>
      <c r="J226" s="73"/>
      <c r="K226" s="167"/>
      <c r="L226" s="73"/>
      <c r="M226" s="73"/>
      <c r="N226" s="167"/>
      <c r="O226" s="73">
        <v>44284</v>
      </c>
      <c r="P226" s="73">
        <f t="shared" si="127"/>
        <v>44284</v>
      </c>
      <c r="Q226" s="99" t="s">
        <v>635</v>
      </c>
      <c r="R226" s="73">
        <f t="shared" si="134"/>
        <v>44284</v>
      </c>
      <c r="S226" s="73">
        <f t="shared" si="108"/>
        <v>0</v>
      </c>
      <c r="T226" s="99"/>
      <c r="U226" s="73">
        <f t="shared" si="135"/>
        <v>44284</v>
      </c>
      <c r="V226" s="73">
        <f t="shared" si="109"/>
        <v>0</v>
      </c>
      <c r="W226" s="99"/>
      <c r="X226" s="73">
        <f t="shared" si="138"/>
        <v>44284</v>
      </c>
      <c r="Y226" s="73">
        <f t="shared" si="111"/>
        <v>0</v>
      </c>
      <c r="Z226" s="99"/>
      <c r="AA226" s="73">
        <f t="shared" si="139"/>
        <v>44284</v>
      </c>
      <c r="AB226" s="73">
        <f t="shared" si="113"/>
        <v>0</v>
      </c>
      <c r="AC226" s="99"/>
    </row>
    <row r="227" spans="2:29" ht="40.9" customHeight="1" x14ac:dyDescent="0.25">
      <c r="B227" s="1" t="s">
        <v>636</v>
      </c>
      <c r="C227" s="164" t="s">
        <v>637</v>
      </c>
      <c r="D227" s="165" t="s">
        <v>638</v>
      </c>
      <c r="E227" s="97">
        <v>10226</v>
      </c>
      <c r="F227" s="97">
        <f>ROUND(E227,0)</f>
        <v>10226</v>
      </c>
      <c r="G227" s="73">
        <f>F227-E227</f>
        <v>0</v>
      </c>
      <c r="H227" s="166"/>
      <c r="I227" s="41">
        <f t="shared" si="131"/>
        <v>10226</v>
      </c>
      <c r="J227" s="41">
        <f t="shared" si="125"/>
        <v>0</v>
      </c>
      <c r="K227" s="64"/>
      <c r="L227" s="41">
        <f t="shared" si="132"/>
        <v>10226</v>
      </c>
      <c r="M227" s="41">
        <f t="shared" si="126"/>
        <v>0</v>
      </c>
      <c r="N227" s="64"/>
      <c r="O227" s="41">
        <f t="shared" si="133"/>
        <v>10226</v>
      </c>
      <c r="P227" s="41">
        <f t="shared" si="127"/>
        <v>0</v>
      </c>
      <c r="Q227" s="64"/>
      <c r="R227" s="41">
        <f t="shared" si="134"/>
        <v>10226</v>
      </c>
      <c r="S227" s="41">
        <f t="shared" si="108"/>
        <v>0</v>
      </c>
      <c r="T227" s="64"/>
      <c r="U227" s="41">
        <f t="shared" si="135"/>
        <v>10226</v>
      </c>
      <c r="V227" s="41">
        <f t="shared" si="109"/>
        <v>0</v>
      </c>
      <c r="W227" s="64"/>
      <c r="X227" s="41">
        <f t="shared" si="138"/>
        <v>10226</v>
      </c>
      <c r="Y227" s="41">
        <f t="shared" si="111"/>
        <v>0</v>
      </c>
      <c r="Z227" s="64"/>
      <c r="AA227" s="41">
        <f t="shared" si="139"/>
        <v>10226</v>
      </c>
      <c r="AB227" s="41">
        <f t="shared" si="113"/>
        <v>0</v>
      </c>
      <c r="AC227" s="64"/>
    </row>
    <row r="228" spans="2:29" ht="44.45" customHeight="1" x14ac:dyDescent="0.25">
      <c r="B228" s="1" t="s">
        <v>639</v>
      </c>
      <c r="C228" s="164" t="s">
        <v>640</v>
      </c>
      <c r="D228" s="165" t="s">
        <v>641</v>
      </c>
      <c r="E228" s="97">
        <v>4086</v>
      </c>
      <c r="F228" s="97">
        <f>ROUND(E228,0)</f>
        <v>4086</v>
      </c>
      <c r="G228" s="73">
        <f>F228-E228</f>
        <v>0</v>
      </c>
      <c r="H228" s="166"/>
      <c r="I228" s="41">
        <f t="shared" si="131"/>
        <v>4086</v>
      </c>
      <c r="J228" s="41">
        <f t="shared" si="125"/>
        <v>0</v>
      </c>
      <c r="K228" s="64"/>
      <c r="L228" s="41">
        <f t="shared" si="132"/>
        <v>4086</v>
      </c>
      <c r="M228" s="41">
        <f t="shared" si="126"/>
        <v>0</v>
      </c>
      <c r="N228" s="64"/>
      <c r="O228" s="41">
        <f t="shared" si="133"/>
        <v>4086</v>
      </c>
      <c r="P228" s="41">
        <f t="shared" si="127"/>
        <v>0</v>
      </c>
      <c r="Q228" s="64"/>
      <c r="R228" s="41">
        <f t="shared" si="134"/>
        <v>4086</v>
      </c>
      <c r="S228" s="41">
        <f t="shared" si="108"/>
        <v>0</v>
      </c>
      <c r="T228" s="64"/>
      <c r="U228" s="41">
        <f t="shared" si="135"/>
        <v>4086</v>
      </c>
      <c r="V228" s="41">
        <f t="shared" si="109"/>
        <v>0</v>
      </c>
      <c r="W228" s="64"/>
      <c r="X228" s="41">
        <f t="shared" si="138"/>
        <v>4086</v>
      </c>
      <c r="Y228" s="41">
        <f t="shared" si="111"/>
        <v>0</v>
      </c>
      <c r="Z228" s="64"/>
      <c r="AA228" s="41">
        <f t="shared" si="139"/>
        <v>4086</v>
      </c>
      <c r="AB228" s="41">
        <f t="shared" si="113"/>
        <v>0</v>
      </c>
      <c r="AC228" s="64"/>
    </row>
    <row r="229" spans="2:29" x14ac:dyDescent="0.25">
      <c r="C229" s="169" t="s">
        <v>132</v>
      </c>
      <c r="D229" s="170" t="s">
        <v>642</v>
      </c>
      <c r="E229" s="49">
        <v>24609695.260866992</v>
      </c>
      <c r="F229" s="49">
        <f t="shared" ref="F229" si="140">F230+F231+F235+F239+F243+F247+F251+F262+F263+F281+F284+F287+F288+F289+F290+F291+F292+F293</f>
        <v>25093873</v>
      </c>
      <c r="G229" s="48">
        <f>F229-E229</f>
        <v>484177.73913300782</v>
      </c>
      <c r="H229" s="52"/>
      <c r="I229" s="48">
        <f>I230+I231+I235+I239+I243+I247+I251+I262+I263+I281+I284+I287+I288+I289+I290+I291+I292+I293</f>
        <v>25311613</v>
      </c>
      <c r="J229" s="48">
        <f t="shared" si="125"/>
        <v>217740</v>
      </c>
      <c r="K229" s="48"/>
      <c r="L229" s="48">
        <f>L230+L231+L235+L239+L243+L247+L251+L262+L263+L281+L284+L287+L288+L289+L290+L291+L292+L293</f>
        <v>25298401</v>
      </c>
      <c r="M229" s="48">
        <f t="shared" si="126"/>
        <v>-13212</v>
      </c>
      <c r="N229" s="48"/>
      <c r="O229" s="48">
        <f>O230+O231+O235+O239+O243+O247+O251+O262+O263+O281+O284+O287+O288+O289+O290+O291+O292+O293</f>
        <v>25291772</v>
      </c>
      <c r="P229" s="48">
        <f t="shared" si="127"/>
        <v>-6629</v>
      </c>
      <c r="Q229" s="48"/>
      <c r="R229" s="48">
        <f>R230+R231+R235+R239+R243+R247+R251+R262+R263+R281+R284+R287+R288+R289+R290+R291+R292+R293</f>
        <v>25713889</v>
      </c>
      <c r="S229" s="48">
        <f t="shared" si="108"/>
        <v>422117</v>
      </c>
      <c r="T229" s="48"/>
      <c r="U229" s="48">
        <f>U230+U231+U235+U239+U243+U247+U251+U262+U263+U281+U284+U287+U288+U289+U290+U291+U292+U293</f>
        <v>25861417</v>
      </c>
      <c r="V229" s="48">
        <f t="shared" si="109"/>
        <v>147528</v>
      </c>
      <c r="W229" s="48"/>
      <c r="X229" s="48">
        <f>X230+X231+X235+X239+X243+X247+X251+X262+X263+X281+X284+X287+X288+X289+X290+X291+X292+X293</f>
        <v>26012585</v>
      </c>
      <c r="Y229" s="48">
        <f t="shared" si="111"/>
        <v>151168</v>
      </c>
      <c r="Z229" s="48"/>
      <c r="AA229" s="48">
        <f>AA230+AA231+AA235+AA239+AA243+AA247+AA251+AA262+AA263+AA281+AA284+AA287+AA288+AA289+AA290+AA291+AA292+AA293</f>
        <v>26012585</v>
      </c>
      <c r="AB229" s="48">
        <f t="shared" si="113"/>
        <v>0</v>
      </c>
      <c r="AC229" s="48"/>
    </row>
    <row r="230" spans="2:29" ht="27.6" customHeight="1" x14ac:dyDescent="0.25">
      <c r="B230" s="225" t="s">
        <v>643</v>
      </c>
      <c r="C230" s="164" t="s">
        <v>644</v>
      </c>
      <c r="D230" s="176" t="s">
        <v>645</v>
      </c>
      <c r="E230" s="97">
        <v>750000</v>
      </c>
      <c r="F230" s="97">
        <f>ROUND(E230,0)</f>
        <v>750000</v>
      </c>
      <c r="G230" s="73">
        <f t="shared" si="115"/>
        <v>0</v>
      </c>
      <c r="H230" s="98"/>
      <c r="I230" s="73">
        <f>ROUND(F230,0)</f>
        <v>750000</v>
      </c>
      <c r="J230" s="73">
        <f t="shared" si="125"/>
        <v>0</v>
      </c>
      <c r="K230" s="99"/>
      <c r="L230" s="73">
        <f>ROUND(I230,0)</f>
        <v>750000</v>
      </c>
      <c r="M230" s="73">
        <f t="shared" si="126"/>
        <v>0</v>
      </c>
      <c r="N230" s="99"/>
      <c r="O230" s="73">
        <f>ROUND(L230,0)</f>
        <v>750000</v>
      </c>
      <c r="P230" s="73">
        <f t="shared" si="127"/>
        <v>0</v>
      </c>
      <c r="Q230" s="99"/>
      <c r="R230" s="73">
        <f>ROUND(O230,0)+80000+70000</f>
        <v>900000</v>
      </c>
      <c r="S230" s="73">
        <f t="shared" si="108"/>
        <v>150000</v>
      </c>
      <c r="T230" s="99" t="s">
        <v>305</v>
      </c>
      <c r="U230" s="73">
        <f>ROUND(R230,0)</f>
        <v>900000</v>
      </c>
      <c r="V230" s="73">
        <f t="shared" si="109"/>
        <v>0</v>
      </c>
      <c r="W230" s="99"/>
      <c r="X230" s="73">
        <f>ROUND(U230,0)</f>
        <v>900000</v>
      </c>
      <c r="Y230" s="73">
        <f t="shared" si="111"/>
        <v>0</v>
      </c>
      <c r="Z230" s="99"/>
      <c r="AA230" s="73">
        <f>ROUND(X230,0)</f>
        <v>900000</v>
      </c>
      <c r="AB230" s="73">
        <f t="shared" si="113"/>
        <v>0</v>
      </c>
      <c r="AC230" s="99"/>
    </row>
    <row r="231" spans="2:29" ht="17.45" customHeight="1" x14ac:dyDescent="0.25">
      <c r="C231" s="164" t="s">
        <v>646</v>
      </c>
      <c r="D231" s="176" t="s">
        <v>647</v>
      </c>
      <c r="E231" s="97">
        <v>2321467.5649073655</v>
      </c>
      <c r="F231" s="97">
        <f t="shared" ref="F231" si="141">SUM(F232:F234)</f>
        <v>2327886</v>
      </c>
      <c r="G231" s="73">
        <f t="shared" si="115"/>
        <v>6418.4350926345214</v>
      </c>
      <c r="H231" s="166"/>
      <c r="I231" s="73">
        <f>SUM(I232:I234)</f>
        <v>2335378</v>
      </c>
      <c r="J231" s="73">
        <f t="shared" si="125"/>
        <v>7492</v>
      </c>
      <c r="K231" s="167"/>
      <c r="L231" s="73">
        <f>SUM(L232:L234)</f>
        <v>2312869</v>
      </c>
      <c r="M231" s="73">
        <f t="shared" si="126"/>
        <v>-22509</v>
      </c>
      <c r="N231" s="167"/>
      <c r="O231" s="73">
        <f>SUM(O232:O234)</f>
        <v>2312869</v>
      </c>
      <c r="P231" s="73">
        <f t="shared" si="127"/>
        <v>0</v>
      </c>
      <c r="Q231" s="167"/>
      <c r="R231" s="73">
        <f>SUM(R232:R234)</f>
        <v>2315847</v>
      </c>
      <c r="S231" s="73">
        <f t="shared" si="108"/>
        <v>2978</v>
      </c>
      <c r="T231" s="167"/>
      <c r="U231" s="73">
        <f>SUM(U232:U234)</f>
        <v>2299371</v>
      </c>
      <c r="V231" s="73">
        <f t="shared" si="109"/>
        <v>-16476</v>
      </c>
      <c r="W231" s="167"/>
      <c r="X231" s="73">
        <f>SUM(X232:X234)</f>
        <v>2299371</v>
      </c>
      <c r="Y231" s="73">
        <f t="shared" si="111"/>
        <v>0</v>
      </c>
      <c r="Z231" s="167"/>
      <c r="AA231" s="73">
        <f>SUM(AA232:AA234)</f>
        <v>2299371</v>
      </c>
      <c r="AB231" s="73">
        <f t="shared" si="113"/>
        <v>0</v>
      </c>
      <c r="AC231" s="167"/>
    </row>
    <row r="232" spans="2:29" ht="31.15" customHeight="1" x14ac:dyDescent="0.25">
      <c r="B232" s="90" t="s">
        <v>648</v>
      </c>
      <c r="C232" s="172" t="s">
        <v>649</v>
      </c>
      <c r="D232" s="137" t="s">
        <v>650</v>
      </c>
      <c r="E232" s="227">
        <v>413462</v>
      </c>
      <c r="F232" s="227">
        <f>ROUND(E232,0)+399+324</f>
        <v>414185</v>
      </c>
      <c r="G232" s="226">
        <f t="shared" si="115"/>
        <v>723</v>
      </c>
      <c r="H232" s="45" t="s">
        <v>651</v>
      </c>
      <c r="I232" s="226">
        <f>ROUND(F232,0)+7380+112</f>
        <v>421677</v>
      </c>
      <c r="J232" s="226">
        <f t="shared" si="125"/>
        <v>7492</v>
      </c>
      <c r="K232" s="45" t="s">
        <v>652</v>
      </c>
      <c r="L232" s="226">
        <f>ROUND(I232,0)</f>
        <v>421677</v>
      </c>
      <c r="M232" s="226">
        <f t="shared" si="126"/>
        <v>0</v>
      </c>
      <c r="N232" s="45"/>
      <c r="O232" s="226">
        <f>ROUND(L232,0)</f>
        <v>421677</v>
      </c>
      <c r="P232" s="226">
        <f t="shared" si="127"/>
        <v>0</v>
      </c>
      <c r="Q232" s="45"/>
      <c r="R232" s="226">
        <f>ROUND(O232,0)</f>
        <v>421677</v>
      </c>
      <c r="S232" s="226">
        <f t="shared" si="108"/>
        <v>0</v>
      </c>
      <c r="T232" s="45"/>
      <c r="U232" s="226">
        <f>ROUND(R232,0)-18775-2065</f>
        <v>400837</v>
      </c>
      <c r="V232" s="226">
        <f t="shared" si="109"/>
        <v>-20840</v>
      </c>
      <c r="W232" s="45" t="s">
        <v>145</v>
      </c>
      <c r="X232" s="226">
        <f>ROUND(U232,0)</f>
        <v>400837</v>
      </c>
      <c r="Y232" s="226">
        <f t="shared" si="111"/>
        <v>0</v>
      </c>
      <c r="Z232" s="45"/>
      <c r="AA232" s="226">
        <f>ROUND(X232,0)</f>
        <v>400837</v>
      </c>
      <c r="AB232" s="226">
        <f t="shared" si="113"/>
        <v>0</v>
      </c>
      <c r="AC232" s="45"/>
    </row>
    <row r="233" spans="2:29" ht="17.25" customHeight="1" x14ac:dyDescent="0.25">
      <c r="B233" s="90" t="s">
        <v>653</v>
      </c>
      <c r="C233" s="172" t="s">
        <v>654</v>
      </c>
      <c r="D233" s="137" t="s">
        <v>655</v>
      </c>
      <c r="E233" s="227">
        <v>1908005.5649073652</v>
      </c>
      <c r="F233" s="227">
        <f>ROUND(E233,0)-160317+5695</f>
        <v>1753384</v>
      </c>
      <c r="G233" s="226">
        <f t="shared" si="115"/>
        <v>-154621.56490736525</v>
      </c>
      <c r="H233" s="45" t="s">
        <v>656</v>
      </c>
      <c r="I233" s="226">
        <f>ROUND(F233,0)-145959</f>
        <v>1607425</v>
      </c>
      <c r="J233" s="226">
        <f t="shared" si="125"/>
        <v>-145959</v>
      </c>
      <c r="K233" s="45" t="s">
        <v>657</v>
      </c>
      <c r="L233" s="226">
        <f>ROUND(I233,0)-22509</f>
        <v>1584916</v>
      </c>
      <c r="M233" s="226">
        <f t="shared" si="126"/>
        <v>-22509</v>
      </c>
      <c r="N233" s="45" t="s">
        <v>399</v>
      </c>
      <c r="O233" s="226">
        <f>ROUND(L233,0)-7811</f>
        <v>1577105</v>
      </c>
      <c r="P233" s="226">
        <f t="shared" si="127"/>
        <v>-7811</v>
      </c>
      <c r="Q233" s="45" t="s">
        <v>658</v>
      </c>
      <c r="R233" s="226">
        <f>ROUND(O233,0)</f>
        <v>1577105</v>
      </c>
      <c r="S233" s="226">
        <f t="shared" si="108"/>
        <v>0</v>
      </c>
      <c r="T233" s="45"/>
      <c r="U233" s="226">
        <f>ROUND(R233,0)+10721-2109</f>
        <v>1585717</v>
      </c>
      <c r="V233" s="226">
        <f t="shared" si="109"/>
        <v>8612</v>
      </c>
      <c r="W233" s="174" t="s">
        <v>659</v>
      </c>
      <c r="X233" s="226">
        <f>ROUND(U233,0)</f>
        <v>1585717</v>
      </c>
      <c r="Y233" s="226">
        <f t="shared" si="111"/>
        <v>0</v>
      </c>
      <c r="Z233" s="228"/>
      <c r="AA233" s="226">
        <f>ROUND(X233,0)</f>
        <v>1585717</v>
      </c>
      <c r="AB233" s="226">
        <f t="shared" si="113"/>
        <v>0</v>
      </c>
      <c r="AC233" s="228"/>
    </row>
    <row r="234" spans="2:29" ht="18" customHeight="1" x14ac:dyDescent="0.25">
      <c r="B234" s="90"/>
      <c r="C234" s="172" t="s">
        <v>660</v>
      </c>
      <c r="D234" s="137" t="s">
        <v>661</v>
      </c>
      <c r="E234" s="227"/>
      <c r="F234" s="227">
        <v>160317</v>
      </c>
      <c r="G234" s="226">
        <f t="shared" si="115"/>
        <v>160317</v>
      </c>
      <c r="H234" s="229"/>
      <c r="I234" s="226">
        <f>ROUND(F234,0)+145959</f>
        <v>306276</v>
      </c>
      <c r="J234" s="226">
        <f>I234-F234</f>
        <v>145959</v>
      </c>
      <c r="K234" s="45" t="s">
        <v>657</v>
      </c>
      <c r="L234" s="226">
        <f>ROUND(I234,0)</f>
        <v>306276</v>
      </c>
      <c r="M234" s="226">
        <f t="shared" si="126"/>
        <v>0</v>
      </c>
      <c r="N234" s="45"/>
      <c r="O234" s="226">
        <f>ROUND(L234,0)+7811</f>
        <v>314087</v>
      </c>
      <c r="P234" s="226">
        <f t="shared" si="127"/>
        <v>7811</v>
      </c>
      <c r="Q234" s="45" t="s">
        <v>658</v>
      </c>
      <c r="R234" s="226">
        <f>ROUND(O234,0)+2978</f>
        <v>317065</v>
      </c>
      <c r="S234" s="226">
        <f t="shared" si="108"/>
        <v>2978</v>
      </c>
      <c r="T234" s="45" t="s">
        <v>662</v>
      </c>
      <c r="U234" s="226">
        <f>ROUND(R234,0)-10721+2109+4364</f>
        <v>312817</v>
      </c>
      <c r="V234" s="226">
        <f t="shared" si="109"/>
        <v>-4248</v>
      </c>
      <c r="W234" s="175"/>
      <c r="X234" s="226">
        <f>ROUND(U234,0)</f>
        <v>312817</v>
      </c>
      <c r="Y234" s="226">
        <f t="shared" si="111"/>
        <v>0</v>
      </c>
      <c r="Z234" s="206"/>
      <c r="AA234" s="226">
        <f>ROUND(X234,0)</f>
        <v>312817</v>
      </c>
      <c r="AB234" s="226">
        <f t="shared" si="113"/>
        <v>0</v>
      </c>
      <c r="AC234" s="206"/>
    </row>
    <row r="235" spans="2:29" ht="18" customHeight="1" x14ac:dyDescent="0.25">
      <c r="C235" s="164" t="s">
        <v>663</v>
      </c>
      <c r="D235" s="176" t="s">
        <v>664</v>
      </c>
      <c r="E235" s="97">
        <v>1447835.9786112006</v>
      </c>
      <c r="F235" s="97">
        <f t="shared" ref="F235" si="142">F236+F237+F238</f>
        <v>1429177</v>
      </c>
      <c r="G235" s="73">
        <f t="shared" si="115"/>
        <v>-18658.978611200582</v>
      </c>
      <c r="H235" s="166"/>
      <c r="I235" s="73">
        <f>I236+I237+I238</f>
        <v>1432166</v>
      </c>
      <c r="J235" s="73">
        <f t="shared" si="125"/>
        <v>2989</v>
      </c>
      <c r="K235" s="167"/>
      <c r="L235" s="73">
        <f>L236+L237+L238</f>
        <v>1426182</v>
      </c>
      <c r="M235" s="73">
        <f t="shared" si="126"/>
        <v>-5984</v>
      </c>
      <c r="N235" s="167"/>
      <c r="O235" s="73">
        <f>O236+O237+O238</f>
        <v>1426182</v>
      </c>
      <c r="P235" s="73">
        <f t="shared" si="127"/>
        <v>0</v>
      </c>
      <c r="Q235" s="167"/>
      <c r="R235" s="73">
        <f>R236+R237+R238</f>
        <v>1430782</v>
      </c>
      <c r="S235" s="73">
        <f t="shared" si="108"/>
        <v>4600</v>
      </c>
      <c r="T235" s="167"/>
      <c r="U235" s="73">
        <f>U236+U237+U238</f>
        <v>1425343</v>
      </c>
      <c r="V235" s="73">
        <f t="shared" si="109"/>
        <v>-5439</v>
      </c>
      <c r="W235" s="167"/>
      <c r="X235" s="73">
        <f>X236+X237+X238</f>
        <v>1425343</v>
      </c>
      <c r="Y235" s="73">
        <f t="shared" si="111"/>
        <v>0</v>
      </c>
      <c r="Z235" s="167"/>
      <c r="AA235" s="73">
        <f>AA236+AA237+AA238</f>
        <v>1425343</v>
      </c>
      <c r="AB235" s="73">
        <f t="shared" si="113"/>
        <v>0</v>
      </c>
      <c r="AC235" s="167"/>
    </row>
    <row r="236" spans="2:29" ht="27.6" customHeight="1" x14ac:dyDescent="0.25">
      <c r="B236" s="90" t="s">
        <v>665</v>
      </c>
      <c r="C236" s="172" t="s">
        <v>666</v>
      </c>
      <c r="D236" s="137" t="s">
        <v>650</v>
      </c>
      <c r="E236" s="42">
        <v>158733</v>
      </c>
      <c r="F236" s="42">
        <f>ROUND(E236,0)+525</f>
        <v>159258</v>
      </c>
      <c r="G236" s="41">
        <f t="shared" si="115"/>
        <v>525</v>
      </c>
      <c r="H236" s="45" t="s">
        <v>651</v>
      </c>
      <c r="I236" s="41">
        <f>ROUND(F236,0)+2989</f>
        <v>162247</v>
      </c>
      <c r="J236" s="41">
        <f t="shared" si="125"/>
        <v>2989</v>
      </c>
      <c r="K236" s="45" t="s">
        <v>652</v>
      </c>
      <c r="L236" s="41">
        <f>ROUND(I236,0)</f>
        <v>162247</v>
      </c>
      <c r="M236" s="41">
        <f t="shared" si="126"/>
        <v>0</v>
      </c>
      <c r="N236" s="45"/>
      <c r="O236" s="41">
        <f>ROUND(L236,0)</f>
        <v>162247</v>
      </c>
      <c r="P236" s="41">
        <f t="shared" si="127"/>
        <v>0</v>
      </c>
      <c r="Q236" s="45"/>
      <c r="R236" s="41">
        <f>ROUND(O236,0)</f>
        <v>162247</v>
      </c>
      <c r="S236" s="41">
        <f t="shared" si="108"/>
        <v>0</v>
      </c>
      <c r="T236" s="45"/>
      <c r="U236" s="41">
        <f>ROUND(R236,0)-5439</f>
        <v>156808</v>
      </c>
      <c r="V236" s="41">
        <f t="shared" si="109"/>
        <v>-5439</v>
      </c>
      <c r="W236" s="45" t="s">
        <v>145</v>
      </c>
      <c r="X236" s="41">
        <f>ROUND(U236,0)</f>
        <v>156808</v>
      </c>
      <c r="Y236" s="41">
        <f t="shared" si="111"/>
        <v>0</v>
      </c>
      <c r="Z236" s="45"/>
      <c r="AA236" s="41">
        <f>ROUND(X236,0)</f>
        <v>156808</v>
      </c>
      <c r="AB236" s="41">
        <f t="shared" si="113"/>
        <v>0</v>
      </c>
      <c r="AC236" s="45"/>
    </row>
    <row r="237" spans="2:29" ht="13.5" customHeight="1" x14ac:dyDescent="0.25">
      <c r="B237" s="90" t="s">
        <v>667</v>
      </c>
      <c r="C237" s="172" t="s">
        <v>668</v>
      </c>
      <c r="D237" s="137" t="s">
        <v>655</v>
      </c>
      <c r="E237" s="42">
        <v>1289102.9786112006</v>
      </c>
      <c r="F237" s="42">
        <f>ROUND(E237,0)-119772-19184</f>
        <v>1150147</v>
      </c>
      <c r="G237" s="41">
        <f t="shared" si="115"/>
        <v>-138955.97861120058</v>
      </c>
      <c r="H237" s="45" t="s">
        <v>656</v>
      </c>
      <c r="I237" s="41">
        <f>ROUND(F237,0)-64977</f>
        <v>1085170</v>
      </c>
      <c r="J237" s="41">
        <f t="shared" si="125"/>
        <v>-64977</v>
      </c>
      <c r="K237" s="45" t="s">
        <v>669</v>
      </c>
      <c r="L237" s="41">
        <f>ROUND(I237,0)-3036</f>
        <v>1082134</v>
      </c>
      <c r="M237" s="41">
        <f t="shared" si="126"/>
        <v>-3036</v>
      </c>
      <c r="N237" s="45" t="s">
        <v>399</v>
      </c>
      <c r="O237" s="41">
        <f>ROUND(L237,0)</f>
        <v>1082134</v>
      </c>
      <c r="P237" s="41">
        <f t="shared" si="127"/>
        <v>0</v>
      </c>
      <c r="Q237" s="45"/>
      <c r="R237" s="41">
        <f>ROUND(O237,0)</f>
        <v>1082134</v>
      </c>
      <c r="S237" s="41">
        <f t="shared" si="108"/>
        <v>0</v>
      </c>
      <c r="T237" s="45"/>
      <c r="U237" s="41">
        <f>ROUND(R237,0)-7000</f>
        <v>1075134</v>
      </c>
      <c r="V237" s="41">
        <f t="shared" si="109"/>
        <v>-7000</v>
      </c>
      <c r="W237" s="45" t="s">
        <v>670</v>
      </c>
      <c r="X237" s="41">
        <f>ROUND(U237,0)</f>
        <v>1075134</v>
      </c>
      <c r="Y237" s="41">
        <f t="shared" si="111"/>
        <v>0</v>
      </c>
      <c r="Z237" s="45"/>
      <c r="AA237" s="41">
        <f>ROUND(X237,0)</f>
        <v>1075134</v>
      </c>
      <c r="AB237" s="41">
        <f t="shared" si="113"/>
        <v>0</v>
      </c>
      <c r="AC237" s="45"/>
    </row>
    <row r="238" spans="2:29" ht="16.899999999999999" customHeight="1" x14ac:dyDescent="0.25">
      <c r="B238" s="90"/>
      <c r="C238" s="172" t="s">
        <v>671</v>
      </c>
      <c r="D238" s="137" t="s">
        <v>661</v>
      </c>
      <c r="E238" s="42"/>
      <c r="F238" s="42">
        <v>119772</v>
      </c>
      <c r="G238" s="41">
        <f t="shared" si="115"/>
        <v>119772</v>
      </c>
      <c r="H238" s="68"/>
      <c r="I238" s="41">
        <f>ROUND(F238,0)+64977</f>
        <v>184749</v>
      </c>
      <c r="J238" s="41">
        <f>I238-F238</f>
        <v>64977</v>
      </c>
      <c r="K238" s="45" t="s">
        <v>669</v>
      </c>
      <c r="L238" s="41">
        <f>ROUND(I238,0)-2948</f>
        <v>181801</v>
      </c>
      <c r="M238" s="41">
        <f t="shared" si="126"/>
        <v>-2948</v>
      </c>
      <c r="N238" s="45" t="s">
        <v>399</v>
      </c>
      <c r="O238" s="41">
        <f>ROUND(L238,0)</f>
        <v>181801</v>
      </c>
      <c r="P238" s="41">
        <f>O238-L238</f>
        <v>0</v>
      </c>
      <c r="Q238" s="45"/>
      <c r="R238" s="41">
        <f>ROUND(O238,0)+4600</f>
        <v>186401</v>
      </c>
      <c r="S238" s="41">
        <f t="shared" si="108"/>
        <v>4600</v>
      </c>
      <c r="T238" s="45" t="s">
        <v>672</v>
      </c>
      <c r="U238" s="41">
        <f>ROUND(R238,0)+7000</f>
        <v>193401</v>
      </c>
      <c r="V238" s="41">
        <f t="shared" si="109"/>
        <v>7000</v>
      </c>
      <c r="W238" s="45"/>
      <c r="X238" s="41">
        <f>ROUND(U238,0)</f>
        <v>193401</v>
      </c>
      <c r="Y238" s="41">
        <f t="shared" si="111"/>
        <v>0</v>
      </c>
      <c r="Z238" s="45"/>
      <c r="AA238" s="41">
        <f>ROUND(X238,0)</f>
        <v>193401</v>
      </c>
      <c r="AB238" s="41">
        <f t="shared" si="113"/>
        <v>0</v>
      </c>
      <c r="AC238" s="45"/>
    </row>
    <row r="239" spans="2:29" ht="27.6" customHeight="1" x14ac:dyDescent="0.25">
      <c r="C239" s="230" t="s">
        <v>673</v>
      </c>
      <c r="D239" s="176" t="s">
        <v>674</v>
      </c>
      <c r="E239" s="97">
        <v>1594129.4529886562</v>
      </c>
      <c r="F239" s="97">
        <f>F240+F241+F242</f>
        <v>1595142</v>
      </c>
      <c r="G239" s="73">
        <f t="shared" si="115"/>
        <v>1012.5470113437623</v>
      </c>
      <c r="H239" s="166"/>
      <c r="I239" s="73">
        <f>I240+I241+I242</f>
        <v>1599680</v>
      </c>
      <c r="J239" s="73">
        <f t="shared" si="125"/>
        <v>4538</v>
      </c>
      <c r="K239" s="167"/>
      <c r="L239" s="73">
        <f>L240+L241+L242</f>
        <v>1599680</v>
      </c>
      <c r="M239" s="73">
        <f t="shared" si="126"/>
        <v>0</v>
      </c>
      <c r="N239" s="167"/>
      <c r="O239" s="73">
        <f>O240+O241+O242</f>
        <v>1602830</v>
      </c>
      <c r="P239" s="73">
        <f t="shared" si="127"/>
        <v>3150</v>
      </c>
      <c r="Q239" s="167"/>
      <c r="R239" s="73">
        <f>R240+R241+R242</f>
        <v>1614666</v>
      </c>
      <c r="S239" s="73">
        <f t="shared" si="108"/>
        <v>11836</v>
      </c>
      <c r="T239" s="167"/>
      <c r="U239" s="73">
        <f>U240+U241+U242</f>
        <v>1599521</v>
      </c>
      <c r="V239" s="73">
        <f t="shared" si="109"/>
        <v>-15145</v>
      </c>
      <c r="W239" s="167"/>
      <c r="X239" s="73">
        <f>X240+X241+X242</f>
        <v>1599521</v>
      </c>
      <c r="Y239" s="73">
        <f t="shared" si="111"/>
        <v>0</v>
      </c>
      <c r="Z239" s="167"/>
      <c r="AA239" s="73">
        <f>AA240+AA241+AA242</f>
        <v>1599521</v>
      </c>
      <c r="AB239" s="73">
        <f t="shared" si="113"/>
        <v>0</v>
      </c>
      <c r="AC239" s="167"/>
    </row>
    <row r="240" spans="2:29" ht="13.5" customHeight="1" x14ac:dyDescent="0.25">
      <c r="B240" s="1" t="s">
        <v>675</v>
      </c>
      <c r="C240" s="172" t="s">
        <v>676</v>
      </c>
      <c r="D240" s="137" t="s">
        <v>650</v>
      </c>
      <c r="E240" s="42">
        <v>238164</v>
      </c>
      <c r="F240" s="42">
        <f>ROUND(E240,0)+1013</f>
        <v>239177</v>
      </c>
      <c r="G240" s="41">
        <f t="shared" si="115"/>
        <v>1013</v>
      </c>
      <c r="H240" s="45" t="s">
        <v>651</v>
      </c>
      <c r="I240" s="41">
        <f>ROUND(F240,0)+4538</f>
        <v>243715</v>
      </c>
      <c r="J240" s="41">
        <f t="shared" si="125"/>
        <v>4538</v>
      </c>
      <c r="K240" s="44" t="s">
        <v>677</v>
      </c>
      <c r="L240" s="41">
        <f>ROUND(I240,0)</f>
        <v>243715</v>
      </c>
      <c r="M240" s="41">
        <f t="shared" si="126"/>
        <v>0</v>
      </c>
      <c r="N240" s="45"/>
      <c r="O240" s="41">
        <f>ROUND(L240,0)</f>
        <v>243715</v>
      </c>
      <c r="P240" s="41">
        <f t="shared" si="127"/>
        <v>0</v>
      </c>
      <c r="Q240" s="45"/>
      <c r="R240" s="41">
        <f>ROUND(O240,0)</f>
        <v>243715</v>
      </c>
      <c r="S240" s="41">
        <f t="shared" si="108"/>
        <v>0</v>
      </c>
      <c r="T240" s="45"/>
      <c r="U240" s="41">
        <f>ROUND(R240,0)-15145</f>
        <v>228570</v>
      </c>
      <c r="V240" s="41">
        <f t="shared" si="109"/>
        <v>-15145</v>
      </c>
      <c r="W240" s="45" t="s">
        <v>145</v>
      </c>
      <c r="X240" s="41">
        <f>ROUND(U240,0)</f>
        <v>228570</v>
      </c>
      <c r="Y240" s="41">
        <f t="shared" si="111"/>
        <v>0</v>
      </c>
      <c r="Z240" s="45"/>
      <c r="AA240" s="41">
        <f>ROUND(X240,0)</f>
        <v>228570</v>
      </c>
      <c r="AB240" s="41">
        <f t="shared" si="113"/>
        <v>0</v>
      </c>
      <c r="AC240" s="45"/>
    </row>
    <row r="241" spans="2:29" ht="15.6" customHeight="1" x14ac:dyDescent="0.25">
      <c r="B241" s="1" t="s">
        <v>678</v>
      </c>
      <c r="C241" s="172" t="s">
        <v>679</v>
      </c>
      <c r="D241" s="137" t="s">
        <v>655</v>
      </c>
      <c r="E241" s="42">
        <v>1201933.4529886562</v>
      </c>
      <c r="F241" s="42">
        <f>ROUND(E241,0)-10900</f>
        <v>1191033</v>
      </c>
      <c r="G241" s="41">
        <f t="shared" si="115"/>
        <v>-10900.452988656238</v>
      </c>
      <c r="H241" s="231" t="s">
        <v>680</v>
      </c>
      <c r="I241" s="41">
        <f>ROUND(F241,0)</f>
        <v>1191033</v>
      </c>
      <c r="J241" s="41">
        <f t="shared" si="125"/>
        <v>0</v>
      </c>
      <c r="K241" s="45"/>
      <c r="L241" s="41">
        <f>ROUND(I241,0)</f>
        <v>1191033</v>
      </c>
      <c r="M241" s="41">
        <f t="shared" si="126"/>
        <v>0</v>
      </c>
      <c r="N241" s="45"/>
      <c r="O241" s="41">
        <f>ROUND(L241,0)+3150</f>
        <v>1194183</v>
      </c>
      <c r="P241" s="41">
        <f t="shared" si="127"/>
        <v>3150</v>
      </c>
      <c r="Q241" s="45" t="s">
        <v>681</v>
      </c>
      <c r="R241" s="41">
        <f>ROUND(O241,0)+2300+9536</f>
        <v>1206019</v>
      </c>
      <c r="S241" s="55">
        <f t="shared" si="108"/>
        <v>11836</v>
      </c>
      <c r="T241" s="68" t="s">
        <v>682</v>
      </c>
      <c r="U241" s="41">
        <f>ROUND(R241,0)</f>
        <v>1206019</v>
      </c>
      <c r="V241" s="41">
        <f t="shared" si="109"/>
        <v>0</v>
      </c>
      <c r="W241" s="45"/>
      <c r="X241" s="41">
        <f>ROUND(U241,0)</f>
        <v>1206019</v>
      </c>
      <c r="Y241" s="41">
        <f t="shared" si="111"/>
        <v>0</v>
      </c>
      <c r="Z241" s="45"/>
      <c r="AA241" s="41">
        <f>ROUND(X241,0)</f>
        <v>1206019</v>
      </c>
      <c r="AB241" s="41">
        <f t="shared" si="113"/>
        <v>0</v>
      </c>
      <c r="AC241" s="45"/>
    </row>
    <row r="242" spans="2:29" ht="17.45" customHeight="1" x14ac:dyDescent="0.25">
      <c r="C242" s="172" t="s">
        <v>683</v>
      </c>
      <c r="D242" s="137" t="s">
        <v>661</v>
      </c>
      <c r="E242" s="42">
        <v>154032</v>
      </c>
      <c r="F242" s="42">
        <f>ROUND(E242,0)+10900</f>
        <v>164932</v>
      </c>
      <c r="G242" s="41">
        <f>F242-E242</f>
        <v>10900</v>
      </c>
      <c r="H242" s="232"/>
      <c r="I242" s="41">
        <f>ROUND(F242,0)</f>
        <v>164932</v>
      </c>
      <c r="J242" s="41">
        <f t="shared" si="125"/>
        <v>0</v>
      </c>
      <c r="K242" s="45"/>
      <c r="L242" s="41">
        <f>ROUND(I242,0)</f>
        <v>164932</v>
      </c>
      <c r="M242" s="41">
        <f t="shared" si="126"/>
        <v>0</v>
      </c>
      <c r="N242" s="45"/>
      <c r="O242" s="41">
        <f>ROUND(L242,0)</f>
        <v>164932</v>
      </c>
      <c r="P242" s="41">
        <f t="shared" si="127"/>
        <v>0</v>
      </c>
      <c r="Q242" s="45"/>
      <c r="R242" s="41">
        <f>ROUND(O242,0)</f>
        <v>164932</v>
      </c>
      <c r="S242" s="41">
        <f t="shared" si="108"/>
        <v>0</v>
      </c>
      <c r="T242" s="45"/>
      <c r="U242" s="41">
        <f>ROUND(R242,0)</f>
        <v>164932</v>
      </c>
      <c r="V242" s="41">
        <f t="shared" si="109"/>
        <v>0</v>
      </c>
      <c r="W242" s="45"/>
      <c r="X242" s="41">
        <f>ROUND(U242,0)</f>
        <v>164932</v>
      </c>
      <c r="Y242" s="41">
        <f t="shared" si="111"/>
        <v>0</v>
      </c>
      <c r="Z242" s="45"/>
      <c r="AA242" s="41">
        <f>ROUND(X242,0)</f>
        <v>164932</v>
      </c>
      <c r="AB242" s="41">
        <f t="shared" si="113"/>
        <v>0</v>
      </c>
      <c r="AC242" s="45"/>
    </row>
    <row r="243" spans="2:29" x14ac:dyDescent="0.25">
      <c r="B243" s="1" t="s">
        <v>684</v>
      </c>
      <c r="C243" s="230" t="s">
        <v>685</v>
      </c>
      <c r="D243" s="176" t="s">
        <v>686</v>
      </c>
      <c r="E243" s="97">
        <v>1451440.1020564402</v>
      </c>
      <c r="F243" s="97">
        <f t="shared" ref="F243" si="143">SUM(F244:F246)</f>
        <v>1453093</v>
      </c>
      <c r="G243" s="73">
        <f t="shared" si="115"/>
        <v>1652.8979435598012</v>
      </c>
      <c r="H243" s="166"/>
      <c r="I243" s="73">
        <f>SUM(I244:I246)</f>
        <v>1456118</v>
      </c>
      <c r="J243" s="73">
        <f t="shared" si="125"/>
        <v>3025</v>
      </c>
      <c r="K243" s="167"/>
      <c r="L243" s="73">
        <f>SUM(L244:L246)</f>
        <v>1451590</v>
      </c>
      <c r="M243" s="73">
        <f t="shared" si="126"/>
        <v>-4528</v>
      </c>
      <c r="N243" s="167"/>
      <c r="O243" s="73">
        <f>SUM(O244:O246)</f>
        <v>1451590</v>
      </c>
      <c r="P243" s="73">
        <f t="shared" si="127"/>
        <v>0</v>
      </c>
      <c r="Q243" s="167"/>
      <c r="R243" s="73">
        <f>SUM(R244:R246)</f>
        <v>1451590</v>
      </c>
      <c r="S243" s="73">
        <f t="shared" si="108"/>
        <v>0</v>
      </c>
      <c r="T243" s="167"/>
      <c r="U243" s="73">
        <f>SUM(U244:U246)</f>
        <v>1485448</v>
      </c>
      <c r="V243" s="73">
        <f t="shared" si="109"/>
        <v>33858</v>
      </c>
      <c r="W243" s="167"/>
      <c r="X243" s="73">
        <f>SUM(X244:X246)</f>
        <v>1485448</v>
      </c>
      <c r="Y243" s="73">
        <f t="shared" si="111"/>
        <v>0</v>
      </c>
      <c r="Z243" s="167"/>
      <c r="AA243" s="73">
        <f>SUM(AA244:AA246)</f>
        <v>1485448</v>
      </c>
      <c r="AB243" s="73">
        <f t="shared" si="113"/>
        <v>0</v>
      </c>
      <c r="AC243" s="167"/>
    </row>
    <row r="244" spans="2:29" s="234" customFormat="1" ht="29.45" customHeight="1" x14ac:dyDescent="0.25">
      <c r="B244" s="233" t="s">
        <v>687</v>
      </c>
      <c r="C244" s="172" t="s">
        <v>688</v>
      </c>
      <c r="D244" s="137" t="s">
        <v>650</v>
      </c>
      <c r="E244" s="42">
        <v>152284</v>
      </c>
      <c r="F244" s="42">
        <f>ROUND(E244,0)+1917-264</f>
        <v>153937</v>
      </c>
      <c r="G244" s="226">
        <f t="shared" si="115"/>
        <v>1653</v>
      </c>
      <c r="H244" s="45" t="s">
        <v>651</v>
      </c>
      <c r="I244" s="41">
        <f>ROUND(F244,0)+3025</f>
        <v>156962</v>
      </c>
      <c r="J244" s="226">
        <f t="shared" si="125"/>
        <v>3025</v>
      </c>
      <c r="K244" s="44" t="s">
        <v>677</v>
      </c>
      <c r="L244" s="41">
        <f>ROUND(I244,0)</f>
        <v>156962</v>
      </c>
      <c r="M244" s="226">
        <f t="shared" si="126"/>
        <v>0</v>
      </c>
      <c r="N244" s="44"/>
      <c r="O244" s="41">
        <f>ROUND(L244,0)</f>
        <v>156962</v>
      </c>
      <c r="P244" s="226">
        <f t="shared" si="127"/>
        <v>0</v>
      </c>
      <c r="Q244" s="44"/>
      <c r="R244" s="41">
        <f>ROUND(O244,0)</f>
        <v>156962</v>
      </c>
      <c r="S244" s="226">
        <f t="shared" si="108"/>
        <v>0</v>
      </c>
      <c r="T244" s="44"/>
      <c r="U244" s="41">
        <f>ROUND(R244,0)+33858</f>
        <v>190820</v>
      </c>
      <c r="V244" s="226">
        <f t="shared" si="109"/>
        <v>33858</v>
      </c>
      <c r="W244" s="44" t="s">
        <v>145</v>
      </c>
      <c r="X244" s="41">
        <f>ROUND(U244,0)</f>
        <v>190820</v>
      </c>
      <c r="Y244" s="226">
        <f t="shared" si="111"/>
        <v>0</v>
      </c>
      <c r="Z244" s="44"/>
      <c r="AA244" s="41">
        <f>ROUND(X244,0)</f>
        <v>190820</v>
      </c>
      <c r="AB244" s="226">
        <f t="shared" si="113"/>
        <v>0</v>
      </c>
      <c r="AC244" s="44"/>
    </row>
    <row r="245" spans="2:29" s="234" customFormat="1" ht="15.6" customHeight="1" x14ac:dyDescent="0.25">
      <c r="C245" s="172" t="s">
        <v>689</v>
      </c>
      <c r="D245" s="137" t="s">
        <v>655</v>
      </c>
      <c r="E245" s="42">
        <v>1154321.1020564402</v>
      </c>
      <c r="F245" s="42">
        <f>ROUND(E245,0)</f>
        <v>1154321</v>
      </c>
      <c r="G245" s="226">
        <f t="shared" si="115"/>
        <v>-0.10205644019879401</v>
      </c>
      <c r="H245" s="68"/>
      <c r="I245" s="41">
        <f>ROUND(F245,0)</f>
        <v>1154321</v>
      </c>
      <c r="J245" s="226">
        <f t="shared" si="125"/>
        <v>0</v>
      </c>
      <c r="K245" s="44"/>
      <c r="L245" s="41">
        <f>ROUND(I245,0)-4528</f>
        <v>1149793</v>
      </c>
      <c r="M245" s="226">
        <f t="shared" si="126"/>
        <v>-4528</v>
      </c>
      <c r="N245" s="44" t="s">
        <v>399</v>
      </c>
      <c r="O245" s="41">
        <f>ROUND(L245,0)</f>
        <v>1149793</v>
      </c>
      <c r="P245" s="226">
        <f t="shared" si="127"/>
        <v>0</v>
      </c>
      <c r="Q245" s="44"/>
      <c r="R245" s="41">
        <f>ROUND(O245,0)</f>
        <v>1149793</v>
      </c>
      <c r="S245" s="226">
        <f t="shared" si="108"/>
        <v>0</v>
      </c>
      <c r="T245" s="44"/>
      <c r="U245" s="41">
        <f>ROUND(R245,0)</f>
        <v>1149793</v>
      </c>
      <c r="V245" s="226">
        <f t="shared" si="109"/>
        <v>0</v>
      </c>
      <c r="W245" s="44"/>
      <c r="X245" s="41">
        <f>ROUND(U245,0)</f>
        <v>1149793</v>
      </c>
      <c r="Y245" s="226">
        <f t="shared" si="111"/>
        <v>0</v>
      </c>
      <c r="Z245" s="44"/>
      <c r="AA245" s="41">
        <f>ROUND(X245,0)</f>
        <v>1149793</v>
      </c>
      <c r="AB245" s="226">
        <f t="shared" si="113"/>
        <v>0</v>
      </c>
      <c r="AC245" s="44"/>
    </row>
    <row r="246" spans="2:29" s="234" customFormat="1" ht="13.9" customHeight="1" x14ac:dyDescent="0.25">
      <c r="C246" s="172" t="s">
        <v>690</v>
      </c>
      <c r="D246" s="137" t="s">
        <v>661</v>
      </c>
      <c r="E246" s="42">
        <v>144835</v>
      </c>
      <c r="F246" s="42">
        <f>ROUND(E246,0)</f>
        <v>144835</v>
      </c>
      <c r="G246" s="226">
        <f>F246-E246</f>
        <v>0</v>
      </c>
      <c r="H246" s="68"/>
      <c r="I246" s="41">
        <f>ROUND(F246,0)</f>
        <v>144835</v>
      </c>
      <c r="J246" s="226">
        <f t="shared" si="125"/>
        <v>0</v>
      </c>
      <c r="K246" s="45"/>
      <c r="L246" s="41">
        <f>ROUND(I246,0)</f>
        <v>144835</v>
      </c>
      <c r="M246" s="226">
        <f t="shared" si="126"/>
        <v>0</v>
      </c>
      <c r="N246" s="45"/>
      <c r="O246" s="41">
        <f>ROUND(L246,0)</f>
        <v>144835</v>
      </c>
      <c r="P246" s="226">
        <f t="shared" si="127"/>
        <v>0</v>
      </c>
      <c r="Q246" s="45"/>
      <c r="R246" s="41">
        <f>ROUND(O246,0)</f>
        <v>144835</v>
      </c>
      <c r="S246" s="226">
        <f t="shared" si="108"/>
        <v>0</v>
      </c>
      <c r="T246" s="45"/>
      <c r="U246" s="41">
        <f>ROUND(R246,0)</f>
        <v>144835</v>
      </c>
      <c r="V246" s="226">
        <f t="shared" si="109"/>
        <v>0</v>
      </c>
      <c r="W246" s="45"/>
      <c r="X246" s="41">
        <f>ROUND(U246,0)</f>
        <v>144835</v>
      </c>
      <c r="Y246" s="226">
        <f t="shared" si="111"/>
        <v>0</v>
      </c>
      <c r="Z246" s="45"/>
      <c r="AA246" s="41">
        <f>ROUND(X246,0)</f>
        <v>144835</v>
      </c>
      <c r="AB246" s="226">
        <f t="shared" si="113"/>
        <v>0</v>
      </c>
      <c r="AC246" s="45"/>
    </row>
    <row r="247" spans="2:29" x14ac:dyDescent="0.25">
      <c r="C247" s="230" t="s">
        <v>691</v>
      </c>
      <c r="D247" s="176" t="s">
        <v>692</v>
      </c>
      <c r="E247" s="97">
        <v>2861690</v>
      </c>
      <c r="F247" s="97">
        <f>F248+F249+F250</f>
        <v>2818998</v>
      </c>
      <c r="G247" s="73">
        <f t="shared" si="115"/>
        <v>-42692</v>
      </c>
      <c r="H247" s="166"/>
      <c r="I247" s="73">
        <f>I248+I249+I250</f>
        <v>2827823</v>
      </c>
      <c r="J247" s="73">
        <f t="shared" si="125"/>
        <v>8825</v>
      </c>
      <c r="K247" s="167"/>
      <c r="L247" s="73">
        <f>L248+L249+L250</f>
        <v>2827823</v>
      </c>
      <c r="M247" s="73">
        <f t="shared" si="126"/>
        <v>0</v>
      </c>
      <c r="N247" s="167"/>
      <c r="O247" s="73">
        <f>O248+O249+O250</f>
        <v>2827823</v>
      </c>
      <c r="P247" s="73">
        <f t="shared" si="127"/>
        <v>0</v>
      </c>
      <c r="Q247" s="167"/>
      <c r="R247" s="73">
        <f>R248+R249+R250</f>
        <v>3046262</v>
      </c>
      <c r="S247" s="73">
        <f t="shared" si="108"/>
        <v>218439</v>
      </c>
      <c r="T247" s="167" t="s">
        <v>305</v>
      </c>
      <c r="U247" s="73">
        <f>U248+U249+U250</f>
        <v>3076350</v>
      </c>
      <c r="V247" s="73">
        <f t="shared" si="109"/>
        <v>30088</v>
      </c>
      <c r="W247" s="167"/>
      <c r="X247" s="73">
        <f>X248+X249+X250</f>
        <v>3101350</v>
      </c>
      <c r="Y247" s="73">
        <f t="shared" si="111"/>
        <v>25000</v>
      </c>
      <c r="Z247" s="167"/>
      <c r="AA247" s="73">
        <f>AA248+AA249+AA250</f>
        <v>3101350</v>
      </c>
      <c r="AB247" s="73">
        <f t="shared" si="113"/>
        <v>0</v>
      </c>
      <c r="AC247" s="167"/>
    </row>
    <row r="248" spans="2:29" s="234" customFormat="1" ht="47.25" customHeight="1" x14ac:dyDescent="0.25">
      <c r="B248" s="233" t="s">
        <v>693</v>
      </c>
      <c r="C248" s="235" t="s">
        <v>694</v>
      </c>
      <c r="D248" s="236" t="s">
        <v>695</v>
      </c>
      <c r="E248" s="42">
        <v>833320</v>
      </c>
      <c r="F248" s="42">
        <f>ROUND(E248,0)-44403+1711</f>
        <v>790628</v>
      </c>
      <c r="G248" s="226">
        <f t="shared" si="115"/>
        <v>-42692</v>
      </c>
      <c r="H248" s="96" t="s">
        <v>696</v>
      </c>
      <c r="I248" s="41">
        <f>ROUND(F248,0)+8825</f>
        <v>799453</v>
      </c>
      <c r="J248" s="226">
        <f t="shared" si="125"/>
        <v>8825</v>
      </c>
      <c r="K248" s="209" t="s">
        <v>697</v>
      </c>
      <c r="L248" s="41">
        <f>ROUND(I248,0)</f>
        <v>799453</v>
      </c>
      <c r="M248" s="226">
        <f t="shared" si="126"/>
        <v>0</v>
      </c>
      <c r="N248" s="44"/>
      <c r="O248" s="41">
        <f>ROUND(L248,0)</f>
        <v>799453</v>
      </c>
      <c r="P248" s="226">
        <f t="shared" si="127"/>
        <v>0</v>
      </c>
      <c r="Q248" s="44"/>
      <c r="R248" s="41">
        <f>ROUND(O248,0)-179115</f>
        <v>620338</v>
      </c>
      <c r="S248" s="226">
        <f t="shared" si="108"/>
        <v>-179115</v>
      </c>
      <c r="T248" s="44" t="s">
        <v>305</v>
      </c>
      <c r="U248" s="41">
        <f>ROUND(R248,0)+30088</f>
        <v>650426</v>
      </c>
      <c r="V248" s="226">
        <f t="shared" si="109"/>
        <v>30088</v>
      </c>
      <c r="W248" s="44" t="s">
        <v>145</v>
      </c>
      <c r="X248" s="41">
        <f>ROUND(U248,0)+15000+10000</f>
        <v>675426</v>
      </c>
      <c r="Y248" s="226">
        <f t="shared" si="111"/>
        <v>25000</v>
      </c>
      <c r="Z248" s="45" t="s">
        <v>698</v>
      </c>
      <c r="AA248" s="41">
        <f>ROUND(X248,0)</f>
        <v>675426</v>
      </c>
      <c r="AB248" s="226">
        <f t="shared" si="113"/>
        <v>0</v>
      </c>
      <c r="AC248" s="45"/>
    </row>
    <row r="249" spans="2:29" s="234" customFormat="1" ht="16.149999999999999" customHeight="1" x14ac:dyDescent="0.25">
      <c r="B249" s="233" t="s">
        <v>699</v>
      </c>
      <c r="C249" s="235" t="s">
        <v>700</v>
      </c>
      <c r="D249" s="236" t="s">
        <v>701</v>
      </c>
      <c r="E249" s="42">
        <v>1865620</v>
      </c>
      <c r="F249" s="42">
        <f>ROUND(E249,0)</f>
        <v>1865620</v>
      </c>
      <c r="G249" s="226">
        <f t="shared" si="115"/>
        <v>0</v>
      </c>
      <c r="H249" s="43"/>
      <c r="I249" s="41">
        <f>ROUND(F249,0)</f>
        <v>1865620</v>
      </c>
      <c r="J249" s="226">
        <f t="shared" si="125"/>
        <v>0</v>
      </c>
      <c r="K249" s="44"/>
      <c r="L249" s="41">
        <f>ROUND(I249,0)</f>
        <v>1865620</v>
      </c>
      <c r="M249" s="226">
        <f t="shared" si="126"/>
        <v>0</v>
      </c>
      <c r="N249" s="44"/>
      <c r="O249" s="41">
        <f>ROUND(L249,0)</f>
        <v>1865620</v>
      </c>
      <c r="P249" s="226">
        <f t="shared" si="127"/>
        <v>0</v>
      </c>
      <c r="Q249" s="44"/>
      <c r="R249" s="41">
        <f>ROUND(O249,0)+338737</f>
        <v>2204357</v>
      </c>
      <c r="S249" s="226">
        <f t="shared" si="108"/>
        <v>338737</v>
      </c>
      <c r="T249" s="44" t="s">
        <v>305</v>
      </c>
      <c r="U249" s="41">
        <f>ROUND(R249,0)</f>
        <v>2204357</v>
      </c>
      <c r="V249" s="226">
        <f t="shared" si="109"/>
        <v>0</v>
      </c>
      <c r="W249" s="44"/>
      <c r="X249" s="41">
        <f>ROUND(U249,0)</f>
        <v>2204357</v>
      </c>
      <c r="Y249" s="226">
        <f t="shared" si="111"/>
        <v>0</v>
      </c>
      <c r="Z249" s="44"/>
      <c r="AA249" s="41">
        <f>ROUND(X249,0)</f>
        <v>2204357</v>
      </c>
      <c r="AB249" s="226">
        <f t="shared" si="113"/>
        <v>0</v>
      </c>
      <c r="AC249" s="44"/>
    </row>
    <row r="250" spans="2:29" ht="14.45" customHeight="1" x14ac:dyDescent="0.25">
      <c r="B250" s="90" t="s">
        <v>702</v>
      </c>
      <c r="C250" s="172" t="s">
        <v>703</v>
      </c>
      <c r="D250" s="137" t="s">
        <v>704</v>
      </c>
      <c r="E250" s="42">
        <v>162750</v>
      </c>
      <c r="F250" s="42">
        <f>ROUND(E250,0)</f>
        <v>162750</v>
      </c>
      <c r="G250" s="226">
        <f t="shared" si="115"/>
        <v>0</v>
      </c>
      <c r="H250" s="43"/>
      <c r="I250" s="41">
        <f>ROUND(F250,0)</f>
        <v>162750</v>
      </c>
      <c r="J250" s="226">
        <f t="shared" si="125"/>
        <v>0</v>
      </c>
      <c r="K250" s="44"/>
      <c r="L250" s="41">
        <f>ROUND(I250,0)</f>
        <v>162750</v>
      </c>
      <c r="M250" s="226">
        <f t="shared" si="126"/>
        <v>0</v>
      </c>
      <c r="N250" s="44"/>
      <c r="O250" s="41">
        <f>ROUND(L250,0)</f>
        <v>162750</v>
      </c>
      <c r="P250" s="226">
        <f t="shared" si="127"/>
        <v>0</v>
      </c>
      <c r="Q250" s="44"/>
      <c r="R250" s="41">
        <f>ROUND(O250,0)+58817</f>
        <v>221567</v>
      </c>
      <c r="S250" s="226">
        <f t="shared" si="108"/>
        <v>58817</v>
      </c>
      <c r="T250" s="44" t="s">
        <v>305</v>
      </c>
      <c r="U250" s="41">
        <f>ROUND(R250,0)</f>
        <v>221567</v>
      </c>
      <c r="V250" s="226">
        <f t="shared" si="109"/>
        <v>0</v>
      </c>
      <c r="W250" s="44"/>
      <c r="X250" s="41">
        <f>ROUND(U250,0)</f>
        <v>221567</v>
      </c>
      <c r="Y250" s="226">
        <f t="shared" si="111"/>
        <v>0</v>
      </c>
      <c r="Z250" s="44"/>
      <c r="AA250" s="41">
        <f>ROUND(X250,0)</f>
        <v>221567</v>
      </c>
      <c r="AB250" s="226">
        <f t="shared" si="113"/>
        <v>0</v>
      </c>
      <c r="AC250" s="44"/>
    </row>
    <row r="251" spans="2:29" s="155" customFormat="1" ht="15.75" customHeight="1" x14ac:dyDescent="0.2">
      <c r="C251" s="230" t="s">
        <v>705</v>
      </c>
      <c r="D251" s="176" t="s">
        <v>706</v>
      </c>
      <c r="E251" s="178">
        <v>2139500.4741500001</v>
      </c>
      <c r="F251" s="178">
        <f>F252+F256+F257+F258+F259+F260+F261</f>
        <v>2133236</v>
      </c>
      <c r="G251" s="177">
        <f t="shared" si="115"/>
        <v>-6264.4741500001401</v>
      </c>
      <c r="H251" s="189"/>
      <c r="I251" s="177">
        <f>I252+I256+I257+I258+I259+I260+I261</f>
        <v>2205896</v>
      </c>
      <c r="J251" s="177">
        <f t="shared" si="125"/>
        <v>72660</v>
      </c>
      <c r="K251" s="190"/>
      <c r="L251" s="177">
        <f>L252+L256+L257+L258+L259+L260+L261</f>
        <v>2200705</v>
      </c>
      <c r="M251" s="177">
        <f t="shared" si="126"/>
        <v>-5191</v>
      </c>
      <c r="N251" s="190"/>
      <c r="O251" s="177">
        <f>O252+O256+O257+O258+O259+O260+O261</f>
        <v>2200705</v>
      </c>
      <c r="P251" s="177">
        <f t="shared" si="127"/>
        <v>0</v>
      </c>
      <c r="Q251" s="190"/>
      <c r="R251" s="177">
        <f>R252+R256+R257+R258+R259+R260+R261</f>
        <v>2246805</v>
      </c>
      <c r="S251" s="177">
        <f t="shared" si="108"/>
        <v>46100</v>
      </c>
      <c r="T251" s="190"/>
      <c r="U251" s="177">
        <f>U252+U256+U257+U258+U259+U260+U261</f>
        <v>2387345</v>
      </c>
      <c r="V251" s="177">
        <f t="shared" si="109"/>
        <v>140540</v>
      </c>
      <c r="W251" s="190"/>
      <c r="X251" s="177">
        <f>X252+X256+X257+X258+X259+X260+X261</f>
        <v>2425467</v>
      </c>
      <c r="Y251" s="177">
        <f t="shared" si="111"/>
        <v>38122</v>
      </c>
      <c r="Z251" s="190"/>
      <c r="AA251" s="177">
        <f>AA252+AA256+AA257+AA258+AA259+AA260+AA261</f>
        <v>2425467</v>
      </c>
      <c r="AB251" s="177">
        <f t="shared" si="113"/>
        <v>0</v>
      </c>
      <c r="AC251" s="190"/>
    </row>
    <row r="252" spans="2:29" s="38" customFormat="1" ht="17.25" customHeight="1" x14ac:dyDescent="0.25">
      <c r="B252" s="63" t="s">
        <v>707</v>
      </c>
      <c r="C252" s="172" t="s">
        <v>708</v>
      </c>
      <c r="D252" s="137" t="s">
        <v>650</v>
      </c>
      <c r="E252" s="42">
        <v>1127101</v>
      </c>
      <c r="F252" s="42">
        <f>F253+F254+F255</f>
        <v>1201531</v>
      </c>
      <c r="G252" s="41">
        <f t="shared" si="115"/>
        <v>74430</v>
      </c>
      <c r="H252" s="96" t="s">
        <v>696</v>
      </c>
      <c r="I252" s="41">
        <f>I253+I254+I255</f>
        <v>1239539</v>
      </c>
      <c r="J252" s="41">
        <f t="shared" si="125"/>
        <v>38008</v>
      </c>
      <c r="K252" s="45"/>
      <c r="L252" s="41">
        <f>L253+L254+L255</f>
        <v>1239539</v>
      </c>
      <c r="M252" s="41">
        <f t="shared" si="126"/>
        <v>0</v>
      </c>
      <c r="N252" s="45"/>
      <c r="O252" s="41">
        <f>O253+O254+O255</f>
        <v>1239539</v>
      </c>
      <c r="P252" s="41">
        <f t="shared" si="127"/>
        <v>0</v>
      </c>
      <c r="Q252" s="45"/>
      <c r="R252" s="41">
        <f>R253+R254+R255</f>
        <v>1239539</v>
      </c>
      <c r="S252" s="41">
        <f t="shared" si="108"/>
        <v>0</v>
      </c>
      <c r="T252" s="45"/>
      <c r="U252" s="41">
        <f>U253+U254+U255</f>
        <v>1322260</v>
      </c>
      <c r="V252" s="41">
        <f t="shared" si="109"/>
        <v>82721</v>
      </c>
      <c r="W252" s="45" t="s">
        <v>145</v>
      </c>
      <c r="X252" s="41">
        <f>X253+X254+X255</f>
        <v>1322260</v>
      </c>
      <c r="Y252" s="41">
        <f t="shared" si="111"/>
        <v>0</v>
      </c>
      <c r="Z252" s="45"/>
      <c r="AA252" s="41">
        <f>AA253+AA254+AA255</f>
        <v>1322260</v>
      </c>
      <c r="AB252" s="41">
        <f t="shared" si="113"/>
        <v>0</v>
      </c>
      <c r="AC252" s="45"/>
    </row>
    <row r="253" spans="2:29" s="240" customFormat="1" ht="36" customHeight="1" x14ac:dyDescent="0.25">
      <c r="B253" s="237"/>
      <c r="C253" s="194" t="s">
        <v>709</v>
      </c>
      <c r="D253" s="195" t="s">
        <v>710</v>
      </c>
      <c r="E253" s="238">
        <v>1070901</v>
      </c>
      <c r="F253" s="238">
        <f>1070901+22307</f>
        <v>1093208</v>
      </c>
      <c r="G253" s="196">
        <f t="shared" si="115"/>
        <v>22307</v>
      </c>
      <c r="H253" s="239" t="s">
        <v>696</v>
      </c>
      <c r="I253" s="196">
        <f t="shared" ref="I253:I262" si="144">ROUND(F253,0)</f>
        <v>1093208</v>
      </c>
      <c r="J253" s="196">
        <f t="shared" si="125"/>
        <v>0</v>
      </c>
      <c r="K253" s="209"/>
      <c r="L253" s="196">
        <f>ROUND(I253,0)</f>
        <v>1093208</v>
      </c>
      <c r="M253" s="41">
        <f t="shared" si="126"/>
        <v>0</v>
      </c>
      <c r="N253" s="209"/>
      <c r="O253" s="196">
        <f>ROUND(L253,0)</f>
        <v>1093208</v>
      </c>
      <c r="P253" s="196">
        <f>O253-L253</f>
        <v>0</v>
      </c>
      <c r="Q253" s="209"/>
      <c r="R253" s="196">
        <f t="shared" ref="R253:R262" si="145">ROUND(O253,0)</f>
        <v>1093208</v>
      </c>
      <c r="S253" s="196">
        <f t="shared" si="108"/>
        <v>0</v>
      </c>
      <c r="T253" s="209"/>
      <c r="U253" s="196">
        <f>ROUND(R253,0)+85381</f>
        <v>1178589</v>
      </c>
      <c r="V253" s="196">
        <f t="shared" si="109"/>
        <v>85381</v>
      </c>
      <c r="W253" s="209"/>
      <c r="X253" s="196">
        <f>ROUND(U253,0)</f>
        <v>1178589</v>
      </c>
      <c r="Y253" s="196">
        <f t="shared" si="111"/>
        <v>0</v>
      </c>
      <c r="Z253" s="209"/>
      <c r="AA253" s="196">
        <f>ROUND(X253,0)</f>
        <v>1178589</v>
      </c>
      <c r="AB253" s="196">
        <f t="shared" si="113"/>
        <v>0</v>
      </c>
      <c r="AC253" s="209"/>
    </row>
    <row r="254" spans="2:29" s="240" customFormat="1" ht="19.899999999999999" customHeight="1" x14ac:dyDescent="0.25">
      <c r="B254" s="237"/>
      <c r="C254" s="194" t="s">
        <v>711</v>
      </c>
      <c r="D254" s="195" t="s">
        <v>712</v>
      </c>
      <c r="E254" s="238">
        <v>56200</v>
      </c>
      <c r="F254" s="238">
        <f>56200+52004-31</f>
        <v>108173</v>
      </c>
      <c r="G254" s="196">
        <f t="shared" si="115"/>
        <v>51973</v>
      </c>
      <c r="H254" s="239" t="s">
        <v>696</v>
      </c>
      <c r="I254" s="196">
        <f>ROUND(F254,0)+18425</f>
        <v>126598</v>
      </c>
      <c r="J254" s="196">
        <f t="shared" si="125"/>
        <v>18425</v>
      </c>
      <c r="K254" s="209" t="s">
        <v>697</v>
      </c>
      <c r="L254" s="196">
        <f>ROUND(I254,0)</f>
        <v>126598</v>
      </c>
      <c r="M254" s="41">
        <f t="shared" si="126"/>
        <v>0</v>
      </c>
      <c r="N254" s="209"/>
      <c r="O254" s="196">
        <f>ROUND(L254,0)</f>
        <v>126598</v>
      </c>
      <c r="P254" s="196">
        <f>O254-L254</f>
        <v>0</v>
      </c>
      <c r="Q254" s="209"/>
      <c r="R254" s="196">
        <f t="shared" si="145"/>
        <v>126598</v>
      </c>
      <c r="S254" s="196">
        <f t="shared" si="108"/>
        <v>0</v>
      </c>
      <c r="T254" s="209"/>
      <c r="U254" s="196">
        <f>ROUND(R254,0)-2660</f>
        <v>123938</v>
      </c>
      <c r="V254" s="196">
        <f t="shared" si="109"/>
        <v>-2660</v>
      </c>
      <c r="W254" s="209"/>
      <c r="X254" s="196">
        <f>ROUND(U254,0)</f>
        <v>123938</v>
      </c>
      <c r="Y254" s="196">
        <f t="shared" si="111"/>
        <v>0</v>
      </c>
      <c r="Z254" s="209"/>
      <c r="AA254" s="196">
        <f>ROUND(X254,0)</f>
        <v>123938</v>
      </c>
      <c r="AB254" s="196">
        <f t="shared" si="113"/>
        <v>0</v>
      </c>
      <c r="AC254" s="209"/>
    </row>
    <row r="255" spans="2:29" s="240" customFormat="1" ht="17.25" customHeight="1" x14ac:dyDescent="0.25">
      <c r="B255" s="237"/>
      <c r="C255" s="194" t="s">
        <v>713</v>
      </c>
      <c r="D255" s="195" t="s">
        <v>714</v>
      </c>
      <c r="E255" s="238"/>
      <c r="F255" s="238">
        <v>150</v>
      </c>
      <c r="G255" s="196">
        <f t="shared" si="115"/>
        <v>150</v>
      </c>
      <c r="H255" s="239" t="s">
        <v>696</v>
      </c>
      <c r="I255" s="196">
        <f>ROUND(F255,0)+19583</f>
        <v>19733</v>
      </c>
      <c r="J255" s="196">
        <f t="shared" si="125"/>
        <v>19583</v>
      </c>
      <c r="K255" s="209" t="s">
        <v>652</v>
      </c>
      <c r="L255" s="196">
        <f>ROUND(I255,0)</f>
        <v>19733</v>
      </c>
      <c r="M255" s="41">
        <f t="shared" si="126"/>
        <v>0</v>
      </c>
      <c r="N255" s="209"/>
      <c r="O255" s="196">
        <f>ROUND(L255,0)</f>
        <v>19733</v>
      </c>
      <c r="P255" s="196">
        <f>O255-L255</f>
        <v>0</v>
      </c>
      <c r="Q255" s="209"/>
      <c r="R255" s="196">
        <f t="shared" si="145"/>
        <v>19733</v>
      </c>
      <c r="S255" s="196">
        <f t="shared" si="108"/>
        <v>0</v>
      </c>
      <c r="T255" s="209"/>
      <c r="U255" s="196">
        <f t="shared" ref="U255:U262" si="146">ROUND(R255,0)</f>
        <v>19733</v>
      </c>
      <c r="V255" s="196">
        <f t="shared" si="109"/>
        <v>0</v>
      </c>
      <c r="W255" s="209"/>
      <c r="X255" s="196">
        <f t="shared" ref="X255" si="147">ROUND(U255,0)</f>
        <v>19733</v>
      </c>
      <c r="Y255" s="196">
        <f t="shared" si="111"/>
        <v>0</v>
      </c>
      <c r="Z255" s="209"/>
      <c r="AA255" s="196">
        <f t="shared" ref="AA255" si="148">ROUND(X255,0)</f>
        <v>19733</v>
      </c>
      <c r="AB255" s="196">
        <f t="shared" si="113"/>
        <v>0</v>
      </c>
      <c r="AC255" s="209"/>
    </row>
    <row r="256" spans="2:29" s="38" customFormat="1" ht="45" x14ac:dyDescent="0.25">
      <c r="B256" s="38" t="s">
        <v>707</v>
      </c>
      <c r="C256" s="172" t="s">
        <v>715</v>
      </c>
      <c r="D256" s="137" t="s">
        <v>716</v>
      </c>
      <c r="E256" s="92">
        <v>49493</v>
      </c>
      <c r="F256" s="92">
        <f>ROUND(E256,0)+4754</f>
        <v>54247</v>
      </c>
      <c r="G256" s="41">
        <f t="shared" si="115"/>
        <v>4754</v>
      </c>
      <c r="H256" s="45" t="s">
        <v>651</v>
      </c>
      <c r="I256" s="41">
        <f t="shared" si="144"/>
        <v>54247</v>
      </c>
      <c r="J256" s="41">
        <f t="shared" si="125"/>
        <v>0</v>
      </c>
      <c r="K256" s="45"/>
      <c r="L256" s="41">
        <f t="shared" ref="L256:L262" si="149">ROUND(I256,0)</f>
        <v>54247</v>
      </c>
      <c r="M256" s="41">
        <f t="shared" si="126"/>
        <v>0</v>
      </c>
      <c r="N256" s="45"/>
      <c r="O256" s="41">
        <f t="shared" ref="O256:O261" si="150">ROUND(L256,0)</f>
        <v>54247</v>
      </c>
      <c r="P256" s="41">
        <f t="shared" si="127"/>
        <v>0</v>
      </c>
      <c r="Q256" s="45"/>
      <c r="R256" s="41">
        <f t="shared" si="145"/>
        <v>54247</v>
      </c>
      <c r="S256" s="41">
        <f t="shared" si="108"/>
        <v>0</v>
      </c>
      <c r="T256" s="45"/>
      <c r="U256" s="41">
        <f t="shared" si="146"/>
        <v>54247</v>
      </c>
      <c r="V256" s="41">
        <f t="shared" si="109"/>
        <v>0</v>
      </c>
      <c r="W256" s="45"/>
      <c r="X256" s="41">
        <f>ROUND(U256,0)+28000</f>
        <v>82247</v>
      </c>
      <c r="Y256" s="41">
        <f t="shared" si="111"/>
        <v>28000</v>
      </c>
      <c r="Z256" s="45" t="s">
        <v>717</v>
      </c>
      <c r="AA256" s="41">
        <f>ROUND(X256,0)</f>
        <v>82247</v>
      </c>
      <c r="AB256" s="41">
        <f t="shared" si="113"/>
        <v>0</v>
      </c>
      <c r="AC256" s="45"/>
    </row>
    <row r="257" spans="2:29" s="38" customFormat="1" ht="97.9" customHeight="1" x14ac:dyDescent="0.25">
      <c r="B257" s="63" t="s">
        <v>718</v>
      </c>
      <c r="C257" s="172" t="s">
        <v>719</v>
      </c>
      <c r="D257" s="137" t="s">
        <v>655</v>
      </c>
      <c r="E257" s="42">
        <v>659972.47414999991</v>
      </c>
      <c r="F257" s="42">
        <f>ROUND(E257,0)-42018-43430</f>
        <v>574524</v>
      </c>
      <c r="G257" s="41">
        <f t="shared" si="115"/>
        <v>-85448.474149999907</v>
      </c>
      <c r="H257" s="96" t="s">
        <v>720</v>
      </c>
      <c r="I257" s="41">
        <f t="shared" si="144"/>
        <v>574524</v>
      </c>
      <c r="J257" s="41">
        <f t="shared" si="125"/>
        <v>0</v>
      </c>
      <c r="K257" s="45" t="s">
        <v>721</v>
      </c>
      <c r="L257" s="41">
        <f>ROUND(I257,0)-5191</f>
        <v>569333</v>
      </c>
      <c r="M257" s="41">
        <f t="shared" si="126"/>
        <v>-5191</v>
      </c>
      <c r="N257" s="45" t="s">
        <v>399</v>
      </c>
      <c r="O257" s="41">
        <f t="shared" si="150"/>
        <v>569333</v>
      </c>
      <c r="P257" s="41">
        <f t="shared" si="127"/>
        <v>0</v>
      </c>
      <c r="Q257" s="45"/>
      <c r="R257" s="41">
        <f t="shared" si="145"/>
        <v>569333</v>
      </c>
      <c r="S257" s="41">
        <f t="shared" si="108"/>
        <v>0</v>
      </c>
      <c r="T257" s="45"/>
      <c r="U257" s="41">
        <f>ROUND(R257,0)+57819</f>
        <v>627152</v>
      </c>
      <c r="V257" s="41">
        <f t="shared" si="109"/>
        <v>57819</v>
      </c>
      <c r="W257" s="45" t="s">
        <v>722</v>
      </c>
      <c r="X257" s="41">
        <f>ROUND(U257,0)+6300+3822</f>
        <v>637274</v>
      </c>
      <c r="Y257" s="41">
        <f t="shared" si="111"/>
        <v>10122</v>
      </c>
      <c r="Z257" s="45" t="s">
        <v>723</v>
      </c>
      <c r="AA257" s="41">
        <f>ROUND(X257,0)</f>
        <v>637274</v>
      </c>
      <c r="AB257" s="41">
        <f t="shared" si="113"/>
        <v>0</v>
      </c>
      <c r="AC257" s="45"/>
    </row>
    <row r="258" spans="2:29" s="38" customFormat="1" ht="16.899999999999999" customHeight="1" x14ac:dyDescent="0.25">
      <c r="B258" s="63"/>
      <c r="C258" s="172" t="s">
        <v>724</v>
      </c>
      <c r="D258" s="137" t="s">
        <v>661</v>
      </c>
      <c r="E258" s="42">
        <v>283797</v>
      </c>
      <c r="F258" s="42">
        <f>ROUND(E258,0)</f>
        <v>283797</v>
      </c>
      <c r="G258" s="41">
        <f t="shared" ref="G258:G261" si="151">F258-E258</f>
        <v>0</v>
      </c>
      <c r="H258" s="68"/>
      <c r="I258" s="41">
        <f t="shared" si="144"/>
        <v>283797</v>
      </c>
      <c r="J258" s="41">
        <f t="shared" si="125"/>
        <v>0</v>
      </c>
      <c r="K258" s="45"/>
      <c r="L258" s="41">
        <f t="shared" si="149"/>
        <v>283797</v>
      </c>
      <c r="M258" s="41">
        <f t="shared" si="126"/>
        <v>0</v>
      </c>
      <c r="N258" s="45"/>
      <c r="O258" s="41">
        <f>ROUND(L258,0)</f>
        <v>283797</v>
      </c>
      <c r="P258" s="41">
        <f t="shared" si="127"/>
        <v>0</v>
      </c>
      <c r="Q258" s="45"/>
      <c r="R258" s="41">
        <f t="shared" si="145"/>
        <v>283797</v>
      </c>
      <c r="S258" s="41">
        <f t="shared" si="108"/>
        <v>0</v>
      </c>
      <c r="T258" s="45"/>
      <c r="U258" s="41">
        <f t="shared" si="146"/>
        <v>283797</v>
      </c>
      <c r="V258" s="41">
        <f t="shared" si="109"/>
        <v>0</v>
      </c>
      <c r="W258" s="45"/>
      <c r="X258" s="41">
        <f t="shared" ref="X258:X262" si="152">ROUND(U258,0)</f>
        <v>283797</v>
      </c>
      <c r="Y258" s="41">
        <f t="shared" si="111"/>
        <v>0</v>
      </c>
      <c r="Z258" s="45"/>
      <c r="AA258" s="41">
        <f t="shared" ref="AA258:AA262" si="153">ROUND(X258,0)</f>
        <v>283797</v>
      </c>
      <c r="AB258" s="41">
        <f t="shared" si="113"/>
        <v>0</v>
      </c>
      <c r="AC258" s="45"/>
    </row>
    <row r="259" spans="2:29" s="38" customFormat="1" ht="16.899999999999999" customHeight="1" x14ac:dyDescent="0.25">
      <c r="B259" s="63" t="s">
        <v>725</v>
      </c>
      <c r="C259" s="172" t="s">
        <v>726</v>
      </c>
      <c r="D259" s="137" t="s">
        <v>727</v>
      </c>
      <c r="E259" s="42">
        <v>3668</v>
      </c>
      <c r="F259" s="42">
        <f>ROUND(E259,0)</f>
        <v>3668</v>
      </c>
      <c r="G259" s="41">
        <f t="shared" si="151"/>
        <v>0</v>
      </c>
      <c r="H259" s="43"/>
      <c r="I259" s="41">
        <f>ROUND(F259,0)+7552</f>
        <v>11220</v>
      </c>
      <c r="J259" s="41">
        <f t="shared" si="125"/>
        <v>7552</v>
      </c>
      <c r="K259" s="44" t="s">
        <v>181</v>
      </c>
      <c r="L259" s="41">
        <f t="shared" si="149"/>
        <v>11220</v>
      </c>
      <c r="M259" s="41">
        <f t="shared" si="126"/>
        <v>0</v>
      </c>
      <c r="N259" s="44"/>
      <c r="O259" s="41">
        <f t="shared" si="150"/>
        <v>11220</v>
      </c>
      <c r="P259" s="41">
        <f t="shared" si="127"/>
        <v>0</v>
      </c>
      <c r="Q259" s="44"/>
      <c r="R259" s="41">
        <f t="shared" si="145"/>
        <v>11220</v>
      </c>
      <c r="S259" s="41">
        <f t="shared" si="108"/>
        <v>0</v>
      </c>
      <c r="T259" s="44"/>
      <c r="U259" s="41">
        <f t="shared" si="146"/>
        <v>11220</v>
      </c>
      <c r="V259" s="41">
        <f t="shared" si="109"/>
        <v>0</v>
      </c>
      <c r="W259" s="44"/>
      <c r="X259" s="41">
        <f t="shared" si="152"/>
        <v>11220</v>
      </c>
      <c r="Y259" s="41">
        <f t="shared" si="111"/>
        <v>0</v>
      </c>
      <c r="Z259" s="44"/>
      <c r="AA259" s="41">
        <f t="shared" si="153"/>
        <v>11220</v>
      </c>
      <c r="AB259" s="41">
        <f t="shared" si="113"/>
        <v>0</v>
      </c>
      <c r="AC259" s="44"/>
    </row>
    <row r="260" spans="2:29" s="155" customFormat="1" ht="15.6" customHeight="1" x14ac:dyDescent="0.25">
      <c r="B260" s="90" t="s">
        <v>728</v>
      </c>
      <c r="C260" s="172" t="s">
        <v>729</v>
      </c>
      <c r="D260" s="137" t="s">
        <v>730</v>
      </c>
      <c r="E260" s="42">
        <v>15469</v>
      </c>
      <c r="F260" s="42">
        <f>ROUND(E260,0)</f>
        <v>15469</v>
      </c>
      <c r="G260" s="41">
        <f t="shared" si="151"/>
        <v>0</v>
      </c>
      <c r="H260" s="43"/>
      <c r="I260" s="41">
        <f>ROUND(F260,0)+27100</f>
        <v>42569</v>
      </c>
      <c r="J260" s="41">
        <f t="shared" si="125"/>
        <v>27100</v>
      </c>
      <c r="K260" s="241" t="s">
        <v>731</v>
      </c>
      <c r="L260" s="41">
        <f t="shared" si="149"/>
        <v>42569</v>
      </c>
      <c r="M260" s="41">
        <f t="shared" si="126"/>
        <v>0</v>
      </c>
      <c r="N260" s="102"/>
      <c r="O260" s="41">
        <f t="shared" si="150"/>
        <v>42569</v>
      </c>
      <c r="P260" s="41">
        <f t="shared" si="127"/>
        <v>0</v>
      </c>
      <c r="Q260" s="102"/>
      <c r="R260" s="41">
        <f>ROUND(O260,0)+16100+30000</f>
        <v>88669</v>
      </c>
      <c r="S260" s="41">
        <f t="shared" ref="S260:S302" si="154">R260-O260</f>
        <v>46100</v>
      </c>
      <c r="T260" s="103" t="s">
        <v>257</v>
      </c>
      <c r="U260" s="41">
        <f t="shared" si="146"/>
        <v>88669</v>
      </c>
      <c r="V260" s="41">
        <f t="shared" ref="V260:V302" si="155">U260-R260</f>
        <v>0</v>
      </c>
      <c r="W260" s="103"/>
      <c r="X260" s="41">
        <f t="shared" si="152"/>
        <v>88669</v>
      </c>
      <c r="Y260" s="41">
        <f t="shared" ref="Y260:Y302" si="156">X260-U260</f>
        <v>0</v>
      </c>
      <c r="Z260" s="103"/>
      <c r="AA260" s="41">
        <f t="shared" si="153"/>
        <v>88669</v>
      </c>
      <c r="AB260" s="41">
        <f t="shared" ref="AB260:AB302" si="157">AA260-X260</f>
        <v>0</v>
      </c>
      <c r="AC260" s="103"/>
    </row>
    <row r="261" spans="2:29" s="155" customFormat="1" ht="15" customHeight="1" x14ac:dyDescent="0.25">
      <c r="B261" s="90" t="s">
        <v>732</v>
      </c>
      <c r="C261" s="172" t="s">
        <v>733</v>
      </c>
      <c r="D261" s="137" t="s">
        <v>734</v>
      </c>
      <c r="E261" s="42">
        <v>0</v>
      </c>
      <c r="F261" s="42">
        <f>ROUND(E261,0)</f>
        <v>0</v>
      </c>
      <c r="G261" s="41">
        <f t="shared" si="151"/>
        <v>0</v>
      </c>
      <c r="H261" s="43"/>
      <c r="I261" s="41">
        <f t="shared" si="144"/>
        <v>0</v>
      </c>
      <c r="J261" s="41">
        <f t="shared" si="125"/>
        <v>0</v>
      </c>
      <c r="K261" s="44"/>
      <c r="L261" s="41">
        <f t="shared" si="149"/>
        <v>0</v>
      </c>
      <c r="M261" s="41">
        <f t="shared" si="126"/>
        <v>0</v>
      </c>
      <c r="N261" s="44"/>
      <c r="O261" s="41">
        <f t="shared" si="150"/>
        <v>0</v>
      </c>
      <c r="P261" s="41">
        <f t="shared" si="127"/>
        <v>0</v>
      </c>
      <c r="Q261" s="44"/>
      <c r="R261" s="41">
        <f t="shared" si="145"/>
        <v>0</v>
      </c>
      <c r="S261" s="41">
        <f t="shared" si="154"/>
        <v>0</v>
      </c>
      <c r="T261" s="44"/>
      <c r="U261" s="41">
        <f t="shared" si="146"/>
        <v>0</v>
      </c>
      <c r="V261" s="41">
        <f t="shared" si="155"/>
        <v>0</v>
      </c>
      <c r="W261" s="44"/>
      <c r="X261" s="41">
        <f t="shared" si="152"/>
        <v>0</v>
      </c>
      <c r="Y261" s="41">
        <f t="shared" si="156"/>
        <v>0</v>
      </c>
      <c r="Z261" s="44"/>
      <c r="AA261" s="41">
        <f t="shared" si="153"/>
        <v>0</v>
      </c>
      <c r="AB261" s="41">
        <f t="shared" si="157"/>
        <v>0</v>
      </c>
      <c r="AC261" s="44"/>
    </row>
    <row r="262" spans="2:29" ht="13.5" customHeight="1" x14ac:dyDescent="0.25">
      <c r="B262" s="90" t="s">
        <v>735</v>
      </c>
      <c r="C262" s="230" t="s">
        <v>736</v>
      </c>
      <c r="D262" s="176" t="s">
        <v>351</v>
      </c>
      <c r="E262" s="178">
        <v>0</v>
      </c>
      <c r="F262" s="178">
        <f>ROUND(E262,0)+19357+102058</f>
        <v>121415</v>
      </c>
      <c r="G262" s="177">
        <f>F262-E262</f>
        <v>121415</v>
      </c>
      <c r="H262" s="99" t="s">
        <v>737</v>
      </c>
      <c r="I262" s="177">
        <f t="shared" si="144"/>
        <v>121415</v>
      </c>
      <c r="J262" s="177">
        <f t="shared" si="125"/>
        <v>0</v>
      </c>
      <c r="K262" s="99"/>
      <c r="L262" s="177">
        <f t="shared" si="149"/>
        <v>121415</v>
      </c>
      <c r="M262" s="177">
        <f t="shared" si="126"/>
        <v>0</v>
      </c>
      <c r="N262" s="99"/>
      <c r="O262" s="177">
        <f>ROUND(L262,0)-6629</f>
        <v>114786</v>
      </c>
      <c r="P262" s="177">
        <f t="shared" si="127"/>
        <v>-6629</v>
      </c>
      <c r="Q262" s="99" t="s">
        <v>738</v>
      </c>
      <c r="R262" s="177">
        <f t="shared" si="145"/>
        <v>114786</v>
      </c>
      <c r="S262" s="177">
        <f t="shared" si="154"/>
        <v>0</v>
      </c>
      <c r="T262" s="99"/>
      <c r="U262" s="177">
        <f t="shared" si="146"/>
        <v>114786</v>
      </c>
      <c r="V262" s="177">
        <f t="shared" si="155"/>
        <v>0</v>
      </c>
      <c r="W262" s="99"/>
      <c r="X262" s="177">
        <f t="shared" si="152"/>
        <v>114786</v>
      </c>
      <c r="Y262" s="177">
        <f t="shared" si="156"/>
        <v>0</v>
      </c>
      <c r="Z262" s="99"/>
      <c r="AA262" s="177">
        <f t="shared" si="153"/>
        <v>114786</v>
      </c>
      <c r="AB262" s="177">
        <f t="shared" si="157"/>
        <v>0</v>
      </c>
      <c r="AC262" s="99"/>
    </row>
    <row r="263" spans="2:29" s="38" customFormat="1" ht="15.75" customHeight="1" x14ac:dyDescent="0.25">
      <c r="B263" s="63"/>
      <c r="C263" s="230" t="s">
        <v>739</v>
      </c>
      <c r="D263" s="176" t="s">
        <v>740</v>
      </c>
      <c r="E263" s="177">
        <v>8531591.7446570527</v>
      </c>
      <c r="F263" s="178">
        <f>F264+F268+F269+F270+F271+F272+F273+F274+F275+F276+F277</f>
        <v>8748498</v>
      </c>
      <c r="G263" s="178">
        <f t="shared" ref="G263:H263" si="158">G264+G268+G269+G270+G271+G272+G273+G274+G275+G276+G277</f>
        <v>216906.25534294697</v>
      </c>
      <c r="H263" s="178" t="e">
        <f t="shared" si="158"/>
        <v>#VALUE!</v>
      </c>
      <c r="I263" s="178">
        <f>I264+I268+I269+I270+I271+I272+I273+I274+I275+I276+I277</f>
        <v>8832612</v>
      </c>
      <c r="J263" s="177">
        <f t="shared" si="125"/>
        <v>84114</v>
      </c>
      <c r="K263" s="99"/>
      <c r="L263" s="178">
        <f>L264+L268+L269+L270+L271+L272+L273+L274+L275+L276+L277</f>
        <v>8853612</v>
      </c>
      <c r="M263" s="177">
        <f t="shared" si="126"/>
        <v>21000</v>
      </c>
      <c r="N263" s="99"/>
      <c r="O263" s="177">
        <f>O264+O268+O269+O270+O271+O272+O273+O274+O275+O276+O277</f>
        <v>8850462</v>
      </c>
      <c r="P263" s="177">
        <f t="shared" si="127"/>
        <v>-3150</v>
      </c>
      <c r="Q263" s="99"/>
      <c r="R263" s="177">
        <f>R264+R268+R269+R270+R271+R272+R273+R274+R275+R276+R277</f>
        <v>8838626</v>
      </c>
      <c r="S263" s="177">
        <f t="shared" si="154"/>
        <v>-11836</v>
      </c>
      <c r="T263" s="99"/>
      <c r="U263" s="177">
        <f>U264+U268+U269+U270+U271+U272+U273+U274+U275+U276+U277</f>
        <v>8818160</v>
      </c>
      <c r="V263" s="177">
        <f t="shared" si="155"/>
        <v>-20466</v>
      </c>
      <c r="W263" s="99"/>
      <c r="X263" s="177">
        <f>X264+X268+X269+X270+X271+X272+X273+X274+X275+X276+X277</f>
        <v>8906206</v>
      </c>
      <c r="Y263" s="177">
        <f t="shared" si="156"/>
        <v>88046</v>
      </c>
      <c r="Z263" s="99"/>
      <c r="AA263" s="177">
        <f>AA264+AA268+AA269+AA270+AA271+AA272+AA273+AA274+AA275+AA276+AA277</f>
        <v>8906206</v>
      </c>
      <c r="AB263" s="177">
        <f t="shared" si="157"/>
        <v>0</v>
      </c>
      <c r="AC263" s="99"/>
    </row>
    <row r="264" spans="2:29" s="38" customFormat="1" ht="28.15" customHeight="1" x14ac:dyDescent="0.25">
      <c r="B264" s="63" t="s">
        <v>352</v>
      </c>
      <c r="C264" s="172" t="s">
        <v>741</v>
      </c>
      <c r="D264" s="137" t="s">
        <v>650</v>
      </c>
      <c r="E264" s="42">
        <v>4238288</v>
      </c>
      <c r="F264" s="42">
        <f>SUM(F265:F267)</f>
        <v>4362146</v>
      </c>
      <c r="G264" s="41">
        <f t="shared" ref="G264:G302" si="159">F264-E264</f>
        <v>123858</v>
      </c>
      <c r="H264" s="96" t="s">
        <v>696</v>
      </c>
      <c r="I264" s="41">
        <f>SUM(I265:I267)</f>
        <v>4407640</v>
      </c>
      <c r="J264" s="41">
        <f t="shared" si="125"/>
        <v>45494</v>
      </c>
      <c r="K264" s="45"/>
      <c r="L264" s="41">
        <f>SUM(L265:L267)</f>
        <v>4407640</v>
      </c>
      <c r="M264" s="41">
        <f t="shared" si="126"/>
        <v>0</v>
      </c>
      <c r="N264" s="45"/>
      <c r="O264" s="41">
        <f>SUM(O265:O267)</f>
        <v>4407640</v>
      </c>
      <c r="P264" s="41">
        <f t="shared" si="127"/>
        <v>0</v>
      </c>
      <c r="Q264" s="45"/>
      <c r="R264" s="41">
        <f>SUM(R265:R267)</f>
        <v>4407640</v>
      </c>
      <c r="S264" s="41">
        <f t="shared" si="154"/>
        <v>0</v>
      </c>
      <c r="T264" s="45"/>
      <c r="U264" s="41">
        <f>SUM(U265:U267)</f>
        <v>4396662</v>
      </c>
      <c r="V264" s="41">
        <f t="shared" si="155"/>
        <v>-10978</v>
      </c>
      <c r="W264" s="45" t="s">
        <v>145</v>
      </c>
      <c r="X264" s="41">
        <f>SUM(X265:X267)</f>
        <v>4396662</v>
      </c>
      <c r="Y264" s="41">
        <f t="shared" si="156"/>
        <v>0</v>
      </c>
      <c r="Z264" s="45"/>
      <c r="AA264" s="41">
        <f>SUM(AA265:AA267)</f>
        <v>4396662</v>
      </c>
      <c r="AB264" s="41">
        <f t="shared" si="157"/>
        <v>0</v>
      </c>
      <c r="AC264" s="45"/>
    </row>
    <row r="265" spans="2:29" s="240" customFormat="1" ht="17.25" customHeight="1" x14ac:dyDescent="0.25">
      <c r="B265" s="237"/>
      <c r="C265" s="194" t="s">
        <v>742</v>
      </c>
      <c r="D265" s="195" t="s">
        <v>743</v>
      </c>
      <c r="E265" s="238">
        <v>4021527</v>
      </c>
      <c r="F265" s="238">
        <f>4021527+17418-6716</f>
        <v>4032229</v>
      </c>
      <c r="G265" s="196">
        <f t="shared" si="159"/>
        <v>10702</v>
      </c>
      <c r="H265" s="239" t="s">
        <v>696</v>
      </c>
      <c r="I265" s="196">
        <f>ROUND(F265,0)</f>
        <v>4032229</v>
      </c>
      <c r="J265" s="196">
        <f>I265-F265</f>
        <v>0</v>
      </c>
      <c r="K265" s="209"/>
      <c r="L265" s="196">
        <f>ROUND(I265,0)</f>
        <v>4032229</v>
      </c>
      <c r="M265" s="41">
        <f t="shared" si="126"/>
        <v>0</v>
      </c>
      <c r="N265" s="209"/>
      <c r="O265" s="41">
        <f>ROUND(L265,0)</f>
        <v>4032229</v>
      </c>
      <c r="P265" s="41">
        <f>O265-L265</f>
        <v>0</v>
      </c>
      <c r="Q265" s="209"/>
      <c r="R265" s="41">
        <f>ROUND(O265,0)</f>
        <v>4032229</v>
      </c>
      <c r="S265" s="41">
        <f t="shared" si="154"/>
        <v>0</v>
      </c>
      <c r="T265" s="209"/>
      <c r="U265" s="41">
        <f>ROUND(R265,0)+(14311-2258)</f>
        <v>4044282</v>
      </c>
      <c r="V265" s="41">
        <f t="shared" si="155"/>
        <v>12053</v>
      </c>
      <c r="W265" s="209"/>
      <c r="X265" s="41">
        <f>ROUND(U265,0)</f>
        <v>4044282</v>
      </c>
      <c r="Y265" s="41">
        <f t="shared" si="156"/>
        <v>0</v>
      </c>
      <c r="Z265" s="209"/>
      <c r="AA265" s="41">
        <f>ROUND(X265,0)</f>
        <v>4044282</v>
      </c>
      <c r="AB265" s="41">
        <f t="shared" si="157"/>
        <v>0</v>
      </c>
      <c r="AC265" s="209"/>
    </row>
    <row r="266" spans="2:29" s="240" customFormat="1" ht="16.899999999999999" customHeight="1" x14ac:dyDescent="0.25">
      <c r="B266" s="237"/>
      <c r="C266" s="194" t="s">
        <v>744</v>
      </c>
      <c r="D266" s="195" t="s">
        <v>712</v>
      </c>
      <c r="E266" s="238">
        <v>216761</v>
      </c>
      <c r="F266" s="238">
        <f>216761+110614+3572+30+4-1482</f>
        <v>329499</v>
      </c>
      <c r="G266" s="196">
        <f t="shared" si="159"/>
        <v>112738</v>
      </c>
      <c r="H266" s="239" t="s">
        <v>696</v>
      </c>
      <c r="I266" s="196">
        <f>ROUND(F266,0)-49310+22060+264</f>
        <v>302513</v>
      </c>
      <c r="J266" s="196">
        <f>I266-F266</f>
        <v>-26986</v>
      </c>
      <c r="K266" s="209" t="s">
        <v>697</v>
      </c>
      <c r="L266" s="196">
        <f>ROUND(I266,0)</f>
        <v>302513</v>
      </c>
      <c r="M266" s="41">
        <f t="shared" si="126"/>
        <v>0</v>
      </c>
      <c r="N266" s="209"/>
      <c r="O266" s="41">
        <f>ROUND(L266,0)</f>
        <v>302513</v>
      </c>
      <c r="P266" s="41">
        <f>O266-L266</f>
        <v>0</v>
      </c>
      <c r="Q266" s="209"/>
      <c r="R266" s="41">
        <f>ROUND(O266,0)</f>
        <v>302513</v>
      </c>
      <c r="S266" s="41">
        <f t="shared" si="154"/>
        <v>0</v>
      </c>
      <c r="T266" s="209"/>
      <c r="U266" s="41">
        <f>ROUND(R266,0)-4668-18363</f>
        <v>279482</v>
      </c>
      <c r="V266" s="41">
        <f t="shared" si="155"/>
        <v>-23031</v>
      </c>
      <c r="W266" s="209"/>
      <c r="X266" s="41">
        <f>ROUND(U266,0)</f>
        <v>279482</v>
      </c>
      <c r="Y266" s="41">
        <f t="shared" si="156"/>
        <v>0</v>
      </c>
      <c r="Z266" s="209"/>
      <c r="AA266" s="41">
        <f>ROUND(X266,0)</f>
        <v>279482</v>
      </c>
      <c r="AB266" s="41">
        <f t="shared" si="157"/>
        <v>0</v>
      </c>
      <c r="AC266" s="209"/>
    </row>
    <row r="267" spans="2:29" s="240" customFormat="1" ht="17.25" customHeight="1" x14ac:dyDescent="0.25">
      <c r="B267" s="237"/>
      <c r="C267" s="194" t="s">
        <v>745</v>
      </c>
      <c r="D267" s="195" t="s">
        <v>714</v>
      </c>
      <c r="E267" s="238"/>
      <c r="F267" s="238">
        <f>418</f>
        <v>418</v>
      </c>
      <c r="G267" s="196">
        <f t="shared" si="159"/>
        <v>418</v>
      </c>
      <c r="H267" s="239" t="s">
        <v>696</v>
      </c>
      <c r="I267" s="196">
        <f>ROUND(F267,0)-264+71355+538+851</f>
        <v>72898</v>
      </c>
      <c r="J267" s="196">
        <f>I267-F267</f>
        <v>72480</v>
      </c>
      <c r="K267" s="209" t="s">
        <v>677</v>
      </c>
      <c r="L267" s="196">
        <f>ROUND(I267,0)</f>
        <v>72898</v>
      </c>
      <c r="M267" s="41">
        <f t="shared" si="126"/>
        <v>0</v>
      </c>
      <c r="N267" s="209"/>
      <c r="O267" s="41">
        <f>ROUND(L267,0)</f>
        <v>72898</v>
      </c>
      <c r="P267" s="41">
        <f>O267-L267</f>
        <v>0</v>
      </c>
      <c r="Q267" s="209"/>
      <c r="R267" s="41">
        <f>ROUND(O267,0)</f>
        <v>72898</v>
      </c>
      <c r="S267" s="41">
        <f t="shared" si="154"/>
        <v>0</v>
      </c>
      <c r="T267" s="209"/>
      <c r="U267" s="41">
        <f>ROUND(R267,0)</f>
        <v>72898</v>
      </c>
      <c r="V267" s="41">
        <f t="shared" si="155"/>
        <v>0</v>
      </c>
      <c r="W267" s="209"/>
      <c r="X267" s="41">
        <f>ROUND(U267,0)</f>
        <v>72898</v>
      </c>
      <c r="Y267" s="41">
        <f t="shared" si="156"/>
        <v>0</v>
      </c>
      <c r="Z267" s="209"/>
      <c r="AA267" s="41">
        <f>ROUND(X267,0)</f>
        <v>72898</v>
      </c>
      <c r="AB267" s="41">
        <f t="shared" si="157"/>
        <v>0</v>
      </c>
      <c r="AC267" s="209"/>
    </row>
    <row r="268" spans="2:29" s="38" customFormat="1" ht="16.899999999999999" customHeight="1" x14ac:dyDescent="0.25">
      <c r="B268" s="63" t="s">
        <v>746</v>
      </c>
      <c r="C268" s="172" t="s">
        <v>747</v>
      </c>
      <c r="D268" s="137" t="s">
        <v>655</v>
      </c>
      <c r="E268" s="42">
        <v>1427218.8621271863</v>
      </c>
      <c r="F268" s="42">
        <f>ROUND(E268,0)-337847+35517</f>
        <v>1124889</v>
      </c>
      <c r="G268" s="41">
        <f t="shared" si="159"/>
        <v>-302329.86212718626</v>
      </c>
      <c r="H268" s="45" t="s">
        <v>748</v>
      </c>
      <c r="I268" s="41">
        <f>ROUND(F268,0)-146203</f>
        <v>978686</v>
      </c>
      <c r="J268" s="41">
        <f t="shared" si="125"/>
        <v>-146203</v>
      </c>
      <c r="K268" s="45" t="s">
        <v>749</v>
      </c>
      <c r="L268" s="41">
        <f>ROUND(I268,0)+5000+16000</f>
        <v>999686</v>
      </c>
      <c r="M268" s="41">
        <f t="shared" si="126"/>
        <v>21000</v>
      </c>
      <c r="N268" s="242" t="s">
        <v>750</v>
      </c>
      <c r="O268" s="41">
        <f>ROUND(L268,0)-6000</f>
        <v>993686</v>
      </c>
      <c r="P268" s="41">
        <f t="shared" si="127"/>
        <v>-6000</v>
      </c>
      <c r="Q268" s="44" t="s">
        <v>751</v>
      </c>
      <c r="R268" s="41">
        <f>ROUND(O268,0)-5600</f>
        <v>988086</v>
      </c>
      <c r="S268" s="41">
        <f t="shared" si="154"/>
        <v>-5600</v>
      </c>
      <c r="T268" s="243" t="s">
        <v>752</v>
      </c>
      <c r="U268" s="41">
        <f>ROUND(R268,0)-12000-8708</f>
        <v>967378</v>
      </c>
      <c r="V268" s="41">
        <f t="shared" si="155"/>
        <v>-20708</v>
      </c>
      <c r="W268" s="244" t="s">
        <v>753</v>
      </c>
      <c r="X268" s="41">
        <f>ROUND(U268,0)+110000</f>
        <v>1077378</v>
      </c>
      <c r="Y268" s="41">
        <f t="shared" si="156"/>
        <v>110000</v>
      </c>
      <c r="Z268" s="244" t="s">
        <v>754</v>
      </c>
      <c r="AA268" s="41">
        <f>ROUND(X268,0)</f>
        <v>1077378</v>
      </c>
      <c r="AB268" s="41">
        <f t="shared" si="157"/>
        <v>0</v>
      </c>
      <c r="AC268" s="244"/>
    </row>
    <row r="269" spans="2:29" s="38" customFormat="1" ht="20.25" customHeight="1" x14ac:dyDescent="0.25">
      <c r="B269" s="63"/>
      <c r="C269" s="172" t="s">
        <v>755</v>
      </c>
      <c r="D269" s="137" t="s">
        <v>661</v>
      </c>
      <c r="E269" s="42"/>
      <c r="F269" s="42">
        <v>337847</v>
      </c>
      <c r="G269" s="41">
        <f t="shared" si="159"/>
        <v>337847</v>
      </c>
      <c r="H269" s="45"/>
      <c r="I269" s="41">
        <f>ROUND(F269,0)+10919+146203</f>
        <v>494969</v>
      </c>
      <c r="J269" s="41">
        <f>I269-F269</f>
        <v>157122</v>
      </c>
      <c r="K269" s="45" t="s">
        <v>756</v>
      </c>
      <c r="L269" s="41">
        <f>ROUND(I269,0)</f>
        <v>494969</v>
      </c>
      <c r="M269" s="41">
        <f t="shared" si="126"/>
        <v>0</v>
      </c>
      <c r="N269" s="45"/>
      <c r="O269" s="41">
        <f>ROUND(L269,0)+6000</f>
        <v>500969</v>
      </c>
      <c r="P269" s="41">
        <f>O269-L269</f>
        <v>6000</v>
      </c>
      <c r="Q269" s="44" t="s">
        <v>751</v>
      </c>
      <c r="R269" s="41">
        <f>ROUND(O269,0)+5600</f>
        <v>506569</v>
      </c>
      <c r="S269" s="41">
        <f t="shared" si="154"/>
        <v>5600</v>
      </c>
      <c r="T269" s="245"/>
      <c r="U269" s="41">
        <f>ROUND(R269,0)+12000+2300+8708</f>
        <v>529577</v>
      </c>
      <c r="V269" s="41">
        <f t="shared" si="155"/>
        <v>23008</v>
      </c>
      <c r="W269" s="244" t="s">
        <v>757</v>
      </c>
      <c r="X269" s="41">
        <f>ROUND(U269,0)</f>
        <v>529577</v>
      </c>
      <c r="Y269" s="41">
        <f t="shared" si="156"/>
        <v>0</v>
      </c>
      <c r="Z269" s="244"/>
      <c r="AA269" s="41">
        <f>ROUND(X269,0)</f>
        <v>529577</v>
      </c>
      <c r="AB269" s="41">
        <f t="shared" si="157"/>
        <v>0</v>
      </c>
      <c r="AC269" s="244"/>
    </row>
    <row r="270" spans="2:29" s="38" customFormat="1" ht="15" customHeight="1" x14ac:dyDescent="0.25">
      <c r="B270" s="38" t="s">
        <v>758</v>
      </c>
      <c r="C270" s="172" t="s">
        <v>759</v>
      </c>
      <c r="D270" s="137" t="s">
        <v>760</v>
      </c>
      <c r="E270" s="42">
        <v>266093</v>
      </c>
      <c r="F270" s="42">
        <f>ROUND(E270,0)</f>
        <v>266093</v>
      </c>
      <c r="G270" s="41">
        <f t="shared" si="159"/>
        <v>0</v>
      </c>
      <c r="H270" s="44"/>
      <c r="I270" s="41">
        <f>ROUND(F270,0)-27100</f>
        <v>238993</v>
      </c>
      <c r="J270" s="41">
        <f t="shared" si="125"/>
        <v>-27100</v>
      </c>
      <c r="K270" s="241" t="s">
        <v>731</v>
      </c>
      <c r="L270" s="41">
        <f t="shared" ref="L270:L276" si="160">ROUND(I270,0)</f>
        <v>238993</v>
      </c>
      <c r="M270" s="41">
        <f t="shared" si="126"/>
        <v>0</v>
      </c>
      <c r="N270" s="44"/>
      <c r="O270" s="41">
        <f t="shared" ref="O270:O276" si="161">ROUND(L270,0)</f>
        <v>238993</v>
      </c>
      <c r="P270" s="41">
        <f t="shared" si="127"/>
        <v>0</v>
      </c>
      <c r="Q270" s="44"/>
      <c r="R270" s="41">
        <f t="shared" ref="R270:R276" si="162">ROUND(O270,0)</f>
        <v>238993</v>
      </c>
      <c r="S270" s="41">
        <f t="shared" si="154"/>
        <v>0</v>
      </c>
      <c r="T270" s="44"/>
      <c r="U270" s="41">
        <f t="shared" ref="U270:U276" si="163">ROUND(R270,0)</f>
        <v>238993</v>
      </c>
      <c r="V270" s="41">
        <f t="shared" si="155"/>
        <v>0</v>
      </c>
      <c r="W270" s="44"/>
      <c r="X270" s="41">
        <f t="shared" ref="X270:X272" si="164">ROUND(U270,0)</f>
        <v>238993</v>
      </c>
      <c r="Y270" s="41">
        <f t="shared" si="156"/>
        <v>0</v>
      </c>
      <c r="Z270" s="44"/>
      <c r="AA270" s="41">
        <f t="shared" ref="AA270:AA272" si="165">ROUND(X270,0)</f>
        <v>238993</v>
      </c>
      <c r="AB270" s="41">
        <f t="shared" si="157"/>
        <v>0</v>
      </c>
      <c r="AC270" s="44"/>
    </row>
    <row r="271" spans="2:29" s="38" customFormat="1" ht="16.149999999999999" customHeight="1" x14ac:dyDescent="0.25">
      <c r="B271" s="63" t="s">
        <v>761</v>
      </c>
      <c r="C271" s="172" t="s">
        <v>762</v>
      </c>
      <c r="D271" s="137" t="s">
        <v>727</v>
      </c>
      <c r="E271" s="42">
        <v>14485</v>
      </c>
      <c r="F271" s="42">
        <f>ROUND(E271,0)</f>
        <v>14485</v>
      </c>
      <c r="G271" s="41">
        <f t="shared" si="159"/>
        <v>0</v>
      </c>
      <c r="H271" s="44"/>
      <c r="I271" s="41">
        <f>ROUND(F271,0)+26175</f>
        <v>40660</v>
      </c>
      <c r="J271" s="41">
        <f t="shared" si="125"/>
        <v>26175</v>
      </c>
      <c r="K271" s="44" t="s">
        <v>181</v>
      </c>
      <c r="L271" s="41">
        <f t="shared" si="160"/>
        <v>40660</v>
      </c>
      <c r="M271" s="41">
        <f t="shared" si="126"/>
        <v>0</v>
      </c>
      <c r="N271" s="44"/>
      <c r="O271" s="41">
        <f t="shared" si="161"/>
        <v>40660</v>
      </c>
      <c r="P271" s="41">
        <f t="shared" si="127"/>
        <v>0</v>
      </c>
      <c r="Q271" s="44"/>
      <c r="R271" s="41">
        <f t="shared" si="162"/>
        <v>40660</v>
      </c>
      <c r="S271" s="41">
        <f t="shared" si="154"/>
        <v>0</v>
      </c>
      <c r="T271" s="44"/>
      <c r="U271" s="41">
        <f t="shared" si="163"/>
        <v>40660</v>
      </c>
      <c r="V271" s="41">
        <f t="shared" si="155"/>
        <v>0</v>
      </c>
      <c r="W271" s="44"/>
      <c r="X271" s="41">
        <f t="shared" si="164"/>
        <v>40660</v>
      </c>
      <c r="Y271" s="41">
        <f t="shared" si="156"/>
        <v>0</v>
      </c>
      <c r="Z271" s="44"/>
      <c r="AA271" s="41">
        <f t="shared" si="165"/>
        <v>40660</v>
      </c>
      <c r="AB271" s="41">
        <f t="shared" si="157"/>
        <v>0</v>
      </c>
      <c r="AC271" s="44"/>
    </row>
    <row r="272" spans="2:29" s="246" customFormat="1" ht="27.75" customHeight="1" x14ac:dyDescent="0.25">
      <c r="B272" s="63" t="s">
        <v>746</v>
      </c>
      <c r="C272" s="172" t="s">
        <v>763</v>
      </c>
      <c r="D272" s="137" t="s">
        <v>354</v>
      </c>
      <c r="E272" s="42">
        <v>34497</v>
      </c>
      <c r="F272" s="42">
        <f>ROUND(E272,0)+53231</f>
        <v>87728</v>
      </c>
      <c r="G272" s="41">
        <f t="shared" si="159"/>
        <v>53231</v>
      </c>
      <c r="H272" s="45" t="s">
        <v>764</v>
      </c>
      <c r="I272" s="41">
        <f>ROUND(F272,0)</f>
        <v>87728</v>
      </c>
      <c r="J272" s="41">
        <f t="shared" si="125"/>
        <v>0</v>
      </c>
      <c r="K272" s="45"/>
      <c r="L272" s="41">
        <f t="shared" si="160"/>
        <v>87728</v>
      </c>
      <c r="M272" s="41">
        <f t="shared" si="126"/>
        <v>0</v>
      </c>
      <c r="N272" s="45"/>
      <c r="O272" s="41">
        <f t="shared" si="161"/>
        <v>87728</v>
      </c>
      <c r="P272" s="41">
        <f t="shared" si="127"/>
        <v>0</v>
      </c>
      <c r="Q272" s="45"/>
      <c r="R272" s="41">
        <f t="shared" si="162"/>
        <v>87728</v>
      </c>
      <c r="S272" s="41">
        <f t="shared" si="154"/>
        <v>0</v>
      </c>
      <c r="T272" s="45"/>
      <c r="U272" s="41">
        <f t="shared" si="163"/>
        <v>87728</v>
      </c>
      <c r="V272" s="41">
        <f t="shared" si="155"/>
        <v>0</v>
      </c>
      <c r="W272" s="45"/>
      <c r="X272" s="41">
        <f t="shared" si="164"/>
        <v>87728</v>
      </c>
      <c r="Y272" s="41">
        <f t="shared" si="156"/>
        <v>0</v>
      </c>
      <c r="Z272" s="45"/>
      <c r="AA272" s="41">
        <f t="shared" si="165"/>
        <v>87728</v>
      </c>
      <c r="AB272" s="41">
        <f t="shared" si="157"/>
        <v>0</v>
      </c>
      <c r="AC272" s="45"/>
    </row>
    <row r="273" spans="2:29" s="246" customFormat="1" ht="44.25" customHeight="1" x14ac:dyDescent="0.25">
      <c r="B273" s="63" t="s">
        <v>746</v>
      </c>
      <c r="C273" s="172" t="s">
        <v>765</v>
      </c>
      <c r="D273" s="137" t="s">
        <v>357</v>
      </c>
      <c r="E273" s="42">
        <v>870000</v>
      </c>
      <c r="F273" s="42">
        <f>ROUND(E273,0)</f>
        <v>870000</v>
      </c>
      <c r="G273" s="41">
        <f>F273-E273</f>
        <v>0</v>
      </c>
      <c r="H273" s="68"/>
      <c r="I273" s="41">
        <f>ROUND(F273,0)</f>
        <v>870000</v>
      </c>
      <c r="J273" s="41">
        <f>I273-F273</f>
        <v>0</v>
      </c>
      <c r="K273" s="45"/>
      <c r="L273" s="41">
        <f t="shared" si="160"/>
        <v>870000</v>
      </c>
      <c r="M273" s="41">
        <f t="shared" si="126"/>
        <v>0</v>
      </c>
      <c r="N273" s="45"/>
      <c r="O273" s="41">
        <f>ROUND(L273,0)</f>
        <v>870000</v>
      </c>
      <c r="P273" s="41">
        <f>O273-L273</f>
        <v>0</v>
      </c>
      <c r="Q273" s="45"/>
      <c r="R273" s="41">
        <f t="shared" si="162"/>
        <v>870000</v>
      </c>
      <c r="S273" s="41">
        <f t="shared" si="154"/>
        <v>0</v>
      </c>
      <c r="T273" s="45"/>
      <c r="U273" s="41">
        <f>ROUND(R273,0)-2300</f>
        <v>867700</v>
      </c>
      <c r="V273" s="41">
        <f t="shared" si="155"/>
        <v>-2300</v>
      </c>
      <c r="W273" s="45" t="s">
        <v>766</v>
      </c>
      <c r="X273" s="41">
        <f>ROUND(U273,0)</f>
        <v>867700</v>
      </c>
      <c r="Y273" s="41">
        <f t="shared" si="156"/>
        <v>0</v>
      </c>
      <c r="Z273" s="45"/>
      <c r="AA273" s="41">
        <f>ROUND(X273,0)</f>
        <v>867700</v>
      </c>
      <c r="AB273" s="41">
        <f t="shared" si="157"/>
        <v>0</v>
      </c>
      <c r="AC273" s="45"/>
    </row>
    <row r="274" spans="2:29" s="246" customFormat="1" ht="16.899999999999999" customHeight="1" x14ac:dyDescent="0.25">
      <c r="B274" s="247" t="s">
        <v>767</v>
      </c>
      <c r="C274" s="172" t="s">
        <v>768</v>
      </c>
      <c r="D274" s="137" t="s">
        <v>769</v>
      </c>
      <c r="E274" s="42">
        <v>1006133.6654766668</v>
      </c>
      <c r="F274" s="42">
        <f>ROUND(E274,0)-197877-65904</f>
        <v>742353</v>
      </c>
      <c r="G274" s="41">
        <f t="shared" si="159"/>
        <v>-263780.66547666676</v>
      </c>
      <c r="H274" s="45" t="s">
        <v>770</v>
      </c>
      <c r="I274" s="41">
        <f>ROUND(F274,0)-58159</f>
        <v>684194</v>
      </c>
      <c r="J274" s="41">
        <f t="shared" si="125"/>
        <v>-58159</v>
      </c>
      <c r="K274" s="45" t="s">
        <v>771</v>
      </c>
      <c r="L274" s="41">
        <f t="shared" si="160"/>
        <v>684194</v>
      </c>
      <c r="M274" s="41">
        <f t="shared" si="126"/>
        <v>0</v>
      </c>
      <c r="N274" s="45"/>
      <c r="O274" s="41">
        <f t="shared" si="161"/>
        <v>684194</v>
      </c>
      <c r="P274" s="41">
        <f t="shared" si="127"/>
        <v>0</v>
      </c>
      <c r="Q274" s="45"/>
      <c r="R274" s="41">
        <f t="shared" si="162"/>
        <v>684194</v>
      </c>
      <c r="S274" s="41">
        <f t="shared" si="154"/>
        <v>0</v>
      </c>
      <c r="T274" s="45"/>
      <c r="U274" s="41">
        <f>ROUND(R274,0)-9168</f>
        <v>675026</v>
      </c>
      <c r="V274" s="41">
        <f t="shared" si="155"/>
        <v>-9168</v>
      </c>
      <c r="W274" s="45" t="s">
        <v>772</v>
      </c>
      <c r="X274" s="41">
        <f>ROUND(U274,0)+35046-110000</f>
        <v>600072</v>
      </c>
      <c r="Y274" s="41">
        <f t="shared" si="156"/>
        <v>-74954</v>
      </c>
      <c r="Z274" s="45" t="s">
        <v>773</v>
      </c>
      <c r="AA274" s="41">
        <f>ROUND(X274,0)</f>
        <v>600072</v>
      </c>
      <c r="AB274" s="41">
        <f t="shared" si="157"/>
        <v>0</v>
      </c>
      <c r="AC274" s="45"/>
    </row>
    <row r="275" spans="2:29" s="246" customFormat="1" ht="30" customHeight="1" x14ac:dyDescent="0.25">
      <c r="B275" s="247"/>
      <c r="C275" s="172" t="s">
        <v>774</v>
      </c>
      <c r="D275" s="137" t="s">
        <v>775</v>
      </c>
      <c r="E275" s="42"/>
      <c r="F275" s="42">
        <v>197877</v>
      </c>
      <c r="G275" s="41">
        <f t="shared" si="159"/>
        <v>197877</v>
      </c>
      <c r="H275" s="45"/>
      <c r="I275" s="41">
        <f>ROUND(F275,0)+19453+58159</f>
        <v>275489</v>
      </c>
      <c r="J275" s="41">
        <f>I275-F275</f>
        <v>77612</v>
      </c>
      <c r="K275" s="45" t="s">
        <v>776</v>
      </c>
      <c r="L275" s="41">
        <f>ROUND(I275,0)</f>
        <v>275489</v>
      </c>
      <c r="M275" s="41">
        <f>L275-I275</f>
        <v>0</v>
      </c>
      <c r="N275" s="45"/>
      <c r="O275" s="41">
        <f>ROUND(L275,0)</f>
        <v>275489</v>
      </c>
      <c r="P275" s="41">
        <f>O275-L275</f>
        <v>0</v>
      </c>
      <c r="Q275" s="45"/>
      <c r="R275" s="41">
        <f t="shared" si="162"/>
        <v>275489</v>
      </c>
      <c r="S275" s="41">
        <f t="shared" si="154"/>
        <v>0</v>
      </c>
      <c r="T275" s="45"/>
      <c r="U275" s="41">
        <f>ROUND(R275,0)+3590+9168</f>
        <v>288247</v>
      </c>
      <c r="V275" s="41">
        <f t="shared" si="155"/>
        <v>12758</v>
      </c>
      <c r="W275" s="45" t="s">
        <v>777</v>
      </c>
      <c r="X275" s="41">
        <f>ROUND(U275,0)</f>
        <v>288247</v>
      </c>
      <c r="Y275" s="41">
        <f t="shared" si="156"/>
        <v>0</v>
      </c>
      <c r="Z275" s="45"/>
      <c r="AA275" s="41">
        <f>ROUND(X275,0)</f>
        <v>288247</v>
      </c>
      <c r="AB275" s="41">
        <f t="shared" si="157"/>
        <v>0</v>
      </c>
      <c r="AC275" s="45"/>
    </row>
    <row r="276" spans="2:29" s="246" customFormat="1" ht="43.5" customHeight="1" x14ac:dyDescent="0.25">
      <c r="B276" s="63" t="s">
        <v>352</v>
      </c>
      <c r="C276" s="172" t="s">
        <v>778</v>
      </c>
      <c r="D276" s="137" t="s">
        <v>779</v>
      </c>
      <c r="E276" s="42">
        <v>166307</v>
      </c>
      <c r="F276" s="42">
        <f>ROUND(E276,0)+69974</f>
        <v>236281</v>
      </c>
      <c r="G276" s="41">
        <f t="shared" si="159"/>
        <v>69974</v>
      </c>
      <c r="H276" s="45" t="s">
        <v>651</v>
      </c>
      <c r="I276" s="41">
        <f>ROUND(F276,0)</f>
        <v>236281</v>
      </c>
      <c r="J276" s="41">
        <f t="shared" si="125"/>
        <v>0</v>
      </c>
      <c r="K276" s="44"/>
      <c r="L276" s="41">
        <f t="shared" si="160"/>
        <v>236281</v>
      </c>
      <c r="M276" s="41">
        <f t="shared" si="126"/>
        <v>0</v>
      </c>
      <c r="N276" s="44"/>
      <c r="O276" s="41">
        <f t="shared" si="161"/>
        <v>236281</v>
      </c>
      <c r="P276" s="41">
        <f t="shared" si="127"/>
        <v>0</v>
      </c>
      <c r="Q276" s="44"/>
      <c r="R276" s="41">
        <f t="shared" si="162"/>
        <v>236281</v>
      </c>
      <c r="S276" s="41">
        <f t="shared" si="154"/>
        <v>0</v>
      </c>
      <c r="T276" s="44"/>
      <c r="U276" s="41">
        <f t="shared" si="163"/>
        <v>236281</v>
      </c>
      <c r="V276" s="41">
        <f t="shared" si="155"/>
        <v>0</v>
      </c>
      <c r="W276" s="44"/>
      <c r="X276" s="41">
        <f>ROUND(U276,0)+53000</f>
        <v>289281</v>
      </c>
      <c r="Y276" s="41">
        <f t="shared" si="156"/>
        <v>53000</v>
      </c>
      <c r="Z276" s="45" t="s">
        <v>780</v>
      </c>
      <c r="AA276" s="41">
        <f>ROUND(X276,0)</f>
        <v>289281</v>
      </c>
      <c r="AB276" s="41">
        <f t="shared" si="157"/>
        <v>0</v>
      </c>
      <c r="AC276" s="45"/>
    </row>
    <row r="277" spans="2:29" s="253" customFormat="1" ht="13.9" customHeight="1" x14ac:dyDescent="0.25">
      <c r="B277" s="247"/>
      <c r="C277" s="248" t="s">
        <v>781</v>
      </c>
      <c r="D277" s="249" t="s">
        <v>782</v>
      </c>
      <c r="E277" s="251">
        <v>508569.2170532</v>
      </c>
      <c r="F277" s="251">
        <f t="shared" ref="F277" si="166">F278+F279+F280</f>
        <v>508799</v>
      </c>
      <c r="G277" s="250">
        <f t="shared" si="159"/>
        <v>229.78294679999817</v>
      </c>
      <c r="H277" s="252"/>
      <c r="I277" s="250">
        <f>I278+I279+I280</f>
        <v>517972</v>
      </c>
      <c r="J277" s="250">
        <f t="shared" si="125"/>
        <v>9173</v>
      </c>
      <c r="K277" s="250"/>
      <c r="L277" s="250">
        <f>L278+L279+L280</f>
        <v>517972</v>
      </c>
      <c r="M277" s="250">
        <f t="shared" si="126"/>
        <v>0</v>
      </c>
      <c r="N277" s="250"/>
      <c r="O277" s="250">
        <f>O278+O279+O280</f>
        <v>514822</v>
      </c>
      <c r="P277" s="250">
        <f t="shared" si="127"/>
        <v>-3150</v>
      </c>
      <c r="Q277" s="250"/>
      <c r="R277" s="250">
        <f>R278+R279+R280</f>
        <v>502986</v>
      </c>
      <c r="S277" s="250">
        <f t="shared" si="154"/>
        <v>-11836</v>
      </c>
      <c r="T277" s="250"/>
      <c r="U277" s="250">
        <f>U278+U279+U280</f>
        <v>489908</v>
      </c>
      <c r="V277" s="250">
        <f t="shared" si="155"/>
        <v>-13078</v>
      </c>
      <c r="W277" s="250"/>
      <c r="X277" s="250">
        <f>X278+X279+X280</f>
        <v>489908</v>
      </c>
      <c r="Y277" s="250">
        <f t="shared" si="156"/>
        <v>0</v>
      </c>
      <c r="Z277" s="250"/>
      <c r="AA277" s="250">
        <f>AA278+AA279+AA280</f>
        <v>489908</v>
      </c>
      <c r="AB277" s="250">
        <f t="shared" si="157"/>
        <v>0</v>
      </c>
      <c r="AC277" s="250"/>
    </row>
    <row r="278" spans="2:29" s="246" customFormat="1" ht="25.15" customHeight="1" x14ac:dyDescent="0.25">
      <c r="B278" s="90" t="s">
        <v>783</v>
      </c>
      <c r="C278" s="254" t="s">
        <v>784</v>
      </c>
      <c r="D278" s="137" t="s">
        <v>785</v>
      </c>
      <c r="E278" s="42">
        <v>138119</v>
      </c>
      <c r="F278" s="42">
        <f>ROUND(E278,0)-46+276</f>
        <v>138349</v>
      </c>
      <c r="G278" s="41">
        <f t="shared" si="159"/>
        <v>230</v>
      </c>
      <c r="H278" s="45" t="s">
        <v>651</v>
      </c>
      <c r="I278" s="41">
        <f>ROUND(F278,0)+2468</f>
        <v>140817</v>
      </c>
      <c r="J278" s="41">
        <f t="shared" si="125"/>
        <v>2468</v>
      </c>
      <c r="K278" s="45" t="s">
        <v>677</v>
      </c>
      <c r="L278" s="41">
        <f>ROUND(I278,0)</f>
        <v>140817</v>
      </c>
      <c r="M278" s="41">
        <f t="shared" si="126"/>
        <v>0</v>
      </c>
      <c r="N278" s="45"/>
      <c r="O278" s="41">
        <f>ROUND(L278,0)</f>
        <v>140817</v>
      </c>
      <c r="P278" s="41">
        <f t="shared" si="127"/>
        <v>0</v>
      </c>
      <c r="Q278" s="45"/>
      <c r="R278" s="41">
        <f>ROUND(O278,0)</f>
        <v>140817</v>
      </c>
      <c r="S278" s="41">
        <f t="shared" si="154"/>
        <v>0</v>
      </c>
      <c r="T278" s="45"/>
      <c r="U278" s="41">
        <f>ROUND(R278,0)-13078</f>
        <v>127739</v>
      </c>
      <c r="V278" s="41">
        <f t="shared" si="155"/>
        <v>-13078</v>
      </c>
      <c r="W278" s="45" t="s">
        <v>145</v>
      </c>
      <c r="X278" s="41">
        <f>ROUND(U278,0)</f>
        <v>127739</v>
      </c>
      <c r="Y278" s="41">
        <f t="shared" si="156"/>
        <v>0</v>
      </c>
      <c r="Z278" s="45"/>
      <c r="AA278" s="41">
        <f>ROUND(X278,0)</f>
        <v>127739</v>
      </c>
      <c r="AB278" s="41">
        <f t="shared" si="157"/>
        <v>0</v>
      </c>
      <c r="AC278" s="45"/>
    </row>
    <row r="279" spans="2:29" s="155" customFormat="1" ht="13.9" customHeight="1" x14ac:dyDescent="0.25">
      <c r="B279" s="247" t="s">
        <v>786</v>
      </c>
      <c r="C279" s="254" t="s">
        <v>787</v>
      </c>
      <c r="D279" s="137" t="s">
        <v>788</v>
      </c>
      <c r="E279" s="42">
        <v>370450.2170532</v>
      </c>
      <c r="F279" s="42">
        <f>ROUND(E279,0)-14058</f>
        <v>356392</v>
      </c>
      <c r="G279" s="41">
        <f t="shared" si="159"/>
        <v>-14058.217053200002</v>
      </c>
      <c r="H279" s="44"/>
      <c r="I279" s="41">
        <f>ROUND(F279,0)-6000</f>
        <v>350392</v>
      </c>
      <c r="J279" s="41">
        <f t="shared" si="125"/>
        <v>-6000</v>
      </c>
      <c r="K279" s="44" t="s">
        <v>751</v>
      </c>
      <c r="L279" s="41">
        <f>ROUND(I279,0)</f>
        <v>350392</v>
      </c>
      <c r="M279" s="41">
        <f t="shared" si="126"/>
        <v>0</v>
      </c>
      <c r="N279" s="44"/>
      <c r="O279" s="41">
        <f>ROUND(L279,0)-3150</f>
        <v>347242</v>
      </c>
      <c r="P279" s="41">
        <f t="shared" si="127"/>
        <v>-3150</v>
      </c>
      <c r="Q279" s="45" t="s">
        <v>681</v>
      </c>
      <c r="R279" s="41">
        <f>ROUND(O279,0)-2300-9536</f>
        <v>335406</v>
      </c>
      <c r="S279" s="41">
        <f t="shared" si="154"/>
        <v>-11836</v>
      </c>
      <c r="T279" s="45" t="s">
        <v>682</v>
      </c>
      <c r="U279" s="41">
        <f>ROUND(R279,0)</f>
        <v>335406</v>
      </c>
      <c r="V279" s="41">
        <f t="shared" si="155"/>
        <v>0</v>
      </c>
      <c r="W279" s="45"/>
      <c r="X279" s="41">
        <f>ROUND(U279,0)</f>
        <v>335406</v>
      </c>
      <c r="Y279" s="41">
        <f t="shared" si="156"/>
        <v>0</v>
      </c>
      <c r="Z279" s="45"/>
      <c r="AA279" s="41">
        <f>ROUND(X279,0)</f>
        <v>335406</v>
      </c>
      <c r="AB279" s="41">
        <f t="shared" si="157"/>
        <v>0</v>
      </c>
      <c r="AC279" s="45"/>
    </row>
    <row r="280" spans="2:29" s="155" customFormat="1" ht="13.9" customHeight="1" x14ac:dyDescent="0.25">
      <c r="B280" s="247"/>
      <c r="C280" s="254" t="s">
        <v>789</v>
      </c>
      <c r="D280" s="137" t="s">
        <v>586</v>
      </c>
      <c r="E280" s="42"/>
      <c r="F280" s="42">
        <v>14058</v>
      </c>
      <c r="G280" s="41">
        <f t="shared" si="159"/>
        <v>14058</v>
      </c>
      <c r="H280" s="44" t="s">
        <v>581</v>
      </c>
      <c r="I280" s="41">
        <f>ROUND(F280,0)+6705+6000</f>
        <v>26763</v>
      </c>
      <c r="J280" s="41">
        <f>I280-F280</f>
        <v>12705</v>
      </c>
      <c r="K280" s="45" t="s">
        <v>790</v>
      </c>
      <c r="L280" s="41">
        <f>ROUND(I280,0)</f>
        <v>26763</v>
      </c>
      <c r="M280" s="41">
        <f t="shared" si="126"/>
        <v>0</v>
      </c>
      <c r="N280" s="44"/>
      <c r="O280" s="41">
        <f>ROUND(L280,0)</f>
        <v>26763</v>
      </c>
      <c r="P280" s="41">
        <f>O280-L280</f>
        <v>0</v>
      </c>
      <c r="Q280" s="44"/>
      <c r="R280" s="41">
        <f>ROUND(O280,0)</f>
        <v>26763</v>
      </c>
      <c r="S280" s="41">
        <f t="shared" si="154"/>
        <v>0</v>
      </c>
      <c r="T280" s="44"/>
      <c r="U280" s="41">
        <f>ROUND(R280,0)</f>
        <v>26763</v>
      </c>
      <c r="V280" s="41">
        <f t="shared" si="155"/>
        <v>0</v>
      </c>
      <c r="W280" s="44"/>
      <c r="X280" s="41">
        <f>ROUND(U280,0)</f>
        <v>26763</v>
      </c>
      <c r="Y280" s="41">
        <f t="shared" si="156"/>
        <v>0</v>
      </c>
      <c r="Z280" s="44"/>
      <c r="AA280" s="41">
        <f>ROUND(X280,0)</f>
        <v>26763</v>
      </c>
      <c r="AB280" s="41">
        <f t="shared" si="157"/>
        <v>0</v>
      </c>
      <c r="AC280" s="44"/>
    </row>
    <row r="281" spans="2:29" ht="18" customHeight="1" x14ac:dyDescent="0.25">
      <c r="C281" s="230" t="s">
        <v>791</v>
      </c>
      <c r="D281" s="176" t="s">
        <v>792</v>
      </c>
      <c r="E281" s="178">
        <v>1647206</v>
      </c>
      <c r="F281" s="178">
        <f t="shared" ref="F281" si="167">F282+F283</f>
        <v>1852644</v>
      </c>
      <c r="G281" s="177">
        <f t="shared" si="159"/>
        <v>205438</v>
      </c>
      <c r="H281" s="180"/>
      <c r="I281" s="177">
        <f>I282+I283</f>
        <v>1852644</v>
      </c>
      <c r="J281" s="177">
        <f t="shared" si="125"/>
        <v>0</v>
      </c>
      <c r="K281" s="177"/>
      <c r="L281" s="177">
        <f>L282+L283</f>
        <v>1856644</v>
      </c>
      <c r="M281" s="177">
        <f t="shared" si="126"/>
        <v>4000</v>
      </c>
      <c r="N281" s="177"/>
      <c r="O281" s="177">
        <f>O282+O283</f>
        <v>1856644</v>
      </c>
      <c r="P281" s="177">
        <f t="shared" si="127"/>
        <v>0</v>
      </c>
      <c r="Q281" s="177"/>
      <c r="R281" s="177">
        <f>R282+R283</f>
        <v>1856644</v>
      </c>
      <c r="S281" s="177">
        <f t="shared" si="154"/>
        <v>0</v>
      </c>
      <c r="T281" s="177"/>
      <c r="U281" s="177">
        <f>U282+U283</f>
        <v>1852110</v>
      </c>
      <c r="V281" s="177">
        <f t="shared" si="155"/>
        <v>-4534</v>
      </c>
      <c r="W281" s="177"/>
      <c r="X281" s="177">
        <f>X282+X283</f>
        <v>1852110</v>
      </c>
      <c r="Y281" s="177">
        <f t="shared" si="156"/>
        <v>0</v>
      </c>
      <c r="Z281" s="177"/>
      <c r="AA281" s="177">
        <f>AA282+AA283</f>
        <v>1852110</v>
      </c>
      <c r="AB281" s="177">
        <f t="shared" si="157"/>
        <v>0</v>
      </c>
      <c r="AC281" s="177"/>
    </row>
    <row r="282" spans="2:29" ht="13.5" customHeight="1" x14ac:dyDescent="0.25">
      <c r="C282" s="172" t="s">
        <v>793</v>
      </c>
      <c r="D282" s="137" t="s">
        <v>794</v>
      </c>
      <c r="E282" s="42">
        <v>651116</v>
      </c>
      <c r="F282" s="42">
        <f>ROUND(E282,0)+1832+142597</f>
        <v>795545</v>
      </c>
      <c r="G282" s="41">
        <f t="shared" si="159"/>
        <v>144429</v>
      </c>
      <c r="H282" s="45" t="s">
        <v>795</v>
      </c>
      <c r="I282" s="41">
        <f>ROUND(F282,0)</f>
        <v>795545</v>
      </c>
      <c r="J282" s="41">
        <f t="shared" si="125"/>
        <v>0</v>
      </c>
      <c r="K282" s="45"/>
      <c r="L282" s="41">
        <f>ROUND(I282,0)</f>
        <v>795545</v>
      </c>
      <c r="M282" s="41">
        <f t="shared" si="126"/>
        <v>0</v>
      </c>
      <c r="N282" s="45"/>
      <c r="O282" s="41">
        <f>ROUND(L282,0)</f>
        <v>795545</v>
      </c>
      <c r="P282" s="41">
        <f t="shared" si="127"/>
        <v>0</v>
      </c>
      <c r="Q282" s="45"/>
      <c r="R282" s="41">
        <f>ROUND(O282,0)</f>
        <v>795545</v>
      </c>
      <c r="S282" s="41">
        <f t="shared" si="154"/>
        <v>0</v>
      </c>
      <c r="T282" s="45"/>
      <c r="U282" s="41">
        <f>ROUND(R282,0)-4534</f>
        <v>791011</v>
      </c>
      <c r="V282" s="41">
        <f t="shared" si="155"/>
        <v>-4534</v>
      </c>
      <c r="W282" s="45" t="s">
        <v>145</v>
      </c>
      <c r="X282" s="41">
        <f>ROUND(U282,0)</f>
        <v>791011</v>
      </c>
      <c r="Y282" s="41">
        <f t="shared" si="156"/>
        <v>0</v>
      </c>
      <c r="Z282" s="45"/>
      <c r="AA282" s="41">
        <f>ROUND(X282,0)</f>
        <v>791011</v>
      </c>
      <c r="AB282" s="41">
        <f t="shared" si="157"/>
        <v>0</v>
      </c>
      <c r="AC282" s="45"/>
    </row>
    <row r="283" spans="2:29" ht="25.9" customHeight="1" x14ac:dyDescent="0.25">
      <c r="C283" s="172" t="s">
        <v>796</v>
      </c>
      <c r="D283" s="137" t="s">
        <v>655</v>
      </c>
      <c r="E283" s="42">
        <v>996090</v>
      </c>
      <c r="F283" s="42">
        <f>ROUND(E283,0)+61009</f>
        <v>1057099</v>
      </c>
      <c r="G283" s="41">
        <f t="shared" si="159"/>
        <v>61009</v>
      </c>
      <c r="H283" s="255" t="s">
        <v>797</v>
      </c>
      <c r="I283" s="41">
        <f>ROUND(F283,0)</f>
        <v>1057099</v>
      </c>
      <c r="J283" s="41">
        <f t="shared" ref="J283:J302" si="168">I283-F283</f>
        <v>0</v>
      </c>
      <c r="K283" s="255"/>
      <c r="L283" s="41">
        <f>ROUND(I283,0)+4000</f>
        <v>1061099</v>
      </c>
      <c r="M283" s="41">
        <f t="shared" ref="M283:M302" si="169">L283-I283</f>
        <v>4000</v>
      </c>
      <c r="N283" s="205" t="s">
        <v>798</v>
      </c>
      <c r="O283" s="41">
        <f>ROUND(L283,0)</f>
        <v>1061099</v>
      </c>
      <c r="P283" s="41">
        <f t="shared" ref="P283:P302" si="170">O283-L283</f>
        <v>0</v>
      </c>
      <c r="Q283" s="255"/>
      <c r="R283" s="41">
        <f>ROUND(O283,0)</f>
        <v>1061099</v>
      </c>
      <c r="S283" s="41">
        <f t="shared" si="154"/>
        <v>0</v>
      </c>
      <c r="T283" s="255"/>
      <c r="U283" s="41">
        <f>ROUND(R283,0)</f>
        <v>1061099</v>
      </c>
      <c r="V283" s="41">
        <f t="shared" si="155"/>
        <v>0</v>
      </c>
      <c r="W283" s="255"/>
      <c r="X283" s="41">
        <f>ROUND(U283,0)</f>
        <v>1061099</v>
      </c>
      <c r="Y283" s="41">
        <f t="shared" si="156"/>
        <v>0</v>
      </c>
      <c r="Z283" s="255"/>
      <c r="AA283" s="41">
        <f>ROUND(X283,0)</f>
        <v>1061099</v>
      </c>
      <c r="AB283" s="41">
        <f t="shared" si="157"/>
        <v>0</v>
      </c>
      <c r="AC283" s="255"/>
    </row>
    <row r="284" spans="2:29" ht="16.149999999999999" customHeight="1" x14ac:dyDescent="0.25">
      <c r="C284" s="256" t="s">
        <v>799</v>
      </c>
      <c r="D284" s="176" t="s">
        <v>800</v>
      </c>
      <c r="E284" s="178">
        <v>706577.70189168002</v>
      </c>
      <c r="F284" s="178">
        <f>F285+F286</f>
        <v>706619</v>
      </c>
      <c r="G284" s="177">
        <f t="shared" si="159"/>
        <v>41.298108319984749</v>
      </c>
      <c r="H284" s="189"/>
      <c r="I284" s="177">
        <f>I285+I286</f>
        <v>740716</v>
      </c>
      <c r="J284" s="177">
        <f t="shared" si="168"/>
        <v>34097</v>
      </c>
      <c r="K284" s="190" t="s">
        <v>801</v>
      </c>
      <c r="L284" s="177">
        <f>L285+L286</f>
        <v>740716</v>
      </c>
      <c r="M284" s="177">
        <f t="shared" si="169"/>
        <v>0</v>
      </c>
      <c r="N284" s="190"/>
      <c r="O284" s="177">
        <f>O285+O286</f>
        <v>740716</v>
      </c>
      <c r="P284" s="177">
        <f t="shared" si="170"/>
        <v>0</v>
      </c>
      <c r="Q284" s="190"/>
      <c r="R284" s="177">
        <f>R285+R286</f>
        <v>740716</v>
      </c>
      <c r="S284" s="177">
        <f t="shared" si="154"/>
        <v>0</v>
      </c>
      <c r="T284" s="190"/>
      <c r="U284" s="177">
        <f>U285+U286</f>
        <v>744620</v>
      </c>
      <c r="V284" s="177">
        <f t="shared" si="155"/>
        <v>3904</v>
      </c>
      <c r="W284" s="190"/>
      <c r="X284" s="177">
        <f>X285+X286</f>
        <v>744620</v>
      </c>
      <c r="Y284" s="177">
        <f t="shared" si="156"/>
        <v>0</v>
      </c>
      <c r="Z284" s="190"/>
      <c r="AA284" s="177">
        <f>AA285+AA286</f>
        <v>744620</v>
      </c>
      <c r="AB284" s="177">
        <f t="shared" si="157"/>
        <v>0</v>
      </c>
      <c r="AC284" s="190"/>
    </row>
    <row r="285" spans="2:29" ht="16.5" customHeight="1" x14ac:dyDescent="0.25">
      <c r="B285" s="90" t="s">
        <v>802</v>
      </c>
      <c r="C285" s="172" t="s">
        <v>803</v>
      </c>
      <c r="D285" s="137" t="s">
        <v>794</v>
      </c>
      <c r="E285" s="42">
        <v>314605.76040000003</v>
      </c>
      <c r="F285" s="42">
        <f>ROUND(E285,0)+41</f>
        <v>314647</v>
      </c>
      <c r="G285" s="41">
        <f t="shared" si="159"/>
        <v>41.239599999971688</v>
      </c>
      <c r="H285" s="44" t="s">
        <v>1</v>
      </c>
      <c r="I285" s="41">
        <f>ROUND(F285,0)-22981</f>
        <v>291666</v>
      </c>
      <c r="J285" s="41">
        <f t="shared" si="168"/>
        <v>-22981</v>
      </c>
      <c r="K285" s="44"/>
      <c r="L285" s="41">
        <f t="shared" ref="L285:L292" si="171">ROUND(I285,0)</f>
        <v>291666</v>
      </c>
      <c r="M285" s="41">
        <f t="shared" si="169"/>
        <v>0</v>
      </c>
      <c r="N285" s="44"/>
      <c r="O285" s="41">
        <f t="shared" ref="O285:O291" si="172">ROUND(L285,0)</f>
        <v>291666</v>
      </c>
      <c r="P285" s="41">
        <f t="shared" si="170"/>
        <v>0</v>
      </c>
      <c r="Q285" s="44"/>
      <c r="R285" s="41">
        <f t="shared" ref="R285:R291" si="173">ROUND(O285,0)</f>
        <v>291666</v>
      </c>
      <c r="S285" s="41">
        <f t="shared" si="154"/>
        <v>0</v>
      </c>
      <c r="T285" s="44"/>
      <c r="U285" s="41">
        <f>ROUND(R285,0)+3904</f>
        <v>295570</v>
      </c>
      <c r="V285" s="41">
        <f t="shared" si="155"/>
        <v>3904</v>
      </c>
      <c r="W285" s="44" t="s">
        <v>150</v>
      </c>
      <c r="X285" s="41">
        <f>ROUND(U285,0)</f>
        <v>295570</v>
      </c>
      <c r="Y285" s="41">
        <f t="shared" si="156"/>
        <v>0</v>
      </c>
      <c r="Z285" s="44"/>
      <c r="AA285" s="41">
        <f>ROUND(X285,0)</f>
        <v>295570</v>
      </c>
      <c r="AB285" s="41">
        <f t="shared" si="157"/>
        <v>0</v>
      </c>
      <c r="AC285" s="44"/>
    </row>
    <row r="286" spans="2:29" ht="16.5" customHeight="1" x14ac:dyDescent="0.25">
      <c r="B286" s="90" t="s">
        <v>804</v>
      </c>
      <c r="C286" s="172" t="s">
        <v>805</v>
      </c>
      <c r="D286" s="137" t="s">
        <v>806</v>
      </c>
      <c r="E286" s="42">
        <v>391971.94149168005</v>
      </c>
      <c r="F286" s="42">
        <f t="shared" ref="F286:F291" si="174">ROUND(E286,0)</f>
        <v>391972</v>
      </c>
      <c r="G286" s="41">
        <f t="shared" si="159"/>
        <v>5.8508319954853505E-2</v>
      </c>
      <c r="H286" s="68"/>
      <c r="I286" s="41">
        <f>ROUND(F286,0)+57078</f>
        <v>449050</v>
      </c>
      <c r="J286" s="41">
        <f t="shared" si="168"/>
        <v>57078</v>
      </c>
      <c r="K286" s="45"/>
      <c r="L286" s="41">
        <f t="shared" si="171"/>
        <v>449050</v>
      </c>
      <c r="M286" s="41">
        <f t="shared" si="169"/>
        <v>0</v>
      </c>
      <c r="N286" s="45"/>
      <c r="O286" s="41">
        <f t="shared" si="172"/>
        <v>449050</v>
      </c>
      <c r="P286" s="41">
        <f t="shared" si="170"/>
        <v>0</v>
      </c>
      <c r="Q286" s="45"/>
      <c r="R286" s="41">
        <f t="shared" si="173"/>
        <v>449050</v>
      </c>
      <c r="S286" s="41">
        <f t="shared" si="154"/>
        <v>0</v>
      </c>
      <c r="T286" s="45"/>
      <c r="U286" s="41">
        <f t="shared" ref="U286:U291" si="175">ROUND(R286,0)</f>
        <v>449050</v>
      </c>
      <c r="V286" s="41">
        <f t="shared" si="155"/>
        <v>0</v>
      </c>
      <c r="W286" s="45"/>
      <c r="X286" s="41">
        <f t="shared" ref="X286" si="176">ROUND(U286,0)</f>
        <v>449050</v>
      </c>
      <c r="Y286" s="41">
        <f t="shared" si="156"/>
        <v>0</v>
      </c>
      <c r="Z286" s="45"/>
      <c r="AA286" s="41">
        <f t="shared" ref="AA286" si="177">ROUND(X286,0)</f>
        <v>449050</v>
      </c>
      <c r="AB286" s="41">
        <f t="shared" si="157"/>
        <v>0</v>
      </c>
      <c r="AC286" s="45"/>
    </row>
    <row r="287" spans="2:29" ht="15" customHeight="1" x14ac:dyDescent="0.25">
      <c r="B287" s="90" t="s">
        <v>807</v>
      </c>
      <c r="C287" s="256" t="s">
        <v>808</v>
      </c>
      <c r="D287" s="176" t="s">
        <v>809</v>
      </c>
      <c r="E287" s="97">
        <v>482391.24160460004</v>
      </c>
      <c r="F287" s="97">
        <f t="shared" si="174"/>
        <v>482391</v>
      </c>
      <c r="G287" s="73">
        <f t="shared" si="159"/>
        <v>-0.2416046000435017</v>
      </c>
      <c r="H287" s="98"/>
      <c r="I287" s="73">
        <f t="shared" ref="I287:I292" si="178">ROUND(F287,0)</f>
        <v>482391</v>
      </c>
      <c r="J287" s="73">
        <f t="shared" si="168"/>
        <v>0</v>
      </c>
      <c r="K287" s="99"/>
      <c r="L287" s="73">
        <f t="shared" si="171"/>
        <v>482391</v>
      </c>
      <c r="M287" s="73">
        <f t="shared" si="169"/>
        <v>0</v>
      </c>
      <c r="N287" s="99"/>
      <c r="O287" s="73">
        <f>ROUND(L287,0)</f>
        <v>482391</v>
      </c>
      <c r="P287" s="73">
        <f t="shared" si="170"/>
        <v>0</v>
      </c>
      <c r="Q287" s="99"/>
      <c r="R287" s="73">
        <f t="shared" si="173"/>
        <v>482391</v>
      </c>
      <c r="S287" s="73">
        <f t="shared" si="154"/>
        <v>0</v>
      </c>
      <c r="T287" s="99"/>
      <c r="U287" s="73">
        <f>ROUND(R287,0)+1198</f>
        <v>483589</v>
      </c>
      <c r="V287" s="73">
        <f t="shared" si="155"/>
        <v>1198</v>
      </c>
      <c r="W287" s="99" t="s">
        <v>210</v>
      </c>
      <c r="X287" s="73">
        <f>ROUND(U287,0)</f>
        <v>483589</v>
      </c>
      <c r="Y287" s="73">
        <f t="shared" si="156"/>
        <v>0</v>
      </c>
      <c r="Z287" s="99"/>
      <c r="AA287" s="73">
        <f>ROUND(X287,0)</f>
        <v>483589</v>
      </c>
      <c r="AB287" s="73">
        <f t="shared" si="157"/>
        <v>0</v>
      </c>
      <c r="AC287" s="99"/>
    </row>
    <row r="288" spans="2:29" ht="18" customHeight="1" x14ac:dyDescent="0.25">
      <c r="B288" s="90"/>
      <c r="C288" s="256" t="s">
        <v>810</v>
      </c>
      <c r="D288" s="176" t="s">
        <v>811</v>
      </c>
      <c r="E288" s="97">
        <v>3000</v>
      </c>
      <c r="F288" s="97">
        <f t="shared" si="174"/>
        <v>3000</v>
      </c>
      <c r="G288" s="73">
        <f t="shared" si="159"/>
        <v>0</v>
      </c>
      <c r="H288" s="98"/>
      <c r="I288" s="73">
        <f t="shared" si="178"/>
        <v>3000</v>
      </c>
      <c r="J288" s="73">
        <f t="shared" si="168"/>
        <v>0</v>
      </c>
      <c r="K288" s="99"/>
      <c r="L288" s="73">
        <f t="shared" si="171"/>
        <v>3000</v>
      </c>
      <c r="M288" s="73">
        <f t="shared" si="169"/>
        <v>0</v>
      </c>
      <c r="N288" s="99"/>
      <c r="O288" s="73">
        <f t="shared" si="172"/>
        <v>3000</v>
      </c>
      <c r="P288" s="73">
        <f t="shared" si="170"/>
        <v>0</v>
      </c>
      <c r="Q288" s="99"/>
      <c r="R288" s="73">
        <f t="shared" si="173"/>
        <v>3000</v>
      </c>
      <c r="S288" s="73">
        <f t="shared" si="154"/>
        <v>0</v>
      </c>
      <c r="T288" s="99"/>
      <c r="U288" s="73">
        <f t="shared" si="175"/>
        <v>3000</v>
      </c>
      <c r="V288" s="73">
        <f t="shared" si="155"/>
        <v>0</v>
      </c>
      <c r="W288" s="99"/>
      <c r="X288" s="73">
        <f t="shared" ref="X288:X291" si="179">ROUND(U288,0)</f>
        <v>3000</v>
      </c>
      <c r="Y288" s="73">
        <f t="shared" si="156"/>
        <v>0</v>
      </c>
      <c r="Z288" s="99"/>
      <c r="AA288" s="73">
        <f t="shared" ref="AA288:AA291" si="180">ROUND(X288,0)</f>
        <v>3000</v>
      </c>
      <c r="AB288" s="73">
        <f t="shared" si="157"/>
        <v>0</v>
      </c>
      <c r="AC288" s="99"/>
    </row>
    <row r="289" spans="2:29" ht="31.9" customHeight="1" x14ac:dyDescent="0.25">
      <c r="B289" s="90" t="s">
        <v>812</v>
      </c>
      <c r="C289" s="256" t="s">
        <v>813</v>
      </c>
      <c r="D289" s="176" t="s">
        <v>814</v>
      </c>
      <c r="E289" s="97">
        <v>17962</v>
      </c>
      <c r="F289" s="97">
        <f>ROUND(E289,0)-1841</f>
        <v>16121</v>
      </c>
      <c r="G289" s="73">
        <f t="shared" si="159"/>
        <v>-1841</v>
      </c>
      <c r="H289" s="99" t="s">
        <v>1</v>
      </c>
      <c r="I289" s="73">
        <f t="shared" si="178"/>
        <v>16121</v>
      </c>
      <c r="J289" s="73">
        <f t="shared" si="168"/>
        <v>0</v>
      </c>
      <c r="K289" s="99"/>
      <c r="L289" s="73">
        <f t="shared" si="171"/>
        <v>16121</v>
      </c>
      <c r="M289" s="73">
        <f t="shared" si="169"/>
        <v>0</v>
      </c>
      <c r="N289" s="99"/>
      <c r="O289" s="73">
        <f t="shared" si="172"/>
        <v>16121</v>
      </c>
      <c r="P289" s="73">
        <f t="shared" si="170"/>
        <v>0</v>
      </c>
      <c r="Q289" s="99"/>
      <c r="R289" s="73">
        <f t="shared" si="173"/>
        <v>16121</v>
      </c>
      <c r="S289" s="73">
        <f t="shared" si="154"/>
        <v>0</v>
      </c>
      <c r="T289" s="99"/>
      <c r="U289" s="73">
        <f t="shared" si="175"/>
        <v>16121</v>
      </c>
      <c r="V289" s="73">
        <f t="shared" si="155"/>
        <v>0</v>
      </c>
      <c r="W289" s="99"/>
      <c r="X289" s="73">
        <f t="shared" si="179"/>
        <v>16121</v>
      </c>
      <c r="Y289" s="73">
        <f t="shared" si="156"/>
        <v>0</v>
      </c>
      <c r="Z289" s="99"/>
      <c r="AA289" s="73">
        <f t="shared" si="180"/>
        <v>16121</v>
      </c>
      <c r="AB289" s="73">
        <f t="shared" si="157"/>
        <v>0</v>
      </c>
      <c r="AC289" s="99"/>
    </row>
    <row r="290" spans="2:29" ht="27" customHeight="1" x14ac:dyDescent="0.25">
      <c r="B290" s="90" t="s">
        <v>815</v>
      </c>
      <c r="C290" s="256" t="s">
        <v>816</v>
      </c>
      <c r="D290" s="176" t="s">
        <v>817</v>
      </c>
      <c r="E290" s="97">
        <v>1049</v>
      </c>
      <c r="F290" s="97">
        <f t="shared" si="174"/>
        <v>1049</v>
      </c>
      <c r="G290" s="73">
        <f t="shared" si="159"/>
        <v>0</v>
      </c>
      <c r="H290" s="98"/>
      <c r="I290" s="73">
        <f t="shared" si="178"/>
        <v>1049</v>
      </c>
      <c r="J290" s="73">
        <f t="shared" si="168"/>
        <v>0</v>
      </c>
      <c r="K290" s="99"/>
      <c r="L290" s="73">
        <f t="shared" si="171"/>
        <v>1049</v>
      </c>
      <c r="M290" s="73">
        <f t="shared" si="169"/>
        <v>0</v>
      </c>
      <c r="N290" s="99"/>
      <c r="O290" s="73">
        <f t="shared" si="172"/>
        <v>1049</v>
      </c>
      <c r="P290" s="73">
        <f t="shared" si="170"/>
        <v>0</v>
      </c>
      <c r="Q290" s="99"/>
      <c r="R290" s="73">
        <f t="shared" si="173"/>
        <v>1049</v>
      </c>
      <c r="S290" s="73">
        <f t="shared" si="154"/>
        <v>0</v>
      </c>
      <c r="T290" s="99"/>
      <c r="U290" s="73">
        <f t="shared" si="175"/>
        <v>1049</v>
      </c>
      <c r="V290" s="73">
        <f t="shared" si="155"/>
        <v>0</v>
      </c>
      <c r="W290" s="99"/>
      <c r="X290" s="73">
        <f t="shared" si="179"/>
        <v>1049</v>
      </c>
      <c r="Y290" s="73">
        <f t="shared" si="156"/>
        <v>0</v>
      </c>
      <c r="Z290" s="99"/>
      <c r="AA290" s="73">
        <f t="shared" si="180"/>
        <v>1049</v>
      </c>
      <c r="AB290" s="73">
        <f t="shared" si="157"/>
        <v>0</v>
      </c>
      <c r="AC290" s="99"/>
    </row>
    <row r="291" spans="2:29" ht="68.45" customHeight="1" x14ac:dyDescent="0.25">
      <c r="B291" s="90" t="s">
        <v>818</v>
      </c>
      <c r="C291" s="256" t="s">
        <v>819</v>
      </c>
      <c r="D291" s="176" t="s">
        <v>820</v>
      </c>
      <c r="E291" s="97">
        <v>765</v>
      </c>
      <c r="F291" s="97">
        <f t="shared" si="174"/>
        <v>765</v>
      </c>
      <c r="G291" s="73">
        <f t="shared" si="159"/>
        <v>0</v>
      </c>
      <c r="H291" s="98"/>
      <c r="I291" s="73">
        <f t="shared" si="178"/>
        <v>765</v>
      </c>
      <c r="J291" s="73">
        <f t="shared" si="168"/>
        <v>0</v>
      </c>
      <c r="K291" s="99"/>
      <c r="L291" s="73">
        <f t="shared" si="171"/>
        <v>765</v>
      </c>
      <c r="M291" s="73">
        <f t="shared" si="169"/>
        <v>0</v>
      </c>
      <c r="N291" s="99"/>
      <c r="O291" s="73">
        <f t="shared" si="172"/>
        <v>765</v>
      </c>
      <c r="P291" s="73">
        <f t="shared" si="170"/>
        <v>0</v>
      </c>
      <c r="Q291" s="99"/>
      <c r="R291" s="73">
        <f t="shared" si="173"/>
        <v>765</v>
      </c>
      <c r="S291" s="73">
        <f t="shared" si="154"/>
        <v>0</v>
      </c>
      <c r="T291" s="99"/>
      <c r="U291" s="73">
        <f t="shared" si="175"/>
        <v>765</v>
      </c>
      <c r="V291" s="73">
        <f t="shared" si="155"/>
        <v>0</v>
      </c>
      <c r="W291" s="99"/>
      <c r="X291" s="73">
        <f t="shared" si="179"/>
        <v>765</v>
      </c>
      <c r="Y291" s="73">
        <f t="shared" si="156"/>
        <v>0</v>
      </c>
      <c r="Z291" s="99"/>
      <c r="AA291" s="73">
        <f t="shared" si="180"/>
        <v>765</v>
      </c>
      <c r="AB291" s="73">
        <f t="shared" si="157"/>
        <v>0</v>
      </c>
      <c r="AC291" s="99"/>
    </row>
    <row r="292" spans="2:29" ht="30.6" customHeight="1" x14ac:dyDescent="0.25">
      <c r="B292" s="90" t="s">
        <v>821</v>
      </c>
      <c r="C292" s="230" t="s">
        <v>822</v>
      </c>
      <c r="D292" s="176" t="s">
        <v>823</v>
      </c>
      <c r="E292" s="97">
        <v>637343</v>
      </c>
      <c r="F292" s="97">
        <f>ROUND(E292,0)</f>
        <v>637343</v>
      </c>
      <c r="G292" s="73">
        <f>F292-E292</f>
        <v>0</v>
      </c>
      <c r="H292" s="98"/>
      <c r="I292" s="73">
        <f t="shared" si="178"/>
        <v>637343</v>
      </c>
      <c r="J292" s="73">
        <f>I292-F292</f>
        <v>0</v>
      </c>
      <c r="K292" s="99"/>
      <c r="L292" s="73">
        <f t="shared" si="171"/>
        <v>637343</v>
      </c>
      <c r="M292" s="73">
        <f t="shared" si="169"/>
        <v>0</v>
      </c>
      <c r="N292" s="99"/>
      <c r="O292" s="73">
        <f>ROUND(L292,0)</f>
        <v>637343</v>
      </c>
      <c r="P292" s="73">
        <f>O292-L292</f>
        <v>0</v>
      </c>
      <c r="Q292" s="99"/>
      <c r="R292" s="73">
        <f>ROUND(O292,0)</f>
        <v>637343</v>
      </c>
      <c r="S292" s="73">
        <f t="shared" si="154"/>
        <v>0</v>
      </c>
      <c r="T292" s="99"/>
      <c r="U292" s="73">
        <f>ROUND(R292,0)</f>
        <v>637343</v>
      </c>
      <c r="V292" s="73">
        <f t="shared" si="155"/>
        <v>0</v>
      </c>
      <c r="W292" s="99"/>
      <c r="X292" s="73">
        <f>ROUND(U292,0)</f>
        <v>637343</v>
      </c>
      <c r="Y292" s="73">
        <f t="shared" si="156"/>
        <v>0</v>
      </c>
      <c r="Z292" s="99"/>
      <c r="AA292" s="73">
        <f>ROUND(X292,0)</f>
        <v>637343</v>
      </c>
      <c r="AB292" s="73">
        <f t="shared" si="157"/>
        <v>0</v>
      </c>
      <c r="AC292" s="99"/>
    </row>
    <row r="293" spans="2:29" ht="27" customHeight="1" x14ac:dyDescent="0.25">
      <c r="C293" s="230" t="s">
        <v>824</v>
      </c>
      <c r="D293" s="176" t="s">
        <v>244</v>
      </c>
      <c r="E293" s="74">
        <v>15746</v>
      </c>
      <c r="F293" s="74">
        <f>F294+F295</f>
        <v>16496</v>
      </c>
      <c r="G293" s="73">
        <f t="shared" si="159"/>
        <v>750</v>
      </c>
      <c r="H293" s="98"/>
      <c r="I293" s="75">
        <f>I294+I295</f>
        <v>16496</v>
      </c>
      <c r="J293" s="73">
        <f t="shared" si="168"/>
        <v>0</v>
      </c>
      <c r="K293" s="99"/>
      <c r="L293" s="75">
        <f>L294+L295</f>
        <v>16496</v>
      </c>
      <c r="M293" s="73">
        <f t="shared" si="169"/>
        <v>0</v>
      </c>
      <c r="N293" s="99"/>
      <c r="O293" s="75">
        <f>O294+O295</f>
        <v>16496</v>
      </c>
      <c r="P293" s="73">
        <f t="shared" si="170"/>
        <v>0</v>
      </c>
      <c r="Q293" s="99"/>
      <c r="R293" s="75">
        <f>R294+R295</f>
        <v>16496</v>
      </c>
      <c r="S293" s="73">
        <f t="shared" si="154"/>
        <v>0</v>
      </c>
      <c r="T293" s="99"/>
      <c r="U293" s="75">
        <f>U294+U295</f>
        <v>16496</v>
      </c>
      <c r="V293" s="73">
        <f t="shared" si="155"/>
        <v>0</v>
      </c>
      <c r="W293" s="99"/>
      <c r="X293" s="75">
        <f>X294+X295</f>
        <v>16496</v>
      </c>
      <c r="Y293" s="73">
        <f t="shared" si="156"/>
        <v>0</v>
      </c>
      <c r="Z293" s="99"/>
      <c r="AA293" s="75">
        <f>AA294+AA295</f>
        <v>16496</v>
      </c>
      <c r="AB293" s="73">
        <f t="shared" si="157"/>
        <v>0</v>
      </c>
      <c r="AC293" s="99"/>
    </row>
    <row r="294" spans="2:29" ht="14.45" customHeight="1" x14ac:dyDescent="0.25">
      <c r="B294" s="90" t="s">
        <v>825</v>
      </c>
      <c r="C294" s="172" t="s">
        <v>826</v>
      </c>
      <c r="D294" s="137" t="s">
        <v>827</v>
      </c>
      <c r="E294" s="42">
        <v>15746</v>
      </c>
      <c r="F294" s="42">
        <f>ROUND(E294,0)+750</f>
        <v>16496</v>
      </c>
      <c r="G294" s="41">
        <f t="shared" si="159"/>
        <v>750</v>
      </c>
      <c r="H294" s="45" t="s">
        <v>1</v>
      </c>
      <c r="I294" s="41">
        <f>ROUND(F294,0)</f>
        <v>16496</v>
      </c>
      <c r="J294" s="41">
        <f t="shared" si="168"/>
        <v>0</v>
      </c>
      <c r="K294" s="45"/>
      <c r="L294" s="41">
        <f>ROUND(I294,0)</f>
        <v>16496</v>
      </c>
      <c r="M294" s="41">
        <f t="shared" si="169"/>
        <v>0</v>
      </c>
      <c r="N294" s="45"/>
      <c r="O294" s="41">
        <f>ROUND(L294,0)</f>
        <v>16496</v>
      </c>
      <c r="P294" s="41">
        <f t="shared" si="170"/>
        <v>0</v>
      </c>
      <c r="Q294" s="45"/>
      <c r="R294" s="41">
        <f>ROUND(O294,0)</f>
        <v>16496</v>
      </c>
      <c r="S294" s="41">
        <f t="shared" si="154"/>
        <v>0</v>
      </c>
      <c r="T294" s="45"/>
      <c r="U294" s="41">
        <f>ROUND(R294,0)</f>
        <v>16496</v>
      </c>
      <c r="V294" s="41">
        <f t="shared" si="155"/>
        <v>0</v>
      </c>
      <c r="W294" s="45"/>
      <c r="X294" s="41">
        <f>ROUND(U294,0)</f>
        <v>16496</v>
      </c>
      <c r="Y294" s="41">
        <f t="shared" si="156"/>
        <v>0</v>
      </c>
      <c r="Z294" s="45"/>
      <c r="AA294" s="41">
        <f>ROUND(X294,0)</f>
        <v>16496</v>
      </c>
      <c r="AB294" s="41">
        <f t="shared" si="157"/>
        <v>0</v>
      </c>
      <c r="AC294" s="45"/>
    </row>
    <row r="295" spans="2:29" s="155" customFormat="1" ht="15" customHeight="1" x14ac:dyDescent="0.25">
      <c r="B295" s="90" t="s">
        <v>828</v>
      </c>
      <c r="C295" s="172" t="s">
        <v>829</v>
      </c>
      <c r="D295" s="137" t="s">
        <v>830</v>
      </c>
      <c r="E295" s="42">
        <v>0</v>
      </c>
      <c r="F295" s="42">
        <f>ROUND(E295,0)</f>
        <v>0</v>
      </c>
      <c r="G295" s="41">
        <f t="shared" si="159"/>
        <v>0</v>
      </c>
      <c r="H295" s="68"/>
      <c r="I295" s="41">
        <f>ROUND(F295,0)</f>
        <v>0</v>
      </c>
      <c r="J295" s="41">
        <f t="shared" si="168"/>
        <v>0</v>
      </c>
      <c r="K295" s="45"/>
      <c r="L295" s="41">
        <f>ROUND(I295,0)</f>
        <v>0</v>
      </c>
      <c r="M295" s="41">
        <f t="shared" si="169"/>
        <v>0</v>
      </c>
      <c r="N295" s="45"/>
      <c r="O295" s="41">
        <f>ROUND(L295,0)</f>
        <v>0</v>
      </c>
      <c r="P295" s="41">
        <f t="shared" si="170"/>
        <v>0</v>
      </c>
      <c r="Q295" s="45"/>
      <c r="R295" s="41">
        <f>ROUND(O295,0)</f>
        <v>0</v>
      </c>
      <c r="S295" s="41">
        <f t="shared" si="154"/>
        <v>0</v>
      </c>
      <c r="T295" s="45"/>
      <c r="U295" s="41">
        <f>ROUND(R295,0)</f>
        <v>0</v>
      </c>
      <c r="V295" s="41">
        <f t="shared" si="155"/>
        <v>0</v>
      </c>
      <c r="W295" s="45"/>
      <c r="X295" s="41">
        <f>ROUND(U295,0)</f>
        <v>0</v>
      </c>
      <c r="Y295" s="41">
        <f t="shared" si="156"/>
        <v>0</v>
      </c>
      <c r="Z295" s="45"/>
      <c r="AA295" s="41">
        <f>ROUND(X295,0)</f>
        <v>0</v>
      </c>
      <c r="AB295" s="41">
        <f t="shared" si="157"/>
        <v>0</v>
      </c>
      <c r="AC295" s="45"/>
    </row>
    <row r="296" spans="2:29" s="155" customFormat="1" ht="17.45" customHeight="1" outlineLevel="1" x14ac:dyDescent="0.2">
      <c r="C296" s="169" t="s">
        <v>831</v>
      </c>
      <c r="D296" s="170" t="s">
        <v>832</v>
      </c>
      <c r="E296" s="49">
        <v>0</v>
      </c>
      <c r="F296" s="49">
        <f>SUM(F297:F298)</f>
        <v>0</v>
      </c>
      <c r="G296" s="48">
        <f t="shared" si="159"/>
        <v>0</v>
      </c>
      <c r="H296" s="50"/>
      <c r="I296" s="48">
        <f>SUM(I297:I298)</f>
        <v>0</v>
      </c>
      <c r="J296" s="48">
        <f t="shared" si="168"/>
        <v>0</v>
      </c>
      <c r="K296" s="51"/>
      <c r="L296" s="48">
        <f>SUM(L297:L298)</f>
        <v>0</v>
      </c>
      <c r="M296" s="48">
        <f t="shared" si="169"/>
        <v>0</v>
      </c>
      <c r="N296" s="51"/>
      <c r="O296" s="48">
        <f>SUM(O297:O298)</f>
        <v>0</v>
      </c>
      <c r="P296" s="48">
        <f t="shared" si="170"/>
        <v>0</v>
      </c>
      <c r="Q296" s="51"/>
      <c r="R296" s="48">
        <f>SUM(R297:R298)</f>
        <v>0</v>
      </c>
      <c r="S296" s="48">
        <f t="shared" si="154"/>
        <v>0</v>
      </c>
      <c r="T296" s="51"/>
      <c r="U296" s="48">
        <f>SUM(U297:U298)</f>
        <v>0</v>
      </c>
      <c r="V296" s="48">
        <f t="shared" si="155"/>
        <v>0</v>
      </c>
      <c r="W296" s="51"/>
      <c r="X296" s="48">
        <f>SUM(X297:X298)</f>
        <v>0</v>
      </c>
      <c r="Y296" s="48">
        <f t="shared" si="156"/>
        <v>0</v>
      </c>
      <c r="Z296" s="51"/>
      <c r="AA296" s="48">
        <f>SUM(AA297:AA298)</f>
        <v>0</v>
      </c>
      <c r="AB296" s="48">
        <f t="shared" si="157"/>
        <v>0</v>
      </c>
      <c r="AC296" s="51"/>
    </row>
    <row r="297" spans="2:29" ht="17.25" customHeight="1" outlineLevel="1" x14ac:dyDescent="0.25">
      <c r="C297" s="164" t="s">
        <v>138</v>
      </c>
      <c r="D297" s="165" t="s">
        <v>833</v>
      </c>
      <c r="E297" s="97"/>
      <c r="F297" s="97"/>
      <c r="G297" s="73">
        <f t="shared" si="159"/>
        <v>0</v>
      </c>
      <c r="H297" s="98"/>
      <c r="I297" s="73"/>
      <c r="J297" s="73">
        <f t="shared" si="168"/>
        <v>0</v>
      </c>
      <c r="K297" s="99"/>
      <c r="L297" s="73"/>
      <c r="M297" s="73">
        <f t="shared" si="169"/>
        <v>0</v>
      </c>
      <c r="N297" s="99"/>
      <c r="O297" s="73">
        <f>ROUND(L297,0)</f>
        <v>0</v>
      </c>
      <c r="P297" s="73">
        <f t="shared" si="170"/>
        <v>0</v>
      </c>
      <c r="Q297" s="99"/>
      <c r="R297" s="73">
        <f>ROUND(O297,0)</f>
        <v>0</v>
      </c>
      <c r="S297" s="73">
        <f t="shared" si="154"/>
        <v>0</v>
      </c>
      <c r="T297" s="99"/>
      <c r="U297" s="73">
        <f>ROUND(R297,0)</f>
        <v>0</v>
      </c>
      <c r="V297" s="73">
        <f t="shared" si="155"/>
        <v>0</v>
      </c>
      <c r="W297" s="99"/>
      <c r="X297" s="73">
        <f>ROUND(U297,0)</f>
        <v>0</v>
      </c>
      <c r="Y297" s="73">
        <f t="shared" si="156"/>
        <v>0</v>
      </c>
      <c r="Z297" s="99"/>
      <c r="AA297" s="73">
        <f>ROUND(X297,0)</f>
        <v>0</v>
      </c>
      <c r="AB297" s="73">
        <f t="shared" si="157"/>
        <v>0</v>
      </c>
      <c r="AC297" s="99"/>
    </row>
    <row r="298" spans="2:29" ht="15.75" outlineLevel="1" thickBot="1" x14ac:dyDescent="0.3">
      <c r="C298" s="164" t="s">
        <v>211</v>
      </c>
      <c r="D298" s="165" t="s">
        <v>834</v>
      </c>
      <c r="E298" s="97"/>
      <c r="F298" s="97"/>
      <c r="G298" s="73">
        <f t="shared" si="159"/>
        <v>0</v>
      </c>
      <c r="H298" s="98"/>
      <c r="I298" s="73"/>
      <c r="J298" s="73">
        <f t="shared" si="168"/>
        <v>0</v>
      </c>
      <c r="K298" s="99"/>
      <c r="L298" s="73"/>
      <c r="M298" s="73">
        <f t="shared" si="169"/>
        <v>0</v>
      </c>
      <c r="N298" s="99"/>
      <c r="O298" s="73">
        <f>ROUND(L298,0)</f>
        <v>0</v>
      </c>
      <c r="P298" s="73">
        <f t="shared" si="170"/>
        <v>0</v>
      </c>
      <c r="Q298" s="99"/>
      <c r="R298" s="73">
        <f>ROUND(O298,0)</f>
        <v>0</v>
      </c>
      <c r="S298" s="73">
        <f t="shared" si="154"/>
        <v>0</v>
      </c>
      <c r="T298" s="99"/>
      <c r="U298" s="73">
        <f>ROUND(R298,0)</f>
        <v>0</v>
      </c>
      <c r="V298" s="73">
        <f t="shared" si="155"/>
        <v>0</v>
      </c>
      <c r="W298" s="99"/>
      <c r="X298" s="73">
        <f>ROUND(U298,0)</f>
        <v>0</v>
      </c>
      <c r="Y298" s="73">
        <f t="shared" si="156"/>
        <v>0</v>
      </c>
      <c r="Z298" s="99"/>
      <c r="AA298" s="73">
        <f>ROUND(X298,0)</f>
        <v>0</v>
      </c>
      <c r="AB298" s="73">
        <f t="shared" si="157"/>
        <v>0</v>
      </c>
      <c r="AC298" s="99"/>
    </row>
    <row r="299" spans="2:29" s="155" customFormat="1" ht="30" customHeight="1" thickBot="1" x14ac:dyDescent="0.25">
      <c r="C299" s="257"/>
      <c r="D299" s="258" t="s">
        <v>835</v>
      </c>
      <c r="E299" s="260">
        <v>58317822.384578399</v>
      </c>
      <c r="F299" s="260">
        <f t="shared" ref="F299:I299" si="181">F130+F140+F142+F143+F148+F150+F192+F207+F229+F296</f>
        <v>59128575</v>
      </c>
      <c r="G299" s="260">
        <f t="shared" si="181"/>
        <v>810752.62895110343</v>
      </c>
      <c r="H299" s="260" t="e">
        <f t="shared" si="181"/>
        <v>#VALUE!</v>
      </c>
      <c r="I299" s="260">
        <f t="shared" si="181"/>
        <v>59750919</v>
      </c>
      <c r="J299" s="259">
        <f t="shared" si="168"/>
        <v>622344</v>
      </c>
      <c r="K299" s="261"/>
      <c r="L299" s="259">
        <f>L130+L140+L142+L143+L148+L150+L192+L207+L229+L296</f>
        <v>59826407</v>
      </c>
      <c r="M299" s="259">
        <f t="shared" si="169"/>
        <v>75488</v>
      </c>
      <c r="N299" s="261"/>
      <c r="O299" s="259">
        <f>O130+O140+O142+O143+O148+O150+O192+O207+O229+O296</f>
        <v>60556119</v>
      </c>
      <c r="P299" s="259">
        <f t="shared" si="170"/>
        <v>729712</v>
      </c>
      <c r="Q299" s="261"/>
      <c r="R299" s="259">
        <f>R130+R140+R142+R143+R148+R150+R192+R207+R229+R296</f>
        <v>61061627</v>
      </c>
      <c r="S299" s="259">
        <f t="shared" si="154"/>
        <v>505508</v>
      </c>
      <c r="T299" s="261"/>
      <c r="U299" s="259">
        <f>U130+U140+U142+U143+U148+U150+U192+U207+U229+U296</f>
        <v>61255958</v>
      </c>
      <c r="V299" s="259">
        <f t="shared" si="155"/>
        <v>194331</v>
      </c>
      <c r="W299" s="261"/>
      <c r="X299" s="259">
        <f>X130+X140+X142+X143+X148+X150+X192+X207+X229+X296</f>
        <v>61368258</v>
      </c>
      <c r="Y299" s="259">
        <f t="shared" si="156"/>
        <v>112300</v>
      </c>
      <c r="Z299" s="261"/>
      <c r="AA299" s="259">
        <f>AA130+AA140+AA142+AA143+AA148+AA150+AA192+AA207+AA229+AA296</f>
        <v>61388758</v>
      </c>
      <c r="AB299" s="259">
        <f t="shared" si="157"/>
        <v>20500</v>
      </c>
      <c r="AC299" s="261"/>
    </row>
    <row r="300" spans="2:29" s="38" customFormat="1" ht="31.9" customHeight="1" thickBot="1" x14ac:dyDescent="0.3">
      <c r="C300" s="169" t="s">
        <v>271</v>
      </c>
      <c r="D300" s="170" t="s">
        <v>836</v>
      </c>
      <c r="E300" s="49">
        <v>3486155</v>
      </c>
      <c r="F300" s="49">
        <f>ROUND(E300,0)+37335+(133641+67)</f>
        <v>3657198</v>
      </c>
      <c r="G300" s="48">
        <f t="shared" si="159"/>
        <v>171043</v>
      </c>
      <c r="H300" s="262" t="s">
        <v>837</v>
      </c>
      <c r="I300" s="48">
        <f>ROUND(F300,0)</f>
        <v>3657198</v>
      </c>
      <c r="J300" s="48">
        <f t="shared" si="168"/>
        <v>0</v>
      </c>
      <c r="K300" s="66"/>
      <c r="L300" s="48">
        <f>ROUND(I300,0)</f>
        <v>3657198</v>
      </c>
      <c r="M300" s="48">
        <f t="shared" si="169"/>
        <v>0</v>
      </c>
      <c r="N300" s="66"/>
      <c r="O300" s="48">
        <f>ROUND(L300,0)</f>
        <v>3657198</v>
      </c>
      <c r="P300" s="48">
        <f t="shared" si="170"/>
        <v>0</v>
      </c>
      <c r="Q300" s="66"/>
      <c r="R300" s="48">
        <f>ROUND(O300,0)</f>
        <v>3657198</v>
      </c>
      <c r="S300" s="48">
        <f t="shared" si="154"/>
        <v>0</v>
      </c>
      <c r="T300" s="66"/>
      <c r="U300" s="48">
        <f>ROUND(R300,0)</f>
        <v>3657198</v>
      </c>
      <c r="V300" s="48">
        <f t="shared" si="155"/>
        <v>0</v>
      </c>
      <c r="W300" s="66"/>
      <c r="X300" s="48">
        <f>ROUND(U300,0)</f>
        <v>3657198</v>
      </c>
      <c r="Y300" s="48">
        <f t="shared" si="156"/>
        <v>0</v>
      </c>
      <c r="Z300" s="66"/>
      <c r="AA300" s="48">
        <f>ROUND(X300,0)+100088</f>
        <v>3757286</v>
      </c>
      <c r="AB300" s="48">
        <f t="shared" si="157"/>
        <v>100088</v>
      </c>
      <c r="AC300" s="66" t="s">
        <v>247</v>
      </c>
    </row>
    <row r="301" spans="2:29" ht="15.75" thickBot="1" x14ac:dyDescent="0.3">
      <c r="C301" s="257"/>
      <c r="D301" s="258" t="s">
        <v>838</v>
      </c>
      <c r="E301" s="264">
        <v>61803977.384578399</v>
      </c>
      <c r="F301" s="264">
        <f>F299+F300</f>
        <v>62785773</v>
      </c>
      <c r="G301" s="263">
        <f t="shared" si="159"/>
        <v>981795.61542160064</v>
      </c>
      <c r="H301" s="265"/>
      <c r="I301" s="263">
        <f>I299+I300</f>
        <v>63408117</v>
      </c>
      <c r="J301" s="263">
        <f t="shared" si="168"/>
        <v>622344</v>
      </c>
      <c r="K301" s="265"/>
      <c r="L301" s="263">
        <f>L299+L300</f>
        <v>63483605</v>
      </c>
      <c r="M301" s="263">
        <f t="shared" si="169"/>
        <v>75488</v>
      </c>
      <c r="N301" s="265"/>
      <c r="O301" s="263">
        <f>O299+O300</f>
        <v>64213317</v>
      </c>
      <c r="P301" s="263">
        <f t="shared" si="170"/>
        <v>729712</v>
      </c>
      <c r="Q301" s="265"/>
      <c r="R301" s="263">
        <f>R299+R300</f>
        <v>64718825</v>
      </c>
      <c r="S301" s="263">
        <f t="shared" si="154"/>
        <v>505508</v>
      </c>
      <c r="T301" s="265"/>
      <c r="U301" s="263">
        <f>U299+U300</f>
        <v>64913156</v>
      </c>
      <c r="V301" s="263">
        <f t="shared" si="155"/>
        <v>194331</v>
      </c>
      <c r="W301" s="265"/>
      <c r="X301" s="263">
        <f>X299+X300</f>
        <v>65025456</v>
      </c>
      <c r="Y301" s="263">
        <f t="shared" si="156"/>
        <v>112300</v>
      </c>
      <c r="Z301" s="265"/>
      <c r="AA301" s="263">
        <f>AA299+AA300</f>
        <v>65146044</v>
      </c>
      <c r="AB301" s="263">
        <f t="shared" si="157"/>
        <v>120588</v>
      </c>
      <c r="AC301" s="265"/>
    </row>
    <row r="302" spans="2:29" ht="16.5" thickTop="1" thickBot="1" x14ac:dyDescent="0.3">
      <c r="C302" s="266" t="s">
        <v>839</v>
      </c>
      <c r="D302" s="267" t="s">
        <v>840</v>
      </c>
      <c r="E302" s="269">
        <v>0.25542160123586655</v>
      </c>
      <c r="F302" s="269">
        <f>F124-F301-0.2</f>
        <v>80542.8</v>
      </c>
      <c r="G302" s="268">
        <f t="shared" si="159"/>
        <v>80542.544578398767</v>
      </c>
      <c r="H302" s="270"/>
      <c r="I302" s="268">
        <f>I124-I301-0.2</f>
        <v>50316.800000000003</v>
      </c>
      <c r="J302" s="268">
        <f t="shared" si="168"/>
        <v>-30226</v>
      </c>
      <c r="K302" s="270"/>
      <c r="L302" s="268">
        <f>L124-L301-0.2</f>
        <v>58013.8</v>
      </c>
      <c r="M302" s="268">
        <f t="shared" si="169"/>
        <v>7697</v>
      </c>
      <c r="N302" s="270"/>
      <c r="O302" s="268">
        <f>O124-O301-0.2</f>
        <v>58013.8</v>
      </c>
      <c r="P302" s="268">
        <f t="shared" si="170"/>
        <v>0</v>
      </c>
      <c r="Q302" s="270"/>
      <c r="R302" s="268">
        <f>R124-R301-0.2</f>
        <v>38078.800000000003</v>
      </c>
      <c r="S302" s="268">
        <f t="shared" si="154"/>
        <v>-19935</v>
      </c>
      <c r="T302" s="270"/>
      <c r="U302" s="268">
        <f>U124-U301-0.2</f>
        <v>57060.800000000003</v>
      </c>
      <c r="V302" s="268">
        <f t="shared" si="155"/>
        <v>18982</v>
      </c>
      <c r="W302" s="270"/>
      <c r="X302" s="268">
        <f>X124-X301-0.2</f>
        <v>47060.800000000003</v>
      </c>
      <c r="Y302" s="268">
        <f t="shared" si="156"/>
        <v>-10000</v>
      </c>
      <c r="Z302" s="270"/>
      <c r="AA302" s="268">
        <f>AA124-AA301-0.2</f>
        <v>74341.8</v>
      </c>
      <c r="AB302" s="268">
        <f t="shared" si="157"/>
        <v>27281</v>
      </c>
      <c r="AC302" s="270"/>
    </row>
  </sheetData>
  <mergeCells count="10">
    <mergeCell ref="T196:T197"/>
    <mergeCell ref="W233:W234"/>
    <mergeCell ref="H241:H242"/>
    <mergeCell ref="T268:T269"/>
    <mergeCell ref="C127:D127"/>
    <mergeCell ref="C128:D128"/>
    <mergeCell ref="K145:K146"/>
    <mergeCell ref="AC179:AC180"/>
    <mergeCell ref="C2:D2"/>
    <mergeCell ref="C3:D3"/>
  </mergeCells>
  <conditionalFormatting sqref="E302:G302">
    <cfRule type="cellIs" dxfId="7" priority="9" operator="lessThan">
      <formula>0</formula>
    </cfRule>
  </conditionalFormatting>
  <conditionalFormatting sqref="I302:J302">
    <cfRule type="cellIs" dxfId="6" priority="7" operator="lessThan">
      <formula>0</formula>
    </cfRule>
  </conditionalFormatting>
  <conditionalFormatting sqref="L302:M302">
    <cfRule type="cellIs" dxfId="5" priority="6" operator="lessThan">
      <formula>0</formula>
    </cfRule>
  </conditionalFormatting>
  <conditionalFormatting sqref="O302:P302">
    <cfRule type="cellIs" dxfId="4" priority="5" operator="lessThan">
      <formula>0</formula>
    </cfRule>
  </conditionalFormatting>
  <conditionalFormatting sqref="R302:S302">
    <cfRule type="cellIs" dxfId="3" priority="4" operator="lessThan">
      <formula>0</formula>
    </cfRule>
  </conditionalFormatting>
  <conditionalFormatting sqref="U302:V302">
    <cfRule type="cellIs" dxfId="2" priority="3" operator="lessThan">
      <formula>0</formula>
    </cfRule>
  </conditionalFormatting>
  <conditionalFormatting sqref="X302:Y302">
    <cfRule type="cellIs" dxfId="1" priority="2" operator="lessThan">
      <formula>0</formula>
    </cfRule>
  </conditionalFormatting>
  <conditionalFormatting sqref="AA302:AB302">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2024.gada budzeta plans_apvieno</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2024-12-13T06:51:10Z</dcterms:created>
  <dcterms:modified xsi:type="dcterms:W3CDTF">2024-12-13T06:53:18Z</dcterms:modified>
</cp:coreProperties>
</file>