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armite.Muze\Nextcloud\Finansu nodala kopmape\2025\"/>
    </mc:Choice>
  </mc:AlternateContent>
  <xr:revisionPtr revIDLastSave="0" documentId="13_ncr:1_{C5F60C46-9B5E-4E86-B578-05111FCE7A5A}" xr6:coauthVersionLast="47" xr6:coauthVersionMax="47" xr10:uidLastSave="{00000000-0000-0000-0000-000000000000}"/>
  <bookViews>
    <workbookView xWindow="-120" yWindow="-120" windowWidth="29040" windowHeight="15720" tabRatio="719" firstSheet="1" activeTab="1" xr2:uid="{00000000-000D-0000-FFFF-FFFF00000000}"/>
  </bookViews>
  <sheets>
    <sheet name="Līgumu saraksts_27062024 apst" sheetId="21" state="hidden" r:id="rId1"/>
    <sheet name="Līgumu saraksts_2025" sheetId="27" r:id="rId2"/>
    <sheet name="Fakts _Visvaris_%" sheetId="10" state="hidden" r:id="rId3"/>
    <sheet name="Fakts_Visvaris_apkalp.maksa" sheetId="11" state="hidden" r:id="rId4"/>
  </sheets>
  <definedNames>
    <definedName name="_xlnm._FilterDatabase" localSheetId="2" hidden="1">'Fakts _Visvaris_%'!$1:$177</definedName>
    <definedName name="_xlnm._FilterDatabase" localSheetId="3" hidden="1">Fakts_Visvaris_apkalp.maksa!$1:$89</definedName>
    <definedName name="_xlnm._FilterDatabase" localSheetId="1" hidden="1">'Līgumu saraksts_2025'!$C$5:$AR$130</definedName>
    <definedName name="_xlnm._FilterDatabase" localSheetId="0" hidden="1">'Līgumu saraksts_27062024 apst'!$C$5:$AW$138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1" i="27" l="1"/>
  <c r="O123" i="27"/>
  <c r="O125" i="27"/>
  <c r="O127" i="27"/>
  <c r="AW139" i="27" l="1"/>
  <c r="AX139" i="27" s="1"/>
  <c r="AW137" i="27"/>
  <c r="AX137" i="27" s="1"/>
  <c r="AU139" i="27"/>
  <c r="AU137" i="27"/>
  <c r="AW129" i="27"/>
  <c r="AX129" i="27" s="1"/>
  <c r="AW128" i="27"/>
  <c r="AX128" i="27" s="1"/>
  <c r="AZ128" i="27" s="1"/>
  <c r="AW121" i="27"/>
  <c r="AW120" i="27"/>
  <c r="AW123" i="27"/>
  <c r="AW122" i="27"/>
  <c r="AW112" i="27"/>
  <c r="AX112" i="27" s="1"/>
  <c r="AW110" i="27"/>
  <c r="AX110" i="27" s="1"/>
  <c r="AW108" i="27"/>
  <c r="AX108" i="27" s="1"/>
  <c r="AW106" i="27"/>
  <c r="AX106" i="27" s="1"/>
  <c r="AW105" i="27"/>
  <c r="AW104" i="27"/>
  <c r="AX104" i="27" s="1"/>
  <c r="AW102" i="27"/>
  <c r="AX102" i="27" s="1"/>
  <c r="AW101" i="27"/>
  <c r="AW100" i="27"/>
  <c r="AX100" i="27" s="1"/>
  <c r="AW99" i="27"/>
  <c r="AW98" i="27"/>
  <c r="AX98" i="27" s="1"/>
  <c r="AW96" i="27"/>
  <c r="AX96" i="27" s="1"/>
  <c r="AW95" i="27"/>
  <c r="AW94" i="27"/>
  <c r="AX94" i="27" s="1"/>
  <c r="AW93" i="27"/>
  <c r="AX93" i="27" s="1"/>
  <c r="AW92" i="27"/>
  <c r="AX92" i="27" s="1"/>
  <c r="AW91" i="27"/>
  <c r="AW90" i="27"/>
  <c r="AX90" i="27" s="1"/>
  <c r="AW89" i="27"/>
  <c r="AW88" i="27"/>
  <c r="AX88" i="27" s="1"/>
  <c r="AW86" i="27"/>
  <c r="AX86" i="27" s="1"/>
  <c r="AW85" i="27"/>
  <c r="AW84" i="27"/>
  <c r="AX84" i="27" s="1"/>
  <c r="AW82" i="27"/>
  <c r="AX82" i="27" s="1"/>
  <c r="AW80" i="27"/>
  <c r="AX80" i="27" s="1"/>
  <c r="AW78" i="27"/>
  <c r="AX78" i="27" s="1"/>
  <c r="AW76" i="27"/>
  <c r="AX76" i="27" s="1"/>
  <c r="AW74" i="27"/>
  <c r="AX74" i="27" s="1"/>
  <c r="AW72" i="27"/>
  <c r="AX72" i="27" s="1"/>
  <c r="AW71" i="27"/>
  <c r="AW70" i="27"/>
  <c r="AX70" i="27" s="1"/>
  <c r="AW68" i="27"/>
  <c r="AX68" i="27" s="1"/>
  <c r="AW67" i="27"/>
  <c r="AW66" i="27"/>
  <c r="AX66" i="27" s="1"/>
  <c r="AW65" i="27"/>
  <c r="AW64" i="27"/>
  <c r="AX64" i="27" s="1"/>
  <c r="AW62" i="27"/>
  <c r="AX62" i="27" s="1"/>
  <c r="AW60" i="27"/>
  <c r="AX60" i="27" s="1"/>
  <c r="AW58" i="27"/>
  <c r="AX58" i="27" s="1"/>
  <c r="AW56" i="27"/>
  <c r="AX56" i="27" s="1"/>
  <c r="AW54" i="27"/>
  <c r="AX54" i="27" s="1"/>
  <c r="AW52" i="27"/>
  <c r="AX52" i="27" s="1"/>
  <c r="AW50" i="27"/>
  <c r="AX50" i="27" s="1"/>
  <c r="AW49" i="27"/>
  <c r="AW48" i="27"/>
  <c r="AX48" i="27" s="1"/>
  <c r="AW46" i="27"/>
  <c r="AX46" i="27" s="1"/>
  <c r="AW44" i="27"/>
  <c r="AX44" i="27" s="1"/>
  <c r="AW42" i="27"/>
  <c r="AX42" i="27" s="1"/>
  <c r="AW41" i="27"/>
  <c r="AW40" i="27"/>
  <c r="AX40" i="27" s="1"/>
  <c r="AW38" i="27"/>
  <c r="AX38" i="27" s="1"/>
  <c r="AW36" i="27"/>
  <c r="AX36" i="27" s="1"/>
  <c r="AW34" i="27"/>
  <c r="AX34" i="27" s="1"/>
  <c r="AW32" i="27"/>
  <c r="AX32" i="27" s="1"/>
  <c r="AW30" i="27"/>
  <c r="AX30" i="27" s="1"/>
  <c r="AW29" i="27"/>
  <c r="AW28" i="27"/>
  <c r="AX28" i="27" s="1"/>
  <c r="AW26" i="27"/>
  <c r="AX26" i="27" s="1"/>
  <c r="AW24" i="27"/>
  <c r="AX24" i="27" s="1"/>
  <c r="AW23" i="27"/>
  <c r="AW22" i="27"/>
  <c r="AX22" i="27" s="1"/>
  <c r="AW20" i="27"/>
  <c r="AX20" i="27" s="1"/>
  <c r="AW18" i="27"/>
  <c r="AX18" i="27" s="1"/>
  <c r="AW16" i="27"/>
  <c r="AX16" i="27" s="1"/>
  <c r="AW14" i="27"/>
  <c r="AX14" i="27" s="1"/>
  <c r="AW12" i="27"/>
  <c r="AX12" i="27" s="1"/>
  <c r="AW11" i="27"/>
  <c r="AX11" i="27" s="1"/>
  <c r="AW10" i="27"/>
  <c r="AX10" i="27" s="1"/>
  <c r="AW8" i="27"/>
  <c r="AX8" i="27" s="1"/>
  <c r="AW6" i="27"/>
  <c r="AX6" i="27" s="1"/>
  <c r="AV128" i="27"/>
  <c r="AV129" i="27"/>
  <c r="AU112" i="27"/>
  <c r="AV112" i="27" s="1"/>
  <c r="AU110" i="27"/>
  <c r="AV110" i="27" s="1"/>
  <c r="AU108" i="27"/>
  <c r="AV108" i="27" s="1"/>
  <c r="AU106" i="27"/>
  <c r="AV106" i="27" s="1"/>
  <c r="AU104" i="27"/>
  <c r="AV104" i="27" s="1"/>
  <c r="AU102" i="27"/>
  <c r="AV102" i="27" s="1"/>
  <c r="AU100" i="27"/>
  <c r="AV100" i="27" s="1"/>
  <c r="AU98" i="27"/>
  <c r="AV98" i="27" s="1"/>
  <c r="AU96" i="27"/>
  <c r="AV96" i="27" s="1"/>
  <c r="AU94" i="27"/>
  <c r="AV94" i="27" s="1"/>
  <c r="AU93" i="27"/>
  <c r="AV93" i="27" s="1"/>
  <c r="AU92" i="27"/>
  <c r="AV92" i="27" s="1"/>
  <c r="AU90" i="27"/>
  <c r="AV90" i="27" s="1"/>
  <c r="AU88" i="27"/>
  <c r="AV88" i="27" s="1"/>
  <c r="AU86" i="27"/>
  <c r="AV86" i="27" s="1"/>
  <c r="AU84" i="27"/>
  <c r="AV84" i="27" s="1"/>
  <c r="AU82" i="27"/>
  <c r="AV82" i="27" s="1"/>
  <c r="AU80" i="27"/>
  <c r="AV80" i="27" s="1"/>
  <c r="AU78" i="27"/>
  <c r="AV78" i="27" s="1"/>
  <c r="AU76" i="27"/>
  <c r="AV76" i="27" s="1"/>
  <c r="AU74" i="27"/>
  <c r="AV74" i="27" s="1"/>
  <c r="AU72" i="27"/>
  <c r="AV72" i="27" s="1"/>
  <c r="AU70" i="27"/>
  <c r="AV70" i="27" s="1"/>
  <c r="AU68" i="27"/>
  <c r="AV68" i="27" s="1"/>
  <c r="AU66" i="27"/>
  <c r="AV66" i="27" s="1"/>
  <c r="AU64" i="27"/>
  <c r="AV64" i="27" s="1"/>
  <c r="AU62" i="27"/>
  <c r="AV62" i="27" s="1"/>
  <c r="AU60" i="27"/>
  <c r="AV60" i="27" s="1"/>
  <c r="AU58" i="27"/>
  <c r="AV58" i="27" s="1"/>
  <c r="AU56" i="27"/>
  <c r="AV56" i="27" s="1"/>
  <c r="AU54" i="27"/>
  <c r="AV54" i="27" s="1"/>
  <c r="AU52" i="27"/>
  <c r="AV52" i="27" s="1"/>
  <c r="AU50" i="27"/>
  <c r="AV50" i="27" s="1"/>
  <c r="AU48" i="27"/>
  <c r="AV48" i="27" s="1"/>
  <c r="AU46" i="27"/>
  <c r="AV46" i="27" s="1"/>
  <c r="AU44" i="27"/>
  <c r="AV44" i="27" s="1"/>
  <c r="AU42" i="27"/>
  <c r="AV42" i="27" s="1"/>
  <c r="AU40" i="27"/>
  <c r="AV40" i="27" s="1"/>
  <c r="AU38" i="27"/>
  <c r="AV38" i="27" s="1"/>
  <c r="AU36" i="27"/>
  <c r="AV36" i="27" s="1"/>
  <c r="AU34" i="27"/>
  <c r="AV34" i="27" s="1"/>
  <c r="AU32" i="27"/>
  <c r="AV32" i="27" s="1"/>
  <c r="AU30" i="27"/>
  <c r="AV30" i="27" s="1"/>
  <c r="AU28" i="27"/>
  <c r="AV28" i="27" s="1"/>
  <c r="AU26" i="27"/>
  <c r="AV26" i="27" s="1"/>
  <c r="AU24" i="27"/>
  <c r="AV24" i="27" s="1"/>
  <c r="AU22" i="27"/>
  <c r="AV22" i="27" s="1"/>
  <c r="AU20" i="27"/>
  <c r="AV20" i="27" s="1"/>
  <c r="AU18" i="27"/>
  <c r="AV18" i="27" s="1"/>
  <c r="AU16" i="27"/>
  <c r="AV16" i="27" s="1"/>
  <c r="AU14" i="27"/>
  <c r="AV14" i="27" s="1"/>
  <c r="AU12" i="27"/>
  <c r="AV12" i="27" s="1"/>
  <c r="AU11" i="27"/>
  <c r="AV11" i="27" s="1"/>
  <c r="AU10" i="27"/>
  <c r="AU8" i="27"/>
  <c r="AV8" i="27" s="1"/>
  <c r="AU6" i="27"/>
  <c r="AV6" i="27" s="1"/>
  <c r="N142" i="27"/>
  <c r="AL142" i="27" s="1"/>
  <c r="AC141" i="27"/>
  <c r="AB141" i="27"/>
  <c r="AA141" i="27"/>
  <c r="Z141" i="27"/>
  <c r="Y141" i="27"/>
  <c r="X141" i="27"/>
  <c r="W141" i="27"/>
  <c r="V141" i="27"/>
  <c r="U141" i="27"/>
  <c r="T141" i="27"/>
  <c r="N140" i="27"/>
  <c r="N138" i="27"/>
  <c r="X138" i="27" s="1"/>
  <c r="AT131" i="27"/>
  <c r="AT148" i="27" s="1"/>
  <c r="AS131" i="27"/>
  <c r="AS148" i="27" s="1"/>
  <c r="AT130" i="27"/>
  <c r="AS130" i="27"/>
  <c r="AR130" i="27"/>
  <c r="AQ130" i="27"/>
  <c r="AQ147" i="27" s="1"/>
  <c r="AP130" i="27"/>
  <c r="AP147" i="27" s="1"/>
  <c r="AO130" i="27"/>
  <c r="AN130" i="27"/>
  <c r="AN147" i="27" s="1"/>
  <c r="AM130" i="27"/>
  <c r="AM147" i="27" s="1"/>
  <c r="AL130" i="27"/>
  <c r="AL147" i="27" s="1"/>
  <c r="K130" i="27"/>
  <c r="P127" i="27"/>
  <c r="N127" i="27" s="1"/>
  <c r="AI126" i="27"/>
  <c r="AI130" i="27" s="1"/>
  <c r="P119" i="27"/>
  <c r="N119" i="27" s="1"/>
  <c r="AB118" i="27"/>
  <c r="AA118" i="27"/>
  <c r="Z118" i="27"/>
  <c r="Y118" i="27"/>
  <c r="X118" i="27"/>
  <c r="W118" i="27"/>
  <c r="V118" i="27"/>
  <c r="U118" i="27"/>
  <c r="T118" i="27"/>
  <c r="S118" i="27"/>
  <c r="R118" i="27"/>
  <c r="P121" i="27"/>
  <c r="N121" i="27" s="1"/>
  <c r="V120" i="27"/>
  <c r="U120" i="27"/>
  <c r="T120" i="27"/>
  <c r="S120" i="27"/>
  <c r="R120" i="27"/>
  <c r="P125" i="27"/>
  <c r="N125" i="27" s="1"/>
  <c r="AH124" i="27"/>
  <c r="AG124" i="27"/>
  <c r="AF124" i="27"/>
  <c r="AE124" i="27"/>
  <c r="AD124" i="27"/>
  <c r="AC124" i="27"/>
  <c r="AB124" i="27"/>
  <c r="AA124" i="27"/>
  <c r="Z124" i="27"/>
  <c r="Y124" i="27"/>
  <c r="X124" i="27"/>
  <c r="W124" i="27"/>
  <c r="V124" i="27"/>
  <c r="U124" i="27"/>
  <c r="T124" i="27"/>
  <c r="P123" i="27"/>
  <c r="N123" i="27" s="1"/>
  <c r="W122" i="27"/>
  <c r="V122" i="27"/>
  <c r="U122" i="27"/>
  <c r="T122" i="27"/>
  <c r="S122" i="27"/>
  <c r="N117" i="27"/>
  <c r="AB116" i="27"/>
  <c r="AA116" i="27"/>
  <c r="Z116" i="27"/>
  <c r="Y116" i="27"/>
  <c r="X116" i="27"/>
  <c r="W116" i="27"/>
  <c r="V116" i="27"/>
  <c r="U116" i="27"/>
  <c r="T116" i="27"/>
  <c r="S116" i="27"/>
  <c r="R116" i="27"/>
  <c r="P115" i="27"/>
  <c r="N115" i="27" s="1"/>
  <c r="P113" i="27"/>
  <c r="N113" i="27" s="1"/>
  <c r="AB113" i="27" s="1"/>
  <c r="P111" i="27"/>
  <c r="N111" i="27" s="1"/>
  <c r="P109" i="27"/>
  <c r="N109" i="27" s="1"/>
  <c r="U109" i="27" s="1"/>
  <c r="P107" i="27"/>
  <c r="N107" i="27" s="1"/>
  <c r="Y107" i="27" s="1"/>
  <c r="P105" i="27"/>
  <c r="N105" i="27" s="1"/>
  <c r="U105" i="27" s="1"/>
  <c r="P103" i="27"/>
  <c r="N103" i="27" s="1"/>
  <c r="P101" i="27"/>
  <c r="N101" i="27" s="1"/>
  <c r="T101" i="27" s="1"/>
  <c r="P99" i="27"/>
  <c r="N99" i="27" s="1"/>
  <c r="R99" i="27" s="1"/>
  <c r="P97" i="27"/>
  <c r="N97" i="27" s="1"/>
  <c r="X97" i="27" s="1"/>
  <c r="P95" i="27"/>
  <c r="N95" i="27" s="1"/>
  <c r="X95" i="27" s="1"/>
  <c r="P93" i="27"/>
  <c r="N93" i="27" s="1"/>
  <c r="P91" i="27"/>
  <c r="N91" i="27" s="1"/>
  <c r="X91" i="27" s="1"/>
  <c r="P89" i="27"/>
  <c r="N89" i="27" s="1"/>
  <c r="U89" i="27" s="1"/>
  <c r="P87" i="27"/>
  <c r="N87" i="27" s="1"/>
  <c r="W87" i="27" s="1"/>
  <c r="P85" i="27"/>
  <c r="N85" i="27" s="1"/>
  <c r="P83" i="27"/>
  <c r="N83" i="27" s="1"/>
  <c r="AH83" i="27" s="1"/>
  <c r="P81" i="27"/>
  <c r="N81" i="27" s="1"/>
  <c r="X81" i="27" s="1"/>
  <c r="P79" i="27"/>
  <c r="N79" i="27" s="1"/>
  <c r="AH79" i="27" s="1"/>
  <c r="P77" i="27"/>
  <c r="N77" i="27" s="1"/>
  <c r="Z77" i="27" s="1"/>
  <c r="P75" i="27"/>
  <c r="N75" i="27" s="1"/>
  <c r="P73" i="27"/>
  <c r="N73" i="27" s="1"/>
  <c r="AJ73" i="27" s="1"/>
  <c r="P71" i="27"/>
  <c r="N71" i="27" s="1"/>
  <c r="P69" i="27"/>
  <c r="N69" i="27" s="1"/>
  <c r="AP69" i="27" s="1"/>
  <c r="P67" i="27"/>
  <c r="N67" i="27" s="1"/>
  <c r="R67" i="27" s="1"/>
  <c r="P65" i="27"/>
  <c r="N65" i="27" s="1"/>
  <c r="R65" i="27" s="1"/>
  <c r="P63" i="27"/>
  <c r="N63" i="27" s="1"/>
  <c r="AB63" i="27" s="1"/>
  <c r="P61" i="27"/>
  <c r="N61" i="27" s="1"/>
  <c r="AJ61" i="27" s="1"/>
  <c r="P59" i="27"/>
  <c r="N59" i="27" s="1"/>
  <c r="P57" i="27"/>
  <c r="N57" i="27" s="1"/>
  <c r="P55" i="27"/>
  <c r="N55" i="27" s="1"/>
  <c r="AA55" i="27" s="1"/>
  <c r="P53" i="27"/>
  <c r="N53" i="27" s="1"/>
  <c r="X53" i="27" s="1"/>
  <c r="P51" i="27"/>
  <c r="N51" i="27" s="1"/>
  <c r="P49" i="27"/>
  <c r="N49" i="27" s="1"/>
  <c r="R49" i="27" s="1"/>
  <c r="P47" i="27"/>
  <c r="N47" i="27" s="1"/>
  <c r="AA47" i="27" s="1"/>
  <c r="P45" i="27"/>
  <c r="N45" i="27" s="1"/>
  <c r="AE45" i="27" s="1"/>
  <c r="P43" i="27"/>
  <c r="N43" i="27" s="1"/>
  <c r="P41" i="27"/>
  <c r="N41" i="27" s="1"/>
  <c r="U41" i="27" s="1"/>
  <c r="P39" i="27"/>
  <c r="N39" i="27" s="1"/>
  <c r="P37" i="27"/>
  <c r="N37" i="27" s="1"/>
  <c r="AB37" i="27" s="1"/>
  <c r="P35" i="27"/>
  <c r="N35" i="27" s="1"/>
  <c r="AB35" i="27" s="1"/>
  <c r="P33" i="27"/>
  <c r="N33" i="27" s="1"/>
  <c r="AL33" i="27" s="1"/>
  <c r="P31" i="27"/>
  <c r="N31" i="27" s="1"/>
  <c r="AJ31" i="27" s="1"/>
  <c r="P29" i="27"/>
  <c r="N29" i="27" s="1"/>
  <c r="R29" i="27" s="1"/>
  <c r="P27" i="27"/>
  <c r="N27" i="27" s="1"/>
  <c r="Y27" i="27" s="1"/>
  <c r="P25" i="27"/>
  <c r="N25" i="27" s="1"/>
  <c r="P23" i="27"/>
  <c r="N23" i="27" s="1"/>
  <c r="R23" i="27" s="1"/>
  <c r="P21" i="27"/>
  <c r="N21" i="27" s="1"/>
  <c r="X21" i="27" s="1"/>
  <c r="P19" i="27"/>
  <c r="N19" i="27" s="1"/>
  <c r="Z19" i="27" s="1"/>
  <c r="P17" i="27"/>
  <c r="N17" i="27" s="1"/>
  <c r="AL17" i="27" s="1"/>
  <c r="P15" i="27"/>
  <c r="N15" i="27" s="1"/>
  <c r="U15" i="27" s="1"/>
  <c r="P13" i="27"/>
  <c r="N13" i="27" s="1"/>
  <c r="P11" i="27"/>
  <c r="N11" i="27" s="1"/>
  <c r="P9" i="27"/>
  <c r="N9" i="27" s="1"/>
  <c r="U9" i="27" s="1"/>
  <c r="P7" i="27"/>
  <c r="N7" i="27" s="1"/>
  <c r="AZ12" i="27" l="1"/>
  <c r="AZ90" i="27"/>
  <c r="AZ10" i="27"/>
  <c r="AZ72" i="27"/>
  <c r="AZ98" i="27"/>
  <c r="Y138" i="27"/>
  <c r="AW138" i="27" s="1"/>
  <c r="AH142" i="27"/>
  <c r="AZ112" i="27"/>
  <c r="AZ106" i="27"/>
  <c r="AO75" i="27"/>
  <c r="AH75" i="27"/>
  <c r="S75" i="27"/>
  <c r="R75" i="27"/>
  <c r="AI75" i="27"/>
  <c r="AD111" i="27"/>
  <c r="AA111" i="27"/>
  <c r="V33" i="27"/>
  <c r="S99" i="27"/>
  <c r="Y115" i="27"/>
  <c r="AB126" i="27"/>
  <c r="AB130" i="27" s="1"/>
  <c r="AB147" i="27" s="1"/>
  <c r="AP142" i="27"/>
  <c r="Y33" i="27"/>
  <c r="AZ60" i="27"/>
  <c r="AZ110" i="27"/>
  <c r="AF126" i="27"/>
  <c r="AF130" i="27" s="1"/>
  <c r="AF147" i="27" s="1"/>
  <c r="S138" i="27"/>
  <c r="AO33" i="27"/>
  <c r="AH33" i="27"/>
  <c r="AZ36" i="27"/>
  <c r="Z79" i="27"/>
  <c r="AZ38" i="27"/>
  <c r="AZ58" i="27"/>
  <c r="T39" i="27"/>
  <c r="X39" i="27"/>
  <c r="AE87" i="27"/>
  <c r="T121" i="27"/>
  <c r="J129" i="27"/>
  <c r="AV10" i="27"/>
  <c r="AZ52" i="27"/>
  <c r="AD87" i="27"/>
  <c r="AD19" i="27"/>
  <c r="AO79" i="27"/>
  <c r="AD33" i="27"/>
  <c r="V69" i="27"/>
  <c r="Z75" i="27"/>
  <c r="AP75" i="27"/>
  <c r="R79" i="27"/>
  <c r="AP79" i="27"/>
  <c r="R83" i="27"/>
  <c r="R87" i="27"/>
  <c r="AZ94" i="27"/>
  <c r="T109" i="27"/>
  <c r="R115" i="27"/>
  <c r="W117" i="27"/>
  <c r="AU118" i="27"/>
  <c r="AV118" i="27" s="1"/>
  <c r="T126" i="27"/>
  <c r="T130" i="27" s="1"/>
  <c r="T147" i="27" s="1"/>
  <c r="AJ126" i="27"/>
  <c r="AJ130" i="27" s="1"/>
  <c r="AJ147" i="27" s="1"/>
  <c r="R142" i="27"/>
  <c r="AW141" i="27"/>
  <c r="AX141" i="27" s="1"/>
  <c r="Z142" i="27"/>
  <c r="R33" i="27"/>
  <c r="AG33" i="27"/>
  <c r="AL69" i="27"/>
  <c r="AA75" i="27"/>
  <c r="AQ75" i="27"/>
  <c r="Y79" i="27"/>
  <c r="V87" i="27"/>
  <c r="Y109" i="27"/>
  <c r="AW109" i="27" s="1"/>
  <c r="V111" i="27"/>
  <c r="U121" i="27"/>
  <c r="X126" i="27"/>
  <c r="X130" i="27" s="1"/>
  <c r="S85" i="27"/>
  <c r="R85" i="27"/>
  <c r="AC43" i="27"/>
  <c r="AE43" i="27"/>
  <c r="W43" i="27"/>
  <c r="AD43" i="27"/>
  <c r="V43" i="27"/>
  <c r="Z43" i="27"/>
  <c r="AA43" i="27"/>
  <c r="S43" i="27"/>
  <c r="R43" i="27"/>
  <c r="AO57" i="27"/>
  <c r="AL57" i="27"/>
  <c r="AD57" i="27"/>
  <c r="V57" i="27"/>
  <c r="AM57" i="27"/>
  <c r="W57" i="27"/>
  <c r="AI57" i="27"/>
  <c r="AA57" i="27"/>
  <c r="S57" i="27"/>
  <c r="Z57" i="27"/>
  <c r="AE57" i="27"/>
  <c r="AH57" i="27"/>
  <c r="R57" i="27"/>
  <c r="AE21" i="27"/>
  <c r="AA35" i="27"/>
  <c r="AQ61" i="27"/>
  <c r="AQ73" i="27"/>
  <c r="AU116" i="27"/>
  <c r="AV116" i="27" s="1"/>
  <c r="T21" i="27"/>
  <c r="R27" i="27"/>
  <c r="AX67" i="27"/>
  <c r="AU67" i="27"/>
  <c r="AV67" i="27" s="1"/>
  <c r="AB73" i="27"/>
  <c r="AD75" i="27"/>
  <c r="AL75" i="27"/>
  <c r="AD83" i="27"/>
  <c r="S95" i="27"/>
  <c r="T99" i="27"/>
  <c r="AW114" i="27"/>
  <c r="AX114" i="27" s="1"/>
  <c r="AU114" i="27"/>
  <c r="AV114" i="27" s="1"/>
  <c r="V142" i="27"/>
  <c r="AU124" i="27"/>
  <c r="AV124" i="27" s="1"/>
  <c r="Z27" i="27"/>
  <c r="AA61" i="27"/>
  <c r="AX23" i="27"/>
  <c r="AU23" i="27"/>
  <c r="AV23" i="27" s="1"/>
  <c r="AD27" i="27"/>
  <c r="AF61" i="27"/>
  <c r="Y69" i="27"/>
  <c r="AO69" i="27"/>
  <c r="AR73" i="27"/>
  <c r="V75" i="27"/>
  <c r="AG87" i="27"/>
  <c r="AA87" i="27"/>
  <c r="S87" i="27"/>
  <c r="V97" i="27"/>
  <c r="Z115" i="27"/>
  <c r="V19" i="27"/>
  <c r="W21" i="27"/>
  <c r="V27" i="27"/>
  <c r="Z33" i="27"/>
  <c r="S35" i="27"/>
  <c r="W47" i="27"/>
  <c r="S61" i="27"/>
  <c r="AI61" i="27"/>
  <c r="AD69" i="27"/>
  <c r="S73" i="27"/>
  <c r="AI73" i="27"/>
  <c r="W75" i="27"/>
  <c r="AE75" i="27"/>
  <c r="AM75" i="27"/>
  <c r="AG79" i="27"/>
  <c r="Z87" i="27"/>
  <c r="T95" i="27"/>
  <c r="AU122" i="27"/>
  <c r="AV122" i="27" s="1"/>
  <c r="AX65" i="27"/>
  <c r="AU65" i="27"/>
  <c r="AV65" i="27" s="1"/>
  <c r="AA73" i="27"/>
  <c r="AB21" i="27"/>
  <c r="AZ30" i="27"/>
  <c r="X35" i="27"/>
  <c r="X61" i="27"/>
  <c r="AN61" i="27"/>
  <c r="AG69" i="27"/>
  <c r="T73" i="27"/>
  <c r="U123" i="27"/>
  <c r="S125" i="27"/>
  <c r="U126" i="27"/>
  <c r="AC126" i="27"/>
  <c r="AC130" i="27" s="1"/>
  <c r="AK126" i="27"/>
  <c r="AK130" i="27" s="1"/>
  <c r="AK147" i="27" s="1"/>
  <c r="U138" i="27"/>
  <c r="AD142" i="27"/>
  <c r="AT142" i="27"/>
  <c r="AW116" i="27"/>
  <c r="AX116" i="27" s="1"/>
  <c r="AW124" i="27"/>
  <c r="AX124" i="27" s="1"/>
  <c r="AX120" i="27"/>
  <c r="AW118" i="27"/>
  <c r="AX118" i="27" s="1"/>
  <c r="AT132" i="27"/>
  <c r="V138" i="27"/>
  <c r="AU120" i="27"/>
  <c r="AV120" i="27" s="1"/>
  <c r="AX122" i="27"/>
  <c r="Y126" i="27"/>
  <c r="Y130" i="27" s="1"/>
  <c r="AG126" i="27"/>
  <c r="AG130" i="27" s="1"/>
  <c r="AG147" i="27" s="1"/>
  <c r="R138" i="27"/>
  <c r="W138" i="27"/>
  <c r="AU141" i="27"/>
  <c r="AZ93" i="27"/>
  <c r="AZ54" i="27"/>
  <c r="AZ18" i="27"/>
  <c r="AZ66" i="27"/>
  <c r="AZ100" i="27"/>
  <c r="AZ104" i="27"/>
  <c r="AZ22" i="27"/>
  <c r="AZ8" i="27"/>
  <c r="AZ14" i="27"/>
  <c r="AZ34" i="27"/>
  <c r="AZ62" i="27"/>
  <c r="AZ84" i="27"/>
  <c r="AZ96" i="27"/>
  <c r="N130" i="27"/>
  <c r="V7" i="27"/>
  <c r="AC7" i="27"/>
  <c r="Y7" i="27"/>
  <c r="U7" i="27"/>
  <c r="AB7" i="27"/>
  <c r="X7" i="27"/>
  <c r="T7" i="27"/>
  <c r="AA7" i="27"/>
  <c r="W7" i="27"/>
  <c r="S7" i="27"/>
  <c r="Z7" i="27"/>
  <c r="R7" i="27"/>
  <c r="AZ6" i="27"/>
  <c r="W25" i="27"/>
  <c r="S25" i="27"/>
  <c r="Z25" i="27"/>
  <c r="V25" i="27"/>
  <c r="R25" i="27"/>
  <c r="X25" i="27"/>
  <c r="U25" i="27"/>
  <c r="T25" i="27"/>
  <c r="Y25" i="27"/>
  <c r="AZ11" i="27"/>
  <c r="W13" i="27"/>
  <c r="S13" i="27"/>
  <c r="T13" i="27"/>
  <c r="X13" i="27"/>
  <c r="R13" i="27"/>
  <c r="V13" i="27"/>
  <c r="Y13" i="27"/>
  <c r="AW13" i="27" s="1"/>
  <c r="U13" i="27"/>
  <c r="Y9" i="27"/>
  <c r="AW9" i="27" s="1"/>
  <c r="R9" i="27"/>
  <c r="V9" i="27"/>
  <c r="S15" i="27"/>
  <c r="X15" i="27"/>
  <c r="S17" i="27"/>
  <c r="X17" i="27"/>
  <c r="AD17" i="27"/>
  <c r="AI17" i="27"/>
  <c r="AN17" i="27"/>
  <c r="W19" i="27"/>
  <c r="AE19" i="27"/>
  <c r="AZ20" i="27"/>
  <c r="AB27" i="27"/>
  <c r="X27" i="27"/>
  <c r="T27" i="27"/>
  <c r="AE27" i="27"/>
  <c r="AA27" i="27"/>
  <c r="W27" i="27"/>
  <c r="S27" i="27"/>
  <c r="U27" i="27"/>
  <c r="AC27" i="27"/>
  <c r="X31" i="27"/>
  <c r="AF31" i="27"/>
  <c r="AN31" i="27"/>
  <c r="AN33" i="27"/>
  <c r="AJ33" i="27"/>
  <c r="AF33" i="27"/>
  <c r="AB33" i="27"/>
  <c r="X33" i="27"/>
  <c r="T33" i="27"/>
  <c r="AM33" i="27"/>
  <c r="AI33" i="27"/>
  <c r="AE33" i="27"/>
  <c r="AA33" i="27"/>
  <c r="W33" i="27"/>
  <c r="S33" i="27"/>
  <c r="U33" i="27"/>
  <c r="AC33" i="27"/>
  <c r="AK33" i="27"/>
  <c r="T35" i="27"/>
  <c r="X37" i="27"/>
  <c r="S39" i="27"/>
  <c r="AZ40" i="27"/>
  <c r="W45" i="27"/>
  <c r="AZ48" i="27"/>
  <c r="U49" i="27"/>
  <c r="T49" i="27"/>
  <c r="S49" i="27"/>
  <c r="V49" i="27"/>
  <c r="AZ50" i="27"/>
  <c r="S9" i="27"/>
  <c r="W9" i="27"/>
  <c r="T15" i="27"/>
  <c r="Y15" i="27"/>
  <c r="AW15" i="27" s="1"/>
  <c r="T17" i="27"/>
  <c r="Z17" i="27"/>
  <c r="AE17" i="27"/>
  <c r="AJ17" i="27"/>
  <c r="R19" i="27"/>
  <c r="AD21" i="27"/>
  <c r="Z21" i="27"/>
  <c r="V21" i="27"/>
  <c r="R21" i="27"/>
  <c r="AC21" i="27"/>
  <c r="Y21" i="27"/>
  <c r="U21" i="27"/>
  <c r="S21" i="27"/>
  <c r="AA21" i="27"/>
  <c r="AZ24" i="27"/>
  <c r="T29" i="27"/>
  <c r="S29" i="27"/>
  <c r="U29" i="27"/>
  <c r="S31" i="27"/>
  <c r="AA31" i="27"/>
  <c r="AI31" i="27"/>
  <c r="AD35" i="27"/>
  <c r="Z35" i="27"/>
  <c r="V35" i="27"/>
  <c r="R35" i="27"/>
  <c r="AC35" i="27"/>
  <c r="Y35" i="27"/>
  <c r="U35" i="27"/>
  <c r="W35" i="27"/>
  <c r="AE35" i="27"/>
  <c r="S37" i="27"/>
  <c r="AA37" i="27"/>
  <c r="T41" i="27"/>
  <c r="AA45" i="27"/>
  <c r="AZ46" i="27"/>
  <c r="AM51" i="27"/>
  <c r="AI51" i="27"/>
  <c r="AE51" i="27"/>
  <c r="AA51" i="27"/>
  <c r="W51" i="27"/>
  <c r="S51" i="27"/>
  <c r="AP51" i="27"/>
  <c r="AL51" i="27"/>
  <c r="AH51" i="27"/>
  <c r="AD51" i="27"/>
  <c r="Z51" i="27"/>
  <c r="V51" i="27"/>
  <c r="R51" i="27"/>
  <c r="AO51" i="27"/>
  <c r="AK51" i="27"/>
  <c r="AG51" i="27"/>
  <c r="AC51" i="27"/>
  <c r="Y51" i="27"/>
  <c r="U51" i="27"/>
  <c r="AN51" i="27"/>
  <c r="AJ51" i="27"/>
  <c r="AF51" i="27"/>
  <c r="AB51" i="27"/>
  <c r="X51" i="27"/>
  <c r="T51" i="27"/>
  <c r="T9" i="27"/>
  <c r="X9" i="27"/>
  <c r="AZ16" i="27"/>
  <c r="V17" i="27"/>
  <c r="AA17" i="27"/>
  <c r="AF17" i="27"/>
  <c r="AC19" i="27"/>
  <c r="Y19" i="27"/>
  <c r="U19" i="27"/>
  <c r="AB19" i="27"/>
  <c r="X19" i="27"/>
  <c r="T19" i="27"/>
  <c r="S19" i="27"/>
  <c r="AA19" i="27"/>
  <c r="T31" i="27"/>
  <c r="AB31" i="27"/>
  <c r="T37" i="27"/>
  <c r="Z39" i="27"/>
  <c r="V39" i="27"/>
  <c r="R39" i="27"/>
  <c r="Y39" i="27"/>
  <c r="U39" i="27"/>
  <c r="W39" i="27"/>
  <c r="AZ42" i="27"/>
  <c r="AZ44" i="27"/>
  <c r="Z47" i="27"/>
  <c r="V47" i="27"/>
  <c r="R47" i="27"/>
  <c r="Y47" i="27"/>
  <c r="U47" i="27"/>
  <c r="AB47" i="27"/>
  <c r="X47" i="27"/>
  <c r="T47" i="27"/>
  <c r="S47" i="27"/>
  <c r="V15" i="27"/>
  <c r="R15" i="27"/>
  <c r="W15" i="27"/>
  <c r="AO17" i="27"/>
  <c r="AK17" i="27"/>
  <c r="AG17" i="27"/>
  <c r="AC17" i="27"/>
  <c r="Y17" i="27"/>
  <c r="U17" i="27"/>
  <c r="R17" i="27"/>
  <c r="W17" i="27"/>
  <c r="AB17" i="27"/>
  <c r="AH17" i="27"/>
  <c r="AM17" i="27"/>
  <c r="AL31" i="27"/>
  <c r="AH31" i="27"/>
  <c r="AD31" i="27"/>
  <c r="Z31" i="27"/>
  <c r="V31" i="27"/>
  <c r="R31" i="27"/>
  <c r="AO31" i="27"/>
  <c r="AK31" i="27"/>
  <c r="AG31" i="27"/>
  <c r="AC31" i="27"/>
  <c r="Y31" i="27"/>
  <c r="U31" i="27"/>
  <c r="W31" i="27"/>
  <c r="AE31" i="27"/>
  <c r="AM31" i="27"/>
  <c r="AD37" i="27"/>
  <c r="Z37" i="27"/>
  <c r="V37" i="27"/>
  <c r="R37" i="27"/>
  <c r="AC37" i="27"/>
  <c r="Y37" i="27"/>
  <c r="U37" i="27"/>
  <c r="W37" i="27"/>
  <c r="AE37" i="27"/>
  <c r="S41" i="27"/>
  <c r="R41" i="27"/>
  <c r="AD45" i="27"/>
  <c r="Z45" i="27"/>
  <c r="V45" i="27"/>
  <c r="R45" i="27"/>
  <c r="AC45" i="27"/>
  <c r="Y45" i="27"/>
  <c r="U45" i="27"/>
  <c r="AB45" i="27"/>
  <c r="X45" i="27"/>
  <c r="T45" i="27"/>
  <c r="S45" i="27"/>
  <c r="AA59" i="27"/>
  <c r="W59" i="27"/>
  <c r="S59" i="27"/>
  <c r="Z59" i="27"/>
  <c r="V59" i="27"/>
  <c r="R59" i="27"/>
  <c r="AB59" i="27"/>
  <c r="T59" i="27"/>
  <c r="Y59" i="27"/>
  <c r="X59" i="27"/>
  <c r="U59" i="27"/>
  <c r="W71" i="27"/>
  <c r="S71" i="27"/>
  <c r="V71" i="27"/>
  <c r="R71" i="27"/>
  <c r="X71" i="27"/>
  <c r="U71" i="27"/>
  <c r="T71" i="27"/>
  <c r="AZ26" i="27"/>
  <c r="AZ28" i="27"/>
  <c r="AZ32" i="27"/>
  <c r="T43" i="27"/>
  <c r="X43" i="27"/>
  <c r="AB43" i="27"/>
  <c r="U53" i="27"/>
  <c r="Y53" i="27"/>
  <c r="W55" i="27"/>
  <c r="AE55" i="27"/>
  <c r="T61" i="27"/>
  <c r="AB61" i="27"/>
  <c r="S63" i="27"/>
  <c r="AA63" i="27"/>
  <c r="AZ64" i="27"/>
  <c r="R69" i="27"/>
  <c r="Z69" i="27"/>
  <c r="AH69" i="27"/>
  <c r="AP73" i="27"/>
  <c r="AL73" i="27"/>
  <c r="AH73" i="27"/>
  <c r="AD73" i="27"/>
  <c r="Z73" i="27"/>
  <c r="V73" i="27"/>
  <c r="R73" i="27"/>
  <c r="AO73" i="27"/>
  <c r="AK73" i="27"/>
  <c r="AG73" i="27"/>
  <c r="AC73" i="27"/>
  <c r="Y73" i="27"/>
  <c r="U73" i="27"/>
  <c r="W73" i="27"/>
  <c r="AE73" i="27"/>
  <c r="AM73" i="27"/>
  <c r="AZ74" i="27"/>
  <c r="V77" i="27"/>
  <c r="AD77" i="27"/>
  <c r="AR79" i="27"/>
  <c r="AN79" i="27"/>
  <c r="AJ79" i="27"/>
  <c r="AF79" i="27"/>
  <c r="AB79" i="27"/>
  <c r="X79" i="27"/>
  <c r="T79" i="27"/>
  <c r="AQ79" i="27"/>
  <c r="AM79" i="27"/>
  <c r="AI79" i="27"/>
  <c r="AE79" i="27"/>
  <c r="AA79" i="27"/>
  <c r="W79" i="27"/>
  <c r="S79" i="27"/>
  <c r="U79" i="27"/>
  <c r="AC79" i="27"/>
  <c r="AK79" i="27"/>
  <c r="AZ80" i="27"/>
  <c r="T81" i="27"/>
  <c r="AC81" i="27"/>
  <c r="AG83" i="27"/>
  <c r="AC83" i="27"/>
  <c r="Y83" i="27"/>
  <c r="U83" i="27"/>
  <c r="AF83" i="27"/>
  <c r="AB83" i="27"/>
  <c r="X83" i="27"/>
  <c r="T83" i="27"/>
  <c r="AE83" i="27"/>
  <c r="AA83" i="27"/>
  <c r="W83" i="27"/>
  <c r="S83" i="27"/>
  <c r="V83" i="27"/>
  <c r="X89" i="27"/>
  <c r="T89" i="27"/>
  <c r="W89" i="27"/>
  <c r="S89" i="27"/>
  <c r="V89" i="27"/>
  <c r="R89" i="27"/>
  <c r="T91" i="27"/>
  <c r="AZ92" i="27"/>
  <c r="W103" i="27"/>
  <c r="S103" i="27"/>
  <c r="Y103" i="27"/>
  <c r="AW103" i="27" s="1"/>
  <c r="T103" i="27"/>
  <c r="X103" i="27"/>
  <c r="R103" i="27"/>
  <c r="V103" i="27"/>
  <c r="U103" i="27"/>
  <c r="U43" i="27"/>
  <c r="Y43" i="27"/>
  <c r="R53" i="27"/>
  <c r="V53" i="27"/>
  <c r="Z53" i="27"/>
  <c r="R55" i="27"/>
  <c r="X55" i="27"/>
  <c r="AF55" i="27"/>
  <c r="AZ56" i="27"/>
  <c r="AP61" i="27"/>
  <c r="AL61" i="27"/>
  <c r="AH61" i="27"/>
  <c r="AD61" i="27"/>
  <c r="Z61" i="27"/>
  <c r="V61" i="27"/>
  <c r="R61" i="27"/>
  <c r="AO61" i="27"/>
  <c r="AK61" i="27"/>
  <c r="AG61" i="27"/>
  <c r="AC61" i="27"/>
  <c r="Y61" i="27"/>
  <c r="U61" i="27"/>
  <c r="W61" i="27"/>
  <c r="AE61" i="27"/>
  <c r="AM61" i="27"/>
  <c r="T63" i="27"/>
  <c r="AR69" i="27"/>
  <c r="AN69" i="27"/>
  <c r="AJ69" i="27"/>
  <c r="AF69" i="27"/>
  <c r="AB69" i="27"/>
  <c r="X69" i="27"/>
  <c r="T69" i="27"/>
  <c r="AQ69" i="27"/>
  <c r="AM69" i="27"/>
  <c r="AI69" i="27"/>
  <c r="AE69" i="27"/>
  <c r="AA69" i="27"/>
  <c r="W69" i="27"/>
  <c r="S69" i="27"/>
  <c r="U69" i="27"/>
  <c r="AC69" i="27"/>
  <c r="AK69" i="27"/>
  <c r="AZ70" i="27"/>
  <c r="X73" i="27"/>
  <c r="AF73" i="27"/>
  <c r="AN73" i="27"/>
  <c r="Y77" i="27"/>
  <c r="V79" i="27"/>
  <c r="AD79" i="27"/>
  <c r="AL79" i="27"/>
  <c r="U81" i="27"/>
  <c r="AG81" i="27"/>
  <c r="Z83" i="27"/>
  <c r="AZ86" i="27"/>
  <c r="AZ88" i="27"/>
  <c r="S101" i="27"/>
  <c r="R101" i="27"/>
  <c r="S53" i="27"/>
  <c r="W53" i="27"/>
  <c r="AA53" i="27"/>
  <c r="S55" i="27"/>
  <c r="AD63" i="27"/>
  <c r="Z63" i="27"/>
  <c r="V63" i="27"/>
  <c r="R63" i="27"/>
  <c r="AG63" i="27"/>
  <c r="AC63" i="27"/>
  <c r="Y63" i="27"/>
  <c r="U63" i="27"/>
  <c r="W63" i="27"/>
  <c r="AE63" i="27"/>
  <c r="R77" i="27"/>
  <c r="W91" i="27"/>
  <c r="S91" i="27"/>
  <c r="V91" i="27"/>
  <c r="R91" i="27"/>
  <c r="U91" i="27"/>
  <c r="T53" i="27"/>
  <c r="AD55" i="27"/>
  <c r="Z55" i="27"/>
  <c r="V55" i="27"/>
  <c r="AC55" i="27"/>
  <c r="Y55" i="27"/>
  <c r="U55" i="27"/>
  <c r="T55" i="27"/>
  <c r="AB55" i="27"/>
  <c r="X63" i="27"/>
  <c r="AF63" i="27"/>
  <c r="AB77" i="27"/>
  <c r="X77" i="27"/>
  <c r="T77" i="27"/>
  <c r="AE77" i="27"/>
  <c r="AA77" i="27"/>
  <c r="W77" i="27"/>
  <c r="S77" i="27"/>
  <c r="U77" i="27"/>
  <c r="AC77" i="27"/>
  <c r="AF81" i="27"/>
  <c r="AB81" i="27"/>
  <c r="AE81" i="27"/>
  <c r="AA81" i="27"/>
  <c r="W81" i="27"/>
  <c r="S81" i="27"/>
  <c r="AH81" i="27"/>
  <c r="AD81" i="27"/>
  <c r="Z81" i="27"/>
  <c r="V81" i="27"/>
  <c r="R81" i="27"/>
  <c r="Y81" i="27"/>
  <c r="T57" i="27"/>
  <c r="X57" i="27"/>
  <c r="AB57" i="27"/>
  <c r="AF57" i="27"/>
  <c r="AJ57" i="27"/>
  <c r="AN57" i="27"/>
  <c r="AZ68" i="27"/>
  <c r="T75" i="27"/>
  <c r="X75" i="27"/>
  <c r="AB75" i="27"/>
  <c r="AF75" i="27"/>
  <c r="AJ75" i="27"/>
  <c r="AN75" i="27"/>
  <c r="AR75" i="27"/>
  <c r="AZ76" i="27"/>
  <c r="AZ78" i="27"/>
  <c r="AZ82" i="27"/>
  <c r="T87" i="27"/>
  <c r="X87" i="27"/>
  <c r="AB87" i="27"/>
  <c r="AF87" i="27"/>
  <c r="V95" i="27"/>
  <c r="R95" i="27"/>
  <c r="U95" i="27"/>
  <c r="R97" i="27"/>
  <c r="W97" i="27"/>
  <c r="V105" i="27"/>
  <c r="W107" i="27"/>
  <c r="AB107" i="27"/>
  <c r="AZ108" i="27"/>
  <c r="W109" i="27"/>
  <c r="S109" i="27"/>
  <c r="V109" i="27"/>
  <c r="R111" i="27"/>
  <c r="W111" i="27"/>
  <c r="AB111" i="27"/>
  <c r="X113" i="27"/>
  <c r="X115" i="27"/>
  <c r="T115" i="27"/>
  <c r="W115" i="27"/>
  <c r="S115" i="27"/>
  <c r="U115" i="27"/>
  <c r="S117" i="27"/>
  <c r="AA117" i="27"/>
  <c r="R123" i="27"/>
  <c r="U57" i="27"/>
  <c r="Y57" i="27"/>
  <c r="AC57" i="27"/>
  <c r="AG57" i="27"/>
  <c r="AK57" i="27"/>
  <c r="U75" i="27"/>
  <c r="Y75" i="27"/>
  <c r="AC75" i="27"/>
  <c r="AG75" i="27"/>
  <c r="AK75" i="27"/>
  <c r="U87" i="27"/>
  <c r="Y87" i="27"/>
  <c r="AC87" i="27"/>
  <c r="W95" i="27"/>
  <c r="S97" i="27"/>
  <c r="R105" i="27"/>
  <c r="S107" i="27"/>
  <c r="X107" i="27"/>
  <c r="AC107" i="27"/>
  <c r="R109" i="27"/>
  <c r="X109" i="27"/>
  <c r="S111" i="27"/>
  <c r="X111" i="27"/>
  <c r="S113" i="27"/>
  <c r="AA113" i="27"/>
  <c r="V115" i="27"/>
  <c r="R117" i="27"/>
  <c r="T117" i="27"/>
  <c r="AB117" i="27"/>
  <c r="S121" i="27"/>
  <c r="Y97" i="27"/>
  <c r="U97" i="27"/>
  <c r="T97" i="27"/>
  <c r="Z97" i="27"/>
  <c r="S105" i="27"/>
  <c r="T107" i="27"/>
  <c r="AC111" i="27"/>
  <c r="Y111" i="27"/>
  <c r="U111" i="27"/>
  <c r="T111" i="27"/>
  <c r="Z111" i="27"/>
  <c r="T113" i="27"/>
  <c r="T123" i="27"/>
  <c r="W123" i="27"/>
  <c r="S123" i="27"/>
  <c r="V123" i="27"/>
  <c r="AF125" i="27"/>
  <c r="AB125" i="27"/>
  <c r="X125" i="27"/>
  <c r="T125" i="27"/>
  <c r="AE125" i="27"/>
  <c r="Z125" i="27"/>
  <c r="U125" i="27"/>
  <c r="AH125" i="27"/>
  <c r="AC125" i="27"/>
  <c r="W125" i="27"/>
  <c r="R125" i="27"/>
  <c r="AG125" i="27"/>
  <c r="AA125" i="27"/>
  <c r="V125" i="27"/>
  <c r="Y125" i="27"/>
  <c r="Z119" i="27"/>
  <c r="V119" i="27"/>
  <c r="R119" i="27"/>
  <c r="Y119" i="27"/>
  <c r="U119" i="27"/>
  <c r="AA119" i="27"/>
  <c r="S119" i="27"/>
  <c r="X119" i="27"/>
  <c r="W119" i="27"/>
  <c r="AB119" i="27"/>
  <c r="T119" i="27"/>
  <c r="T105" i="27"/>
  <c r="AD107" i="27"/>
  <c r="Z107" i="27"/>
  <c r="V107" i="27"/>
  <c r="R107" i="27"/>
  <c r="U107" i="27"/>
  <c r="AA107" i="27"/>
  <c r="AD113" i="27"/>
  <c r="Z113" i="27"/>
  <c r="V113" i="27"/>
  <c r="R113" i="27"/>
  <c r="AC113" i="27"/>
  <c r="Y113" i="27"/>
  <c r="U113" i="27"/>
  <c r="W113" i="27"/>
  <c r="AE113" i="27"/>
  <c r="Y117" i="27"/>
  <c r="X117" i="27"/>
  <c r="AD125" i="27"/>
  <c r="U117" i="27"/>
  <c r="S130" i="27"/>
  <c r="V117" i="27"/>
  <c r="Z117" i="27"/>
  <c r="AI147" i="27"/>
  <c r="R121" i="27"/>
  <c r="V121" i="27"/>
  <c r="V126" i="27"/>
  <c r="V130" i="27" s="1"/>
  <c r="Z126" i="27"/>
  <c r="Z130" i="27" s="1"/>
  <c r="AD126" i="27"/>
  <c r="AH126" i="27"/>
  <c r="AQ140" i="27"/>
  <c r="AM140" i="27"/>
  <c r="AI140" i="27"/>
  <c r="AE140" i="27"/>
  <c r="AA140" i="27"/>
  <c r="W140" i="27"/>
  <c r="S140" i="27"/>
  <c r="AS140" i="27"/>
  <c r="AO140" i="27"/>
  <c r="AK140" i="27"/>
  <c r="AG140" i="27"/>
  <c r="AC140" i="27"/>
  <c r="Y140" i="27"/>
  <c r="U140" i="27"/>
  <c r="X140" i="27"/>
  <c r="AF140" i="27"/>
  <c r="AN140" i="27"/>
  <c r="AR147" i="27"/>
  <c r="W126" i="27"/>
  <c r="W130" i="27" s="1"/>
  <c r="AA126" i="27"/>
  <c r="AE126" i="27"/>
  <c r="AZ139" i="27"/>
  <c r="R140" i="27"/>
  <c r="Z140" i="27"/>
  <c r="AH140" i="27"/>
  <c r="AP140" i="27"/>
  <c r="AS142" i="27"/>
  <c r="AO142" i="27"/>
  <c r="AK142" i="27"/>
  <c r="AG142" i="27"/>
  <c r="AC142" i="27"/>
  <c r="Y142" i="27"/>
  <c r="U142" i="27"/>
  <c r="AQ142" i="27"/>
  <c r="AM142" i="27"/>
  <c r="AI142" i="27"/>
  <c r="AE142" i="27"/>
  <c r="AA142" i="27"/>
  <c r="W142" i="27"/>
  <c r="S142" i="27"/>
  <c r="X142" i="27"/>
  <c r="AF142" i="27"/>
  <c r="AN142" i="27"/>
  <c r="AT147" i="27"/>
  <c r="AO147" i="27"/>
  <c r="AS147" i="27"/>
  <c r="AS132" i="27"/>
  <c r="T140" i="27"/>
  <c r="AB140" i="27"/>
  <c r="AJ140" i="27"/>
  <c r="AR140" i="27"/>
  <c r="V140" i="27"/>
  <c r="AD140" i="27"/>
  <c r="AL140" i="27"/>
  <c r="AL143" i="27" s="1"/>
  <c r="AL149" i="27" s="1"/>
  <c r="AT140" i="27"/>
  <c r="T142" i="27"/>
  <c r="AB142" i="27"/>
  <c r="AJ142" i="27"/>
  <c r="AR142" i="27"/>
  <c r="T138" i="27"/>
  <c r="Y132" i="21"/>
  <c r="Z132" i="21"/>
  <c r="AA132" i="21"/>
  <c r="AB132" i="21"/>
  <c r="AC132" i="21"/>
  <c r="AD132" i="21"/>
  <c r="AE132" i="21"/>
  <c r="AF132" i="21"/>
  <c r="X132" i="21"/>
  <c r="W132" i="21"/>
  <c r="T165" i="21"/>
  <c r="T159" i="21"/>
  <c r="N158" i="21"/>
  <c r="AS158" i="21" s="1"/>
  <c r="AH157" i="21"/>
  <c r="AG157" i="21"/>
  <c r="AF157" i="21"/>
  <c r="AE157" i="21"/>
  <c r="AD157" i="21"/>
  <c r="AC157" i="21"/>
  <c r="AB157" i="21"/>
  <c r="AA157" i="21"/>
  <c r="Z157" i="21"/>
  <c r="Y157" i="21"/>
  <c r="BB156" i="21"/>
  <c r="BC156" i="21" s="1"/>
  <c r="AZ156" i="21"/>
  <c r="N156" i="21"/>
  <c r="BB155" i="21"/>
  <c r="BC155" i="21" s="1"/>
  <c r="AZ155" i="21"/>
  <c r="N154" i="21"/>
  <c r="AS154" i="21" s="1"/>
  <c r="AS159" i="21" s="1"/>
  <c r="AS165" i="21" s="1"/>
  <c r="BB153" i="21"/>
  <c r="BC153" i="21" s="1"/>
  <c r="AZ153" i="21"/>
  <c r="BB152" i="21"/>
  <c r="BC152" i="21" s="1"/>
  <c r="AZ152" i="21"/>
  <c r="BE152" i="21" s="1"/>
  <c r="N152" i="21"/>
  <c r="BB151" i="21"/>
  <c r="BC151" i="21" s="1"/>
  <c r="AZ151" i="21"/>
  <c r="BB150" i="21"/>
  <c r="BC150" i="21" s="1"/>
  <c r="AZ150" i="21"/>
  <c r="N150" i="21"/>
  <c r="BB149" i="21"/>
  <c r="BC149" i="21" s="1"/>
  <c r="AZ149" i="21"/>
  <c r="BB148" i="21"/>
  <c r="BC148" i="21" s="1"/>
  <c r="AZ148" i="21"/>
  <c r="N148" i="21"/>
  <c r="BB147" i="21"/>
  <c r="BC147" i="21" s="1"/>
  <c r="AZ147" i="21"/>
  <c r="AA146" i="21"/>
  <c r="Y146" i="21"/>
  <c r="N146" i="21"/>
  <c r="AB146" i="21" s="1"/>
  <c r="BB145" i="21"/>
  <c r="AZ145" i="21"/>
  <c r="K142" i="21"/>
  <c r="AB141" i="21"/>
  <c r="AY139" i="21"/>
  <c r="AY164" i="21" s="1"/>
  <c r="AX139" i="21"/>
  <c r="AX164" i="21" s="1"/>
  <c r="S139" i="21"/>
  <c r="R139" i="21"/>
  <c r="AY138" i="21"/>
  <c r="AY163" i="21" s="1"/>
  <c r="AX138" i="21"/>
  <c r="AW138" i="21"/>
  <c r="AW163" i="21" s="1"/>
  <c r="AV138" i="21"/>
  <c r="AU138" i="21"/>
  <c r="AU163" i="21" s="1"/>
  <c r="AT138" i="21"/>
  <c r="AS138" i="21"/>
  <c r="AR138" i="21"/>
  <c r="AR163" i="21" s="1"/>
  <c r="AQ138" i="21"/>
  <c r="S138" i="21"/>
  <c r="R138" i="21"/>
  <c r="K138" i="21"/>
  <c r="BE136" i="21"/>
  <c r="BA136" i="21"/>
  <c r="U135" i="21"/>
  <c r="P135" i="21"/>
  <c r="N135" i="21" s="1"/>
  <c r="U134" i="21"/>
  <c r="J134" i="21"/>
  <c r="AO134" i="21" s="1"/>
  <c r="U133" i="21"/>
  <c r="P133" i="21"/>
  <c r="N133" i="21" s="1"/>
  <c r="AE133" i="21" s="1"/>
  <c r="U132" i="21"/>
  <c r="BB131" i="21"/>
  <c r="P131" i="21"/>
  <c r="N131" i="21" s="1"/>
  <c r="AA131" i="21" s="1"/>
  <c r="BB130" i="21"/>
  <c r="AA130" i="21"/>
  <c r="Z130" i="21"/>
  <c r="Y130" i="21"/>
  <c r="X130" i="21"/>
  <c r="W130" i="21"/>
  <c r="U130" i="21"/>
  <c r="U129" i="21"/>
  <c r="P129" i="21"/>
  <c r="N129" i="21" s="1"/>
  <c r="AM128" i="21"/>
  <c r="AL128" i="21"/>
  <c r="AK128" i="21"/>
  <c r="AJ128" i="21"/>
  <c r="AI128" i="21"/>
  <c r="AH128" i="21"/>
  <c r="AG128" i="21"/>
  <c r="AF128" i="21"/>
  <c r="AE128" i="21"/>
  <c r="AD128" i="21"/>
  <c r="AC128" i="21"/>
  <c r="AB128" i="21"/>
  <c r="AA128" i="21"/>
  <c r="Z128" i="21"/>
  <c r="Y128" i="21"/>
  <c r="U128" i="21"/>
  <c r="BB127" i="21"/>
  <c r="U127" i="21"/>
  <c r="P127" i="21"/>
  <c r="N127" i="21" s="1"/>
  <c r="BB126" i="21"/>
  <c r="AB126" i="21"/>
  <c r="AA126" i="21"/>
  <c r="Z126" i="21"/>
  <c r="Y126" i="21"/>
  <c r="X126" i="21"/>
  <c r="U126" i="21"/>
  <c r="T125" i="21"/>
  <c r="N125" i="21"/>
  <c r="AF125" i="21" s="1"/>
  <c r="AG124" i="21"/>
  <c r="AF124" i="21"/>
  <c r="AE124" i="21"/>
  <c r="AD124" i="21"/>
  <c r="AC124" i="21"/>
  <c r="AB124" i="21"/>
  <c r="AA124" i="21"/>
  <c r="Z124" i="21"/>
  <c r="Y124" i="21"/>
  <c r="X124" i="21"/>
  <c r="W124" i="21"/>
  <c r="V124" i="21"/>
  <c r="T124" i="21"/>
  <c r="T123" i="21"/>
  <c r="P123" i="21"/>
  <c r="N123" i="21"/>
  <c r="AE122" i="21"/>
  <c r="BB122" i="21" s="1"/>
  <c r="BC122" i="21" s="1"/>
  <c r="T122" i="21"/>
  <c r="U122" i="21" s="1"/>
  <c r="BB121" i="21"/>
  <c r="T121" i="21"/>
  <c r="P121" i="21"/>
  <c r="N121" i="21" s="1"/>
  <c r="BB120" i="21"/>
  <c r="V120" i="21"/>
  <c r="W120" i="21" s="1"/>
  <c r="T120" i="21"/>
  <c r="T119" i="21"/>
  <c r="P119" i="21"/>
  <c r="N119" i="21" s="1"/>
  <c r="Y119" i="21" s="1"/>
  <c r="BB118" i="21"/>
  <c r="BC118" i="21" s="1"/>
  <c r="AZ118" i="21"/>
  <c r="T118" i="21"/>
  <c r="U118" i="21" s="1"/>
  <c r="BB117" i="21"/>
  <c r="V117" i="21"/>
  <c r="AZ117" i="21" s="1"/>
  <c r="T117" i="21"/>
  <c r="BB116" i="21"/>
  <c r="BC116" i="21" s="1"/>
  <c r="AZ116" i="21"/>
  <c r="T116" i="21"/>
  <c r="U116" i="21" s="1"/>
  <c r="T115" i="21"/>
  <c r="P115" i="21"/>
  <c r="N115" i="21" s="1"/>
  <c r="BB114" i="21"/>
  <c r="BC114" i="21" s="1"/>
  <c r="AZ114" i="21"/>
  <c r="BA114" i="21" s="1"/>
  <c r="T114" i="21"/>
  <c r="U114" i="21" s="1"/>
  <c r="T113" i="21"/>
  <c r="P113" i="21"/>
  <c r="N113" i="21" s="1"/>
  <c r="BB112" i="21"/>
  <c r="BC112" i="21" s="1"/>
  <c r="AZ112" i="21"/>
  <c r="BA112" i="21" s="1"/>
  <c r="T112" i="21"/>
  <c r="U112" i="21" s="1"/>
  <c r="T111" i="21"/>
  <c r="P111" i="21"/>
  <c r="N111" i="21" s="1"/>
  <c r="BB110" i="21"/>
  <c r="BC110" i="21" s="1"/>
  <c r="AZ110" i="21"/>
  <c r="BA110" i="21" s="1"/>
  <c r="T110" i="21"/>
  <c r="U110" i="21" s="1"/>
  <c r="BB109" i="21"/>
  <c r="T109" i="21"/>
  <c r="P109" i="21"/>
  <c r="N109" i="21" s="1"/>
  <c r="BB108" i="21"/>
  <c r="BC108" i="21" s="1"/>
  <c r="AZ108" i="21"/>
  <c r="BA108" i="21" s="1"/>
  <c r="T108" i="21"/>
  <c r="U108" i="21" s="1"/>
  <c r="T107" i="21"/>
  <c r="P107" i="21"/>
  <c r="N107" i="21" s="1"/>
  <c r="BB106" i="21"/>
  <c r="V106" i="21"/>
  <c r="T106" i="21"/>
  <c r="BB105" i="21"/>
  <c r="T105" i="21"/>
  <c r="P105" i="21"/>
  <c r="N105" i="21" s="1"/>
  <c r="BB104" i="21"/>
  <c r="BC104" i="21" s="1"/>
  <c r="AZ104" i="21"/>
  <c r="BA104" i="21" s="1"/>
  <c r="T104" i="21"/>
  <c r="U104" i="21" s="1"/>
  <c r="BB103" i="21"/>
  <c r="T103" i="21"/>
  <c r="P103" i="21"/>
  <c r="N103" i="21" s="1"/>
  <c r="W103" i="21" s="1"/>
  <c r="BB102" i="21"/>
  <c r="BC102" i="21" s="1"/>
  <c r="AZ102" i="21"/>
  <c r="BA102" i="21" s="1"/>
  <c r="T102" i="21"/>
  <c r="U102" i="21" s="1"/>
  <c r="T101" i="21"/>
  <c r="P101" i="21"/>
  <c r="N101" i="21" s="1"/>
  <c r="BB100" i="21"/>
  <c r="BC100" i="21" s="1"/>
  <c r="AZ100" i="21"/>
  <c r="BA100" i="21" s="1"/>
  <c r="U100" i="21"/>
  <c r="T100" i="21"/>
  <c r="T99" i="21"/>
  <c r="P99" i="21"/>
  <c r="N99" i="21" s="1"/>
  <c r="BB98" i="21"/>
  <c r="BC98" i="21" s="1"/>
  <c r="AZ98" i="21"/>
  <c r="BA98" i="21" s="1"/>
  <c r="T98" i="21"/>
  <c r="U98" i="21" s="1"/>
  <c r="BB97" i="21"/>
  <c r="T97" i="21"/>
  <c r="P97" i="21"/>
  <c r="N97" i="21" s="1"/>
  <c r="V97" i="21" s="1"/>
  <c r="AZ97" i="21" s="1"/>
  <c r="BB96" i="21"/>
  <c r="BC96" i="21" s="1"/>
  <c r="AZ96" i="21"/>
  <c r="BA96" i="21" s="1"/>
  <c r="T96" i="21"/>
  <c r="U96" i="21" s="1"/>
  <c r="T95" i="21"/>
  <c r="P95" i="21"/>
  <c r="N95" i="21"/>
  <c r="AA95" i="21" s="1"/>
  <c r="BB94" i="21"/>
  <c r="BC94" i="21" s="1"/>
  <c r="BA94" i="21"/>
  <c r="AZ94" i="21"/>
  <c r="T94" i="21"/>
  <c r="U94" i="21" s="1"/>
  <c r="T93" i="21"/>
  <c r="P93" i="21"/>
  <c r="N93" i="21"/>
  <c r="Z93" i="21" s="1"/>
  <c r="BB92" i="21"/>
  <c r="BC92" i="21" s="1"/>
  <c r="AZ92" i="21"/>
  <c r="BA92" i="21" s="1"/>
  <c r="T92" i="21"/>
  <c r="U92" i="21" s="1"/>
  <c r="AB91" i="21"/>
  <c r="Z91" i="21"/>
  <c r="X91" i="21"/>
  <c r="T91" i="21"/>
  <c r="P91" i="21"/>
  <c r="N91" i="21"/>
  <c r="AA91" i="21" s="1"/>
  <c r="BB90" i="21"/>
  <c r="BC90" i="21" s="1"/>
  <c r="AZ90" i="21"/>
  <c r="BA90" i="21" s="1"/>
  <c r="T90" i="21"/>
  <c r="U90" i="21" s="1"/>
  <c r="BB89" i="21"/>
  <c r="T89" i="21"/>
  <c r="P89" i="21"/>
  <c r="N89" i="21" s="1"/>
  <c r="BB88" i="21"/>
  <c r="BC88" i="21" s="1"/>
  <c r="AZ88" i="21"/>
  <c r="BA88" i="21" s="1"/>
  <c r="T88" i="21"/>
  <c r="U88" i="21" s="1"/>
  <c r="T87" i="21"/>
  <c r="P87" i="21"/>
  <c r="N87" i="21" s="1"/>
  <c r="Z87" i="21" s="1"/>
  <c r="BB86" i="21"/>
  <c r="BC86" i="21" s="1"/>
  <c r="AZ86" i="21"/>
  <c r="BE86" i="21" s="1"/>
  <c r="T86" i="21"/>
  <c r="U86" i="21" s="1"/>
  <c r="T85" i="21"/>
  <c r="P85" i="21"/>
  <c r="N85" i="21" s="1"/>
  <c r="AH85" i="21" s="1"/>
  <c r="BB84" i="21"/>
  <c r="BC84" i="21" s="1"/>
  <c r="AZ84" i="21"/>
  <c r="BA84" i="21" s="1"/>
  <c r="T84" i="21"/>
  <c r="U84" i="21" s="1"/>
  <c r="T83" i="21"/>
  <c r="P83" i="21"/>
  <c r="N83" i="21" s="1"/>
  <c r="AW83" i="21" s="1"/>
  <c r="BB82" i="21"/>
  <c r="BC82" i="21" s="1"/>
  <c r="AZ82" i="21"/>
  <c r="BA82" i="21" s="1"/>
  <c r="T82" i="21"/>
  <c r="U82" i="21" s="1"/>
  <c r="T81" i="21"/>
  <c r="P81" i="21"/>
  <c r="N81" i="21" s="1"/>
  <c r="BB80" i="21"/>
  <c r="BC80" i="21" s="1"/>
  <c r="AZ80" i="21"/>
  <c r="BA80" i="21" s="1"/>
  <c r="T80" i="21"/>
  <c r="U80" i="21" s="1"/>
  <c r="AN79" i="21"/>
  <c r="T79" i="21"/>
  <c r="P79" i="21"/>
  <c r="N79" i="21" s="1"/>
  <c r="AF79" i="21" s="1"/>
  <c r="BB78" i="21"/>
  <c r="BC78" i="21" s="1"/>
  <c r="AZ78" i="21"/>
  <c r="T78" i="21"/>
  <c r="U78" i="21" s="1"/>
  <c r="BB77" i="21"/>
  <c r="T77" i="21"/>
  <c r="P77" i="21"/>
  <c r="N77" i="21" s="1"/>
  <c r="V77" i="21" s="1"/>
  <c r="BB76" i="21"/>
  <c r="BC76" i="21" s="1"/>
  <c r="AZ76" i="21"/>
  <c r="BA76" i="21" s="1"/>
  <c r="T76" i="21"/>
  <c r="U76" i="21" s="1"/>
  <c r="T75" i="21"/>
  <c r="P75" i="21"/>
  <c r="N75" i="21" s="1"/>
  <c r="Z75" i="21" s="1"/>
  <c r="BB74" i="21"/>
  <c r="BC74" i="21" s="1"/>
  <c r="AZ74" i="21"/>
  <c r="T74" i="21"/>
  <c r="U74" i="21" s="1"/>
  <c r="T73" i="21"/>
  <c r="P73" i="21"/>
  <c r="N73" i="21" s="1"/>
  <c r="AA73" i="21" s="1"/>
  <c r="BB72" i="21"/>
  <c r="BC72" i="21" s="1"/>
  <c r="BA72" i="21"/>
  <c r="AZ72" i="21"/>
  <c r="T72" i="21"/>
  <c r="U72" i="21" s="1"/>
  <c r="AQ71" i="21"/>
  <c r="AO71" i="21"/>
  <c r="AK71" i="21"/>
  <c r="T71" i="21"/>
  <c r="P71" i="21"/>
  <c r="N71" i="21" s="1"/>
  <c r="AL71" i="21" s="1"/>
  <c r="BB70" i="21"/>
  <c r="BC70" i="21" s="1"/>
  <c r="AZ70" i="21"/>
  <c r="BA70" i="21" s="1"/>
  <c r="T70" i="21"/>
  <c r="U70" i="21" s="1"/>
  <c r="BB69" i="21"/>
  <c r="T69" i="21"/>
  <c r="P69" i="21"/>
  <c r="N69" i="21" s="1"/>
  <c r="BB68" i="21"/>
  <c r="BC68" i="21" s="1"/>
  <c r="AZ68" i="21"/>
  <c r="BA68" i="21" s="1"/>
  <c r="T68" i="21"/>
  <c r="U68" i="21" s="1"/>
  <c r="BB67" i="21"/>
  <c r="T67" i="21"/>
  <c r="P67" i="21"/>
  <c r="N67" i="21" s="1"/>
  <c r="V67" i="21" s="1"/>
  <c r="BB66" i="21"/>
  <c r="BC66" i="21" s="1"/>
  <c r="AZ66" i="21"/>
  <c r="BA66" i="21" s="1"/>
  <c r="T66" i="21"/>
  <c r="U66" i="21" s="1"/>
  <c r="T65" i="21"/>
  <c r="P65" i="21"/>
  <c r="N65" i="21" s="1"/>
  <c r="AI65" i="21" s="1"/>
  <c r="BB64" i="21"/>
  <c r="BC64" i="21" s="1"/>
  <c r="AZ64" i="21"/>
  <c r="BA64" i="21" s="1"/>
  <c r="T64" i="21"/>
  <c r="U64" i="21" s="1"/>
  <c r="T63" i="21"/>
  <c r="P63" i="21"/>
  <c r="N63" i="21" s="1"/>
  <c r="BB62" i="21"/>
  <c r="BC62" i="21" s="1"/>
  <c r="AZ62" i="21"/>
  <c r="T62" i="21"/>
  <c r="U62" i="21" s="1"/>
  <c r="T61" i="21"/>
  <c r="P61" i="21"/>
  <c r="N61" i="21" s="1"/>
  <c r="BB60" i="21"/>
  <c r="BC60" i="21" s="1"/>
  <c r="AZ60" i="21"/>
  <c r="BA60" i="21" s="1"/>
  <c r="T60" i="21"/>
  <c r="U60" i="21" s="1"/>
  <c r="T59" i="21"/>
  <c r="P59" i="21"/>
  <c r="N59" i="21" s="1"/>
  <c r="BB58" i="21"/>
  <c r="BC58" i="21" s="1"/>
  <c r="BE58" i="21" s="1"/>
  <c r="AZ58" i="21"/>
  <c r="BA58" i="21" s="1"/>
  <c r="T58" i="21"/>
  <c r="U58" i="21" s="1"/>
  <c r="T57" i="21"/>
  <c r="P57" i="21"/>
  <c r="N57" i="21" s="1"/>
  <c r="BB56" i="21"/>
  <c r="BC56" i="21" s="1"/>
  <c r="AZ56" i="21"/>
  <c r="T56" i="21"/>
  <c r="U56" i="21" s="1"/>
  <c r="T55" i="21"/>
  <c r="P55" i="21"/>
  <c r="N55" i="21" s="1"/>
  <c r="BB54" i="21"/>
  <c r="BC54" i="21" s="1"/>
  <c r="AZ54" i="21"/>
  <c r="BA54" i="21" s="1"/>
  <c r="T54" i="21"/>
  <c r="U54" i="21" s="1"/>
  <c r="T53" i="21"/>
  <c r="P53" i="21"/>
  <c r="N53" i="21" s="1"/>
  <c r="BB52" i="21"/>
  <c r="BC52" i="21" s="1"/>
  <c r="AZ52" i="21"/>
  <c r="T52" i="21"/>
  <c r="U52" i="21" s="1"/>
  <c r="BB51" i="21"/>
  <c r="T51" i="21"/>
  <c r="P51" i="21"/>
  <c r="N51" i="21" s="1"/>
  <c r="BB50" i="21"/>
  <c r="BC50" i="21" s="1"/>
  <c r="AZ50" i="21"/>
  <c r="BA50" i="21" s="1"/>
  <c r="T50" i="21"/>
  <c r="U50" i="21" s="1"/>
  <c r="Z49" i="21"/>
  <c r="T49" i="21"/>
  <c r="P49" i="21"/>
  <c r="N49" i="21"/>
  <c r="AF49" i="21" s="1"/>
  <c r="BB48" i="21"/>
  <c r="BC48" i="21" s="1"/>
  <c r="AZ48" i="21"/>
  <c r="BA48" i="21" s="1"/>
  <c r="T48" i="21"/>
  <c r="U48" i="21" s="1"/>
  <c r="T47" i="21"/>
  <c r="P47" i="21"/>
  <c r="N47" i="21" s="1"/>
  <c r="BB46" i="21"/>
  <c r="BC46" i="21" s="1"/>
  <c r="AZ46" i="21"/>
  <c r="T46" i="21"/>
  <c r="U46" i="21" s="1"/>
  <c r="T45" i="21"/>
  <c r="P45" i="21"/>
  <c r="N45" i="21" s="1"/>
  <c r="AG45" i="21" s="1"/>
  <c r="BB44" i="21"/>
  <c r="BC44" i="21" s="1"/>
  <c r="AZ44" i="21"/>
  <c r="BA44" i="21" s="1"/>
  <c r="T44" i="21"/>
  <c r="U44" i="21" s="1"/>
  <c r="BB43" i="21"/>
  <c r="T43" i="21"/>
  <c r="P43" i="21"/>
  <c r="N43" i="21" s="1"/>
  <c r="Z43" i="21" s="1"/>
  <c r="BB42" i="21"/>
  <c r="BC42" i="21" s="1"/>
  <c r="AZ42" i="21"/>
  <c r="BA42" i="21" s="1"/>
  <c r="T42" i="21"/>
  <c r="U42" i="21" s="1"/>
  <c r="T41" i="21"/>
  <c r="P41" i="21"/>
  <c r="N41" i="21" s="1"/>
  <c r="AD41" i="21" s="1"/>
  <c r="BB40" i="21"/>
  <c r="BC40" i="21" s="1"/>
  <c r="BE40" i="21" s="1"/>
  <c r="AZ40" i="21"/>
  <c r="BA40" i="21" s="1"/>
  <c r="T40" i="21"/>
  <c r="U40" i="21" s="1"/>
  <c r="T39" i="21"/>
  <c r="P39" i="21"/>
  <c r="N39" i="21" s="1"/>
  <c r="AG39" i="21" s="1"/>
  <c r="BB38" i="21"/>
  <c r="BC38" i="21" s="1"/>
  <c r="AZ38" i="21"/>
  <c r="T38" i="21"/>
  <c r="U38" i="21" s="1"/>
  <c r="T37" i="21"/>
  <c r="P37" i="21"/>
  <c r="N37" i="21" s="1"/>
  <c r="AF37" i="21" s="1"/>
  <c r="BB36" i="21"/>
  <c r="BC36" i="21" s="1"/>
  <c r="AZ36" i="21"/>
  <c r="BA36" i="21" s="1"/>
  <c r="T36" i="21"/>
  <c r="U36" i="21" s="1"/>
  <c r="T35" i="21"/>
  <c r="P35" i="21"/>
  <c r="N35" i="21" s="1"/>
  <c r="AF35" i="21" s="1"/>
  <c r="BC34" i="21"/>
  <c r="BB34" i="21"/>
  <c r="AZ34" i="21"/>
  <c r="T34" i="21"/>
  <c r="U34" i="21" s="1"/>
  <c r="T33" i="21"/>
  <c r="P33" i="21"/>
  <c r="N33" i="21" s="1"/>
  <c r="BB32" i="21"/>
  <c r="BC32" i="21" s="1"/>
  <c r="AZ32" i="21"/>
  <c r="T32" i="21"/>
  <c r="U32" i="21" s="1"/>
  <c r="BB31" i="21"/>
  <c r="T31" i="21"/>
  <c r="P31" i="21"/>
  <c r="N31" i="21"/>
  <c r="Y31" i="21" s="1"/>
  <c r="BB30" i="21"/>
  <c r="BC30" i="21" s="1"/>
  <c r="AZ30" i="21"/>
  <c r="T30" i="21"/>
  <c r="U30" i="21" s="1"/>
  <c r="T29" i="21"/>
  <c r="P29" i="21"/>
  <c r="N29" i="21" s="1"/>
  <c r="BB28" i="21"/>
  <c r="BC28" i="21" s="1"/>
  <c r="AZ28" i="21"/>
  <c r="BA28" i="21" s="1"/>
  <c r="T28" i="21"/>
  <c r="U28" i="21" s="1"/>
  <c r="T27" i="21"/>
  <c r="P27" i="21"/>
  <c r="N27" i="21"/>
  <c r="AA27" i="21" s="1"/>
  <c r="BB26" i="21"/>
  <c r="BC26" i="21" s="1"/>
  <c r="AZ26" i="21"/>
  <c r="T26" i="21"/>
  <c r="U26" i="21" s="1"/>
  <c r="BB25" i="21"/>
  <c r="T25" i="21"/>
  <c r="P25" i="21"/>
  <c r="N25" i="21" s="1"/>
  <c r="W25" i="21" s="1"/>
  <c r="BB24" i="21"/>
  <c r="BC24" i="21" s="1"/>
  <c r="AZ24" i="21"/>
  <c r="BA24" i="21" s="1"/>
  <c r="T24" i="21"/>
  <c r="U24" i="21" s="1"/>
  <c r="T23" i="21"/>
  <c r="P23" i="21"/>
  <c r="N23" i="21" s="1"/>
  <c r="AF23" i="21" s="1"/>
  <c r="BB22" i="21"/>
  <c r="BC22" i="21" s="1"/>
  <c r="AZ22" i="21"/>
  <c r="BA22" i="21" s="1"/>
  <c r="T22" i="21"/>
  <c r="U22" i="21" s="1"/>
  <c r="T21" i="21"/>
  <c r="P21" i="21"/>
  <c r="N21" i="21" s="1"/>
  <c r="BB20" i="21"/>
  <c r="BC20" i="21" s="1"/>
  <c r="AZ20" i="21"/>
  <c r="BA20" i="21" s="1"/>
  <c r="T20" i="21"/>
  <c r="U20" i="21" s="1"/>
  <c r="T19" i="21"/>
  <c r="P19" i="21"/>
  <c r="N19" i="21" s="1"/>
  <c r="BB18" i="21"/>
  <c r="BC18" i="21" s="1"/>
  <c r="AZ18" i="21"/>
  <c r="BA18" i="21" s="1"/>
  <c r="T18" i="21"/>
  <c r="U18" i="21" s="1"/>
  <c r="T17" i="21"/>
  <c r="P17" i="21"/>
  <c r="N17" i="21" s="1"/>
  <c r="BB16" i="21"/>
  <c r="BC16" i="21" s="1"/>
  <c r="AZ16" i="21"/>
  <c r="BA16" i="21" s="1"/>
  <c r="T16" i="21"/>
  <c r="U16" i="21" s="1"/>
  <c r="T15" i="21"/>
  <c r="P15" i="21"/>
  <c r="N15" i="21" s="1"/>
  <c r="BB14" i="21"/>
  <c r="BC14" i="21" s="1"/>
  <c r="BE14" i="21" s="1"/>
  <c r="AZ14" i="21"/>
  <c r="BA14" i="21" s="1"/>
  <c r="T14" i="21"/>
  <c r="U14" i="21" s="1"/>
  <c r="BB13" i="21"/>
  <c r="BC13" i="21" s="1"/>
  <c r="AZ13" i="21"/>
  <c r="T13" i="21"/>
  <c r="U13" i="21" s="1"/>
  <c r="P13" i="21"/>
  <c r="N13" i="21" s="1"/>
  <c r="BB12" i="21"/>
  <c r="BC12" i="21" s="1"/>
  <c r="AZ12" i="21"/>
  <c r="BA12" i="21" s="1"/>
  <c r="T12" i="21"/>
  <c r="U12" i="21" s="1"/>
  <c r="BB11" i="21"/>
  <c r="T11" i="21"/>
  <c r="P11" i="21"/>
  <c r="N11" i="21" s="1"/>
  <c r="V11" i="21" s="1"/>
  <c r="BB10" i="21"/>
  <c r="BC10" i="21" s="1"/>
  <c r="AZ10" i="21"/>
  <c r="BA10" i="21" s="1"/>
  <c r="T10" i="21"/>
  <c r="U10" i="21" s="1"/>
  <c r="T9" i="21"/>
  <c r="P9" i="21"/>
  <c r="N9" i="21" s="1"/>
  <c r="BB8" i="21"/>
  <c r="BC8" i="21" s="1"/>
  <c r="AZ8" i="21"/>
  <c r="BA8" i="21" s="1"/>
  <c r="T8" i="21"/>
  <c r="U8" i="21" s="1"/>
  <c r="T7" i="21"/>
  <c r="P7" i="21"/>
  <c r="N7" i="21" s="1"/>
  <c r="BB6" i="21"/>
  <c r="BC6" i="21" s="1"/>
  <c r="AZ6" i="21"/>
  <c r="T6" i="21"/>
  <c r="AE125" i="21" l="1"/>
  <c r="AC87" i="21"/>
  <c r="BE114" i="21"/>
  <c r="BE36" i="21"/>
  <c r="AE87" i="21"/>
  <c r="U124" i="21"/>
  <c r="AH87" i="21"/>
  <c r="R140" i="21"/>
  <c r="BE54" i="21"/>
  <c r="BE68" i="21"/>
  <c r="S140" i="21"/>
  <c r="BE20" i="21"/>
  <c r="BE84" i="21"/>
  <c r="AF129" i="21"/>
  <c r="BE148" i="21"/>
  <c r="BC77" i="21"/>
  <c r="Z143" i="27"/>
  <c r="Z149" i="27" s="1"/>
  <c r="AC15" i="21"/>
  <c r="AB15" i="21"/>
  <c r="AA53" i="21"/>
  <c r="AJ53" i="21"/>
  <c r="AH53" i="21"/>
  <c r="AA115" i="21"/>
  <c r="AF115" i="21"/>
  <c r="AD115" i="21"/>
  <c r="AE115" i="21"/>
  <c r="Z33" i="21"/>
  <c r="AC33" i="21"/>
  <c r="AE33" i="21"/>
  <c r="AD33" i="21"/>
  <c r="AC99" i="21"/>
  <c r="BB99" i="21" s="1"/>
  <c r="AB99" i="21"/>
  <c r="AA99" i="21"/>
  <c r="Z99" i="21"/>
  <c r="Y99" i="21"/>
  <c r="Y17" i="21"/>
  <c r="AC17" i="21"/>
  <c r="AA17" i="21"/>
  <c r="T138" i="21"/>
  <c r="T163" i="21" s="1"/>
  <c r="BE46" i="21"/>
  <c r="AZ120" i="21"/>
  <c r="BA120" i="21" s="1"/>
  <c r="Y131" i="21"/>
  <c r="X146" i="21"/>
  <c r="BE6" i="21"/>
  <c r="BE96" i="21"/>
  <c r="BC120" i="21"/>
  <c r="Y39" i="21"/>
  <c r="AF71" i="21"/>
  <c r="V121" i="21"/>
  <c r="U121" i="21" s="1"/>
  <c r="AI71" i="21"/>
  <c r="V91" i="21"/>
  <c r="U106" i="21"/>
  <c r="BE156" i="21"/>
  <c r="AI23" i="21"/>
  <c r="AI75" i="21"/>
  <c r="W123" i="21"/>
  <c r="AJ71" i="21"/>
  <c r="W91" i="21"/>
  <c r="BE94" i="21"/>
  <c r="BE151" i="21"/>
  <c r="AH143" i="27"/>
  <c r="AH149" i="27" s="1"/>
  <c r="BE16" i="21"/>
  <c r="AJ23" i="21"/>
  <c r="AJ75" i="21"/>
  <c r="BE82" i="21"/>
  <c r="AC91" i="21"/>
  <c r="AZ141" i="27"/>
  <c r="BE44" i="21"/>
  <c r="Y41" i="21"/>
  <c r="AK75" i="21"/>
  <c r="AZ130" i="21"/>
  <c r="AM75" i="21"/>
  <c r="X123" i="21"/>
  <c r="AG129" i="21"/>
  <c r="AU79" i="21"/>
  <c r="BE90" i="21"/>
  <c r="AE123" i="21"/>
  <c r="AX99" i="27"/>
  <c r="AU99" i="27"/>
  <c r="AV99" i="27" s="1"/>
  <c r="S143" i="27"/>
  <c r="S149" i="27" s="1"/>
  <c r="AW115" i="27"/>
  <c r="AX115" i="27" s="1"/>
  <c r="AZ120" i="27"/>
  <c r="AZ23" i="27"/>
  <c r="AR143" i="27"/>
  <c r="AR149" i="27" s="1"/>
  <c r="AE127" i="27"/>
  <c r="AE131" i="27" s="1"/>
  <c r="AE148" i="27" s="1"/>
  <c r="AN143" i="27"/>
  <c r="AN149" i="27" s="1"/>
  <c r="AZ118" i="27"/>
  <c r="AU115" i="27"/>
  <c r="AV115" i="27" s="1"/>
  <c r="AP143" i="27"/>
  <c r="AP149" i="27" s="1"/>
  <c r="AW97" i="27"/>
  <c r="AW39" i="27"/>
  <c r="AX39" i="27" s="1"/>
  <c r="AD143" i="27"/>
  <c r="AD149" i="27" s="1"/>
  <c r="AE143" i="27"/>
  <c r="AE149" i="27" s="1"/>
  <c r="AG127" i="27"/>
  <c r="AG131" i="27" s="1"/>
  <c r="AH130" i="27"/>
  <c r="AH147" i="27" s="1"/>
  <c r="AX49" i="27"/>
  <c r="AK127" i="27"/>
  <c r="AK131" i="27" s="1"/>
  <c r="AW33" i="27"/>
  <c r="AX33" i="27" s="1"/>
  <c r="V143" i="27"/>
  <c r="V149" i="27" s="1"/>
  <c r="AW107" i="27"/>
  <c r="AX107" i="27" s="1"/>
  <c r="AW75" i="27"/>
  <c r="AX75" i="27" s="1"/>
  <c r="AU75" i="27"/>
  <c r="AV75" i="27" s="1"/>
  <c r="AU79" i="27"/>
  <c r="AV79" i="27" s="1"/>
  <c r="AW79" i="27"/>
  <c r="AX79" i="27" s="1"/>
  <c r="AW73" i="27"/>
  <c r="AX73" i="27" s="1"/>
  <c r="AW37" i="27"/>
  <c r="AX37" i="27" s="1"/>
  <c r="AL131" i="27"/>
  <c r="AL132" i="27" s="1"/>
  <c r="AW47" i="27"/>
  <c r="AX47" i="27" s="1"/>
  <c r="AW51" i="27"/>
  <c r="AX51" i="27" s="1"/>
  <c r="AU29" i="27"/>
  <c r="AV29" i="27" s="1"/>
  <c r="AW27" i="27"/>
  <c r="AX27" i="27" s="1"/>
  <c r="AQ131" i="27"/>
  <c r="AQ132" i="27" s="1"/>
  <c r="AU87" i="27"/>
  <c r="AV87" i="27" s="1"/>
  <c r="AJ127" i="27"/>
  <c r="AJ131" i="27" s="1"/>
  <c r="AI127" i="27"/>
  <c r="AI131" i="27" s="1"/>
  <c r="AW81" i="27"/>
  <c r="AX81" i="27" s="1"/>
  <c r="AW45" i="27"/>
  <c r="AX45" i="27" s="1"/>
  <c r="Y147" i="27"/>
  <c r="Y143" i="27"/>
  <c r="AW140" i="27"/>
  <c r="AX140" i="27" s="1"/>
  <c r="AC127" i="27"/>
  <c r="AC131" i="27" s="1"/>
  <c r="AC148" i="27" s="1"/>
  <c r="AU113" i="27"/>
  <c r="AV113" i="27" s="1"/>
  <c r="AU119" i="27"/>
  <c r="AV119" i="27" s="1"/>
  <c r="AU111" i="27"/>
  <c r="AV111" i="27" s="1"/>
  <c r="AW77" i="27"/>
  <c r="AX77" i="27" s="1"/>
  <c r="AU61" i="27"/>
  <c r="AV61" i="27" s="1"/>
  <c r="AU21" i="27"/>
  <c r="AV21" i="27" s="1"/>
  <c r="AX13" i="27"/>
  <c r="AU13" i="27"/>
  <c r="AV13" i="27" s="1"/>
  <c r="AU140" i="27"/>
  <c r="Z127" i="27"/>
  <c r="Z131" i="27" s="1"/>
  <c r="AC143" i="27"/>
  <c r="AC149" i="27" s="1"/>
  <c r="AS143" i="27"/>
  <c r="AS149" i="27" s="1"/>
  <c r="AS150" i="27" s="1"/>
  <c r="AS152" i="27" s="1"/>
  <c r="R143" i="27"/>
  <c r="AW57" i="27"/>
  <c r="AX57" i="27" s="1"/>
  <c r="AX97" i="27"/>
  <c r="AU97" i="27"/>
  <c r="AV97" i="27" s="1"/>
  <c r="AU81" i="27"/>
  <c r="AV81" i="27" s="1"/>
  <c r="AU53" i="27"/>
  <c r="AV53" i="27" s="1"/>
  <c r="AU73" i="27"/>
  <c r="AV73" i="27" s="1"/>
  <c r="AX71" i="27"/>
  <c r="AU71" i="27"/>
  <c r="AV71" i="27" s="1"/>
  <c r="AU17" i="27"/>
  <c r="AV17" i="27" s="1"/>
  <c r="AX15" i="27"/>
  <c r="AU15" i="27"/>
  <c r="AV15" i="27" s="1"/>
  <c r="AU47" i="27"/>
  <c r="AV47" i="27" s="1"/>
  <c r="AU39" i="27"/>
  <c r="AV39" i="27" s="1"/>
  <c r="AW19" i="27"/>
  <c r="AX19" i="27" s="1"/>
  <c r="AU51" i="27"/>
  <c r="AV51" i="27" s="1"/>
  <c r="AU7" i="27"/>
  <c r="AV7" i="27" s="1"/>
  <c r="BB143" i="27"/>
  <c r="AU138" i="27"/>
  <c r="AX138" i="27"/>
  <c r="AX29" i="27"/>
  <c r="AW69" i="27"/>
  <c r="AX69" i="27" s="1"/>
  <c r="AX85" i="27"/>
  <c r="AU85" i="27"/>
  <c r="AV85" i="27" s="1"/>
  <c r="AU35" i="27"/>
  <c r="AV35" i="27" s="1"/>
  <c r="T143" i="27"/>
  <c r="T149" i="27" s="1"/>
  <c r="AB143" i="27"/>
  <c r="AB149" i="27" s="1"/>
  <c r="X143" i="27"/>
  <c r="X149" i="27" s="1"/>
  <c r="AW113" i="27"/>
  <c r="AX113" i="27" s="1"/>
  <c r="AW111" i="27"/>
  <c r="AX111" i="27" s="1"/>
  <c r="AU117" i="27"/>
  <c r="AV117" i="27" s="1"/>
  <c r="AU63" i="27"/>
  <c r="AV63" i="27" s="1"/>
  <c r="AX101" i="27"/>
  <c r="AU101" i="27"/>
  <c r="AV101" i="27" s="1"/>
  <c r="AU55" i="27"/>
  <c r="AV55" i="27" s="1"/>
  <c r="AW43" i="27"/>
  <c r="AX43" i="27" s="1"/>
  <c r="AX103" i="27"/>
  <c r="AU103" i="27"/>
  <c r="AV103" i="27" s="1"/>
  <c r="AX89" i="27"/>
  <c r="AU89" i="27"/>
  <c r="AV89" i="27" s="1"/>
  <c r="AW83" i="27"/>
  <c r="AX83" i="27" s="1"/>
  <c r="AU69" i="27"/>
  <c r="AV69" i="27" s="1"/>
  <c r="AW53" i="27"/>
  <c r="AX53" i="27" s="1"/>
  <c r="AU59" i="27"/>
  <c r="AV59" i="27" s="1"/>
  <c r="AU37" i="27"/>
  <c r="AV37" i="27" s="1"/>
  <c r="AW31" i="27"/>
  <c r="AX31" i="27" s="1"/>
  <c r="AW35" i="27"/>
  <c r="AX35" i="27" s="1"/>
  <c r="AW21" i="27"/>
  <c r="AX21" i="27" s="1"/>
  <c r="AX9" i="27"/>
  <c r="AU9" i="27"/>
  <c r="AV9" i="27" s="1"/>
  <c r="AW25" i="27"/>
  <c r="AX25" i="27" s="1"/>
  <c r="AU25" i="27"/>
  <c r="AV25" i="27" s="1"/>
  <c r="AW7" i="27"/>
  <c r="AX7" i="27" s="1"/>
  <c r="AU33" i="27"/>
  <c r="AV33" i="27" s="1"/>
  <c r="AU83" i="27"/>
  <c r="AV83" i="27" s="1"/>
  <c r="AU126" i="27"/>
  <c r="AV126" i="27" s="1"/>
  <c r="AU49" i="27"/>
  <c r="AV49" i="27" s="1"/>
  <c r="AW142" i="27"/>
  <c r="AX142" i="27" s="1"/>
  <c r="AO143" i="27"/>
  <c r="AO149" i="27" s="1"/>
  <c r="AX121" i="27"/>
  <c r="AU121" i="27"/>
  <c r="AV121" i="27" s="1"/>
  <c r="AU19" i="27"/>
  <c r="AV19" i="27" s="1"/>
  <c r="AU43" i="27"/>
  <c r="AV43" i="27" s="1"/>
  <c r="AT143" i="27"/>
  <c r="AT149" i="27" s="1"/>
  <c r="AT150" i="27" s="1"/>
  <c r="AT152" i="27" s="1"/>
  <c r="U143" i="27"/>
  <c r="U149" i="27" s="1"/>
  <c r="W143" i="27"/>
  <c r="W149" i="27" s="1"/>
  <c r="AM143" i="27"/>
  <c r="AM149" i="27" s="1"/>
  <c r="AA130" i="27"/>
  <c r="AA147" i="27" s="1"/>
  <c r="AW117" i="27"/>
  <c r="AX117" i="27" s="1"/>
  <c r="AU107" i="27"/>
  <c r="AV107" i="27" s="1"/>
  <c r="AW119" i="27"/>
  <c r="AX119" i="27" s="1"/>
  <c r="AW125" i="27"/>
  <c r="AX125" i="27" s="1"/>
  <c r="AU125" i="27"/>
  <c r="AV125" i="27" s="1"/>
  <c r="AE130" i="27"/>
  <c r="AE147" i="27" s="1"/>
  <c r="AX109" i="27"/>
  <c r="AU109" i="27"/>
  <c r="AV109" i="27" s="1"/>
  <c r="AX105" i="27"/>
  <c r="AU105" i="27"/>
  <c r="AV105" i="27" s="1"/>
  <c r="AW87" i="27"/>
  <c r="AX87" i="27" s="1"/>
  <c r="AX123" i="27"/>
  <c r="AU123" i="27"/>
  <c r="AV123" i="27" s="1"/>
  <c r="AX95" i="27"/>
  <c r="AU95" i="27"/>
  <c r="AV95" i="27" s="1"/>
  <c r="AZ122" i="27"/>
  <c r="AW55" i="27"/>
  <c r="AX55" i="27" s="1"/>
  <c r="AX91" i="27"/>
  <c r="AU91" i="27"/>
  <c r="AV91" i="27" s="1"/>
  <c r="AU77" i="27"/>
  <c r="AV77" i="27" s="1"/>
  <c r="AW63" i="27"/>
  <c r="AX63" i="27" s="1"/>
  <c r="AW61" i="27"/>
  <c r="AX61" i="27" s="1"/>
  <c r="AW59" i="27"/>
  <c r="AX59" i="27" s="1"/>
  <c r="AU45" i="27"/>
  <c r="AV45" i="27" s="1"/>
  <c r="AX41" i="27"/>
  <c r="AU41" i="27"/>
  <c r="AV41" i="27" s="1"/>
  <c r="AU31" i="27"/>
  <c r="AV31" i="27" s="1"/>
  <c r="AW17" i="27"/>
  <c r="AX17" i="27" s="1"/>
  <c r="AW126" i="27"/>
  <c r="AX126" i="27" s="1"/>
  <c r="U130" i="27"/>
  <c r="U147" i="27" s="1"/>
  <c r="AU142" i="27"/>
  <c r="AU27" i="27"/>
  <c r="AV27" i="27" s="1"/>
  <c r="AU57" i="27"/>
  <c r="AV57" i="27" s="1"/>
  <c r="W147" i="27"/>
  <c r="V147" i="27"/>
  <c r="X127" i="27"/>
  <c r="X131" i="27" s="1"/>
  <c r="AD127" i="27"/>
  <c r="AD131" i="27" s="1"/>
  <c r="AD148" i="27" s="1"/>
  <c r="AA127" i="27"/>
  <c r="AA131" i="27" s="1"/>
  <c r="AA148" i="27" s="1"/>
  <c r="AJ143" i="27"/>
  <c r="AJ149" i="27" s="1"/>
  <c r="AG143" i="27"/>
  <c r="AG149" i="27" s="1"/>
  <c r="AI143" i="27"/>
  <c r="AI149" i="27" s="1"/>
  <c r="AZ137" i="27"/>
  <c r="Y127" i="27"/>
  <c r="Y131" i="27" s="1"/>
  <c r="R127" i="27"/>
  <c r="AH127" i="27"/>
  <c r="AH131" i="27" s="1"/>
  <c r="AH148" i="27" s="1"/>
  <c r="U127" i="27"/>
  <c r="U131" i="27" s="1"/>
  <c r="AC147" i="27"/>
  <c r="AB127" i="27"/>
  <c r="AB131" i="27" s="1"/>
  <c r="AZ114" i="27"/>
  <c r="AR131" i="27"/>
  <c r="AZ65" i="27"/>
  <c r="AO131" i="27"/>
  <c r="AK143" i="27"/>
  <c r="AK149" i="27" s="1"/>
  <c r="V127" i="27"/>
  <c r="V131" i="27" s="1"/>
  <c r="V148" i="27" s="1"/>
  <c r="S127" i="27"/>
  <c r="S131" i="27" s="1"/>
  <c r="T127" i="27"/>
  <c r="T131" i="27" s="1"/>
  <c r="X147" i="27"/>
  <c r="Z147" i="27"/>
  <c r="AZ102" i="27"/>
  <c r="AF143" i="27"/>
  <c r="AF149" i="27" s="1"/>
  <c r="AA143" i="27"/>
  <c r="AA149" i="27" s="1"/>
  <c r="AQ143" i="27"/>
  <c r="AQ149" i="27" s="1"/>
  <c r="AF127" i="27"/>
  <c r="AF131" i="27" s="1"/>
  <c r="W127" i="27"/>
  <c r="W131" i="27" s="1"/>
  <c r="W148" i="27" s="1"/>
  <c r="AD130" i="27"/>
  <c r="AZ124" i="27"/>
  <c r="R130" i="27"/>
  <c r="AZ116" i="27"/>
  <c r="AZ67" i="27"/>
  <c r="AM131" i="27"/>
  <c r="AP131" i="27"/>
  <c r="AN131" i="27"/>
  <c r="S147" i="27"/>
  <c r="AI81" i="21"/>
  <c r="AE81" i="21"/>
  <c r="AB81" i="21"/>
  <c r="AE47" i="21"/>
  <c r="X47" i="21"/>
  <c r="AH47" i="21"/>
  <c r="AH29" i="21"/>
  <c r="Y29" i="21"/>
  <c r="AH7" i="21"/>
  <c r="X7" i="21"/>
  <c r="AA51" i="21"/>
  <c r="X51" i="21"/>
  <c r="V51" i="21"/>
  <c r="U51" i="21" s="1"/>
  <c r="AD59" i="21"/>
  <c r="AT59" i="21"/>
  <c r="AS59" i="21"/>
  <c r="AR59" i="21"/>
  <c r="AE59" i="21"/>
  <c r="AH59" i="21"/>
  <c r="AG59" i="21"/>
  <c r="AF59" i="21"/>
  <c r="X59" i="21"/>
  <c r="AC59" i="21"/>
  <c r="V59" i="21"/>
  <c r="U59" i="21" s="1"/>
  <c r="W69" i="21"/>
  <c r="V69" i="21"/>
  <c r="BC69" i="21" s="1"/>
  <c r="AJ57" i="21"/>
  <c r="X57" i="21"/>
  <c r="W57" i="21"/>
  <c r="AF57" i="21"/>
  <c r="AA57" i="21"/>
  <c r="AC57" i="21"/>
  <c r="Z57" i="21"/>
  <c r="Y57" i="21"/>
  <c r="AI111" i="21"/>
  <c r="AA111" i="21"/>
  <c r="X111" i="21"/>
  <c r="W111" i="21"/>
  <c r="AH111" i="21"/>
  <c r="AG111" i="21"/>
  <c r="AF111" i="21"/>
  <c r="AD21" i="21"/>
  <c r="AE21" i="21"/>
  <c r="AC21" i="21"/>
  <c r="AB21" i="21"/>
  <c r="X21" i="21"/>
  <c r="AA21" i="21"/>
  <c r="Z21" i="21"/>
  <c r="BE92" i="21"/>
  <c r="AD158" i="21"/>
  <c r="AC23" i="21"/>
  <c r="AA33" i="21"/>
  <c r="BE34" i="21"/>
  <c r="AF53" i="21"/>
  <c r="AB75" i="21"/>
  <c r="AL79" i="21"/>
  <c r="AI85" i="21"/>
  <c r="AA87" i="21"/>
  <c r="AZ106" i="21"/>
  <c r="AB115" i="21"/>
  <c r="AA129" i="21"/>
  <c r="Z131" i="21"/>
  <c r="BE149" i="21"/>
  <c r="AX158" i="21"/>
  <c r="W67" i="21"/>
  <c r="BC67" i="21" s="1"/>
  <c r="W127" i="21"/>
  <c r="AA15" i="21"/>
  <c r="AB17" i="21"/>
  <c r="AE23" i="21"/>
  <c r="AB33" i="21"/>
  <c r="BE42" i="21"/>
  <c r="AG53" i="21"/>
  <c r="V71" i="21"/>
  <c r="U71" i="21" s="1"/>
  <c r="AG75" i="21"/>
  <c r="AM79" i="21"/>
  <c r="AM85" i="21"/>
  <c r="AB87" i="21"/>
  <c r="BE88" i="21"/>
  <c r="AC115" i="21"/>
  <c r="BC117" i="21"/>
  <c r="BE117" i="21" s="1"/>
  <c r="V146" i="21"/>
  <c r="AK53" i="21"/>
  <c r="AM33" i="21"/>
  <c r="AB35" i="21"/>
  <c r="AL53" i="21"/>
  <c r="AI87" i="21"/>
  <c r="BE104" i="21"/>
  <c r="AD146" i="21"/>
  <c r="AG154" i="21"/>
  <c r="AI158" i="21"/>
  <c r="V23" i="21"/>
  <c r="U23" i="21" s="1"/>
  <c r="AN33" i="21"/>
  <c r="AE35" i="21"/>
  <c r="V43" i="21"/>
  <c r="V45" i="21"/>
  <c r="U45" i="21" s="1"/>
  <c r="AM53" i="21"/>
  <c r="AB65" i="21"/>
  <c r="Z85" i="21"/>
  <c r="AJ87" i="21"/>
  <c r="V95" i="21"/>
  <c r="U95" i="21" s="1"/>
  <c r="X127" i="21"/>
  <c r="V138" i="21"/>
  <c r="V163" i="21" s="1"/>
  <c r="AM154" i="21"/>
  <c r="AM159" i="21" s="1"/>
  <c r="AM165" i="21" s="1"/>
  <c r="AK158" i="21"/>
  <c r="W23" i="21"/>
  <c r="BE24" i="21"/>
  <c r="AD27" i="21"/>
  <c r="AO33" i="21"/>
  <c r="AG35" i="21"/>
  <c r="AA37" i="21"/>
  <c r="W43" i="21"/>
  <c r="AE45" i="21"/>
  <c r="V53" i="21"/>
  <c r="U53" i="21" s="1"/>
  <c r="AO53" i="21"/>
  <c r="AC65" i="21"/>
  <c r="Z79" i="21"/>
  <c r="AC85" i="21"/>
  <c r="V87" i="21"/>
  <c r="U87" i="21" s="1"/>
  <c r="AK87" i="21"/>
  <c r="W95" i="21"/>
  <c r="BE102" i="21"/>
  <c r="AN154" i="21"/>
  <c r="AL158" i="21"/>
  <c r="BE13" i="21"/>
  <c r="BE150" i="21"/>
  <c r="X23" i="21"/>
  <c r="AE27" i="21"/>
  <c r="AP33" i="21"/>
  <c r="AJ35" i="21"/>
  <c r="X43" i="21"/>
  <c r="AF45" i="21"/>
  <c r="W53" i="21"/>
  <c r="AT53" i="21"/>
  <c r="AG65" i="21"/>
  <c r="BE76" i="21"/>
  <c r="AA79" i="21"/>
  <c r="BE80" i="21"/>
  <c r="AD85" i="21"/>
  <c r="W87" i="21"/>
  <c r="AL87" i="21"/>
  <c r="AE91" i="21"/>
  <c r="X95" i="21"/>
  <c r="BE112" i="21"/>
  <c r="X115" i="21"/>
  <c r="Z134" i="21"/>
  <c r="Z138" i="21" s="1"/>
  <c r="AP154" i="21"/>
  <c r="AN158" i="21"/>
  <c r="U6" i="21"/>
  <c r="BE32" i="21"/>
  <c r="Y23" i="21"/>
  <c r="X33" i="21"/>
  <c r="AQ33" i="21"/>
  <c r="AS35" i="21"/>
  <c r="BE38" i="21"/>
  <c r="Y43" i="21"/>
  <c r="X53" i="21"/>
  <c r="AU53" i="21"/>
  <c r="AB79" i="21"/>
  <c r="AE85" i="21"/>
  <c r="X87" i="21"/>
  <c r="AM87" i="21"/>
  <c r="AI91" i="21"/>
  <c r="Z95" i="21"/>
  <c r="Y115" i="21"/>
  <c r="X119" i="21"/>
  <c r="AB134" i="21"/>
  <c r="K141" i="21"/>
  <c r="AP158" i="21"/>
  <c r="Z23" i="21"/>
  <c r="Y33" i="21"/>
  <c r="AS33" i="21"/>
  <c r="AT35" i="21"/>
  <c r="Y53" i="21"/>
  <c r="BE70" i="21"/>
  <c r="X75" i="21"/>
  <c r="AD79" i="21"/>
  <c r="AE83" i="21"/>
  <c r="AG85" i="21"/>
  <c r="Y87" i="21"/>
  <c r="AJ91" i="21"/>
  <c r="AC95" i="21"/>
  <c r="BB95" i="21" s="1"/>
  <c r="BE98" i="21"/>
  <c r="Z115" i="21"/>
  <c r="AH119" i="21"/>
  <c r="AU158" i="21"/>
  <c r="Z17" i="21"/>
  <c r="BE22" i="21"/>
  <c r="AB23" i="21"/>
  <c r="X31" i="21"/>
  <c r="AE41" i="21"/>
  <c r="BA46" i="21"/>
  <c r="AL91" i="21"/>
  <c r="BC106" i="21"/>
  <c r="BE106" i="21" s="1"/>
  <c r="W125" i="21"/>
  <c r="BE155" i="21"/>
  <c r="AW158" i="21"/>
  <c r="W138" i="21"/>
  <c r="W163" i="21" s="1"/>
  <c r="Y55" i="21"/>
  <c r="X55" i="21"/>
  <c r="AD55" i="21"/>
  <c r="AC55" i="21"/>
  <c r="AA55" i="21"/>
  <c r="AF55" i="21"/>
  <c r="AE55" i="21"/>
  <c r="AB55" i="21"/>
  <c r="Z55" i="21"/>
  <c r="W55" i="21"/>
  <c r="V55" i="21"/>
  <c r="AB107" i="21"/>
  <c r="V107" i="21"/>
  <c r="AD107" i="21"/>
  <c r="Y107" i="21"/>
  <c r="AC107" i="21"/>
  <c r="AA107" i="21"/>
  <c r="W107" i="21"/>
  <c r="Z107" i="21"/>
  <c r="X107" i="21"/>
  <c r="AG61" i="21"/>
  <c r="AF61" i="21"/>
  <c r="AA61" i="21"/>
  <c r="AC61" i="21"/>
  <c r="AB61" i="21"/>
  <c r="Y61" i="21"/>
  <c r="X61" i="21"/>
  <c r="W61" i="21"/>
  <c r="V61" i="21"/>
  <c r="AD61" i="21"/>
  <c r="AE61" i="21"/>
  <c r="Z61" i="21"/>
  <c r="Y105" i="21"/>
  <c r="V105" i="21"/>
  <c r="X105" i="21"/>
  <c r="W105" i="21"/>
  <c r="AO138" i="21"/>
  <c r="BC11" i="21"/>
  <c r="AZ11" i="21"/>
  <c r="U11" i="21"/>
  <c r="AP19" i="21"/>
  <c r="AM19" i="21"/>
  <c r="AC19" i="21"/>
  <c r="AO19" i="21"/>
  <c r="AL19" i="21"/>
  <c r="AK19" i="21"/>
  <c r="AB19" i="21"/>
  <c r="Z19" i="21"/>
  <c r="AN19" i="21"/>
  <c r="AA19" i="21"/>
  <c r="Y19" i="21"/>
  <c r="AE19" i="21"/>
  <c r="AJ19" i="21"/>
  <c r="X19" i="21"/>
  <c r="AI19" i="21"/>
  <c r="W19" i="21"/>
  <c r="AG19" i="21"/>
  <c r="AT19" i="21"/>
  <c r="AH19" i="21"/>
  <c r="V19" i="21"/>
  <c r="AF19" i="21"/>
  <c r="AR19" i="21"/>
  <c r="AD19" i="21"/>
  <c r="AQ19" i="21"/>
  <c r="AS19" i="21"/>
  <c r="AT63" i="21"/>
  <c r="AH63" i="21"/>
  <c r="AP63" i="21"/>
  <c r="AC63" i="21"/>
  <c r="AO63" i="21"/>
  <c r="AB63" i="21"/>
  <c r="AJ63" i="21"/>
  <c r="W63" i="21"/>
  <c r="AF63" i="21"/>
  <c r="AV63" i="21"/>
  <c r="AE63" i="21"/>
  <c r="AS63" i="21"/>
  <c r="AA63" i="21"/>
  <c r="AK63" i="21"/>
  <c r="AI63" i="21"/>
  <c r="AG63" i="21"/>
  <c r="AD63" i="21"/>
  <c r="Z63" i="21"/>
  <c r="Y63" i="21"/>
  <c r="AU63" i="21"/>
  <c r="X63" i="21"/>
  <c r="AR63" i="21"/>
  <c r="V63" i="21"/>
  <c r="AM63" i="21"/>
  <c r="AQ63" i="21"/>
  <c r="AN63" i="21"/>
  <c r="AL63" i="21"/>
  <c r="AC9" i="21"/>
  <c r="AB9" i="21"/>
  <c r="Z9" i="21"/>
  <c r="AA9" i="21"/>
  <c r="Y9" i="21"/>
  <c r="X9" i="21"/>
  <c r="W9" i="21"/>
  <c r="V9" i="21"/>
  <c r="AD9" i="21"/>
  <c r="AD7" i="21"/>
  <c r="T139" i="21"/>
  <c r="T164" i="21" s="1"/>
  <c r="AD15" i="21"/>
  <c r="BB15" i="21" s="1"/>
  <c r="V7" i="21"/>
  <c r="BE8" i="21"/>
  <c r="BA13" i="21"/>
  <c r="AD17" i="21"/>
  <c r="BB17" i="21" s="1"/>
  <c r="BE18" i="21"/>
  <c r="V31" i="21"/>
  <c r="BA32" i="21"/>
  <c r="AH35" i="21"/>
  <c r="W7" i="21"/>
  <c r="BE10" i="21"/>
  <c r="V25" i="21"/>
  <c r="W29" i="21"/>
  <c r="W31" i="21"/>
  <c r="AI35" i="21"/>
  <c r="Z37" i="21"/>
  <c r="X39" i="21"/>
  <c r="X41" i="21"/>
  <c r="W47" i="21"/>
  <c r="X49" i="21"/>
  <c r="AP71" i="21"/>
  <c r="AD71" i="21"/>
  <c r="AU71" i="21"/>
  <c r="AH71" i="21"/>
  <c r="AT71" i="21"/>
  <c r="AG71" i="21"/>
  <c r="AN71" i="21"/>
  <c r="AA71" i="21"/>
  <c r="AW71" i="21"/>
  <c r="AE71" i="21"/>
  <c r="AV71" i="21"/>
  <c r="AC71" i="21"/>
  <c r="AR71" i="21"/>
  <c r="Z71" i="21"/>
  <c r="AM71" i="21"/>
  <c r="V73" i="21"/>
  <c r="AC73" i="21"/>
  <c r="BB73" i="21" s="1"/>
  <c r="AB73" i="21"/>
  <c r="W73" i="21"/>
  <c r="AD83" i="21"/>
  <c r="AB138" i="21"/>
  <c r="AB125" i="21"/>
  <c r="BB132" i="21"/>
  <c r="BC132" i="21" s="1"/>
  <c r="BE78" i="21"/>
  <c r="BA78" i="21"/>
  <c r="V15" i="21"/>
  <c r="Y21" i="21"/>
  <c r="AH21" i="21"/>
  <c r="V21" i="21"/>
  <c r="V27" i="21"/>
  <c r="AB37" i="21"/>
  <c r="Y47" i="21"/>
  <c r="AH83" i="21"/>
  <c r="BA86" i="21"/>
  <c r="Z7" i="21"/>
  <c r="W27" i="21"/>
  <c r="AC29" i="21"/>
  <c r="BE30" i="21"/>
  <c r="Z31" i="21"/>
  <c r="AI33" i="21"/>
  <c r="W33" i="21"/>
  <c r="AT33" i="21"/>
  <c r="AH33" i="21"/>
  <c r="V33" i="21"/>
  <c r="AR33" i="21"/>
  <c r="AF33" i="21"/>
  <c r="AG33" i="21"/>
  <c r="W35" i="21"/>
  <c r="AL35" i="21"/>
  <c r="AC37" i="21"/>
  <c r="AB39" i="21"/>
  <c r="AA41" i="21"/>
  <c r="AA45" i="21"/>
  <c r="Z47" i="21"/>
  <c r="AD49" i="21"/>
  <c r="Z51" i="21"/>
  <c r="Y51" i="21"/>
  <c r="W51" i="21"/>
  <c r="BE56" i="21"/>
  <c r="BA56" i="21"/>
  <c r="AI57" i="21"/>
  <c r="AL59" i="21"/>
  <c r="Z59" i="21"/>
  <c r="AK59" i="21"/>
  <c r="Y59" i="21"/>
  <c r="AP59" i="21"/>
  <c r="AB59" i="21"/>
  <c r="AO59" i="21"/>
  <c r="AA59" i="21"/>
  <c r="AM59" i="21"/>
  <c r="W59" i="21"/>
  <c r="AI59" i="21"/>
  <c r="W71" i="21"/>
  <c r="AS71" i="21"/>
  <c r="AT75" i="21"/>
  <c r="AH75" i="21"/>
  <c r="V75" i="21"/>
  <c r="AR75" i="21"/>
  <c r="AE75" i="21"/>
  <c r="AQ75" i="21"/>
  <c r="AD75" i="21"/>
  <c r="AL75" i="21"/>
  <c r="Y75" i="21"/>
  <c r="AW75" i="21"/>
  <c r="AF75" i="21"/>
  <c r="AV75" i="21"/>
  <c r="AC75" i="21"/>
  <c r="AS75" i="21"/>
  <c r="AA75" i="21"/>
  <c r="AN75" i="21"/>
  <c r="AS79" i="21"/>
  <c r="AG79" i="21"/>
  <c r="AW79" i="21"/>
  <c r="AJ79" i="21"/>
  <c r="W79" i="21"/>
  <c r="AV79" i="21"/>
  <c r="AI79" i="21"/>
  <c r="V79" i="21"/>
  <c r="AP79" i="21"/>
  <c r="AC79" i="21"/>
  <c r="AK79" i="21"/>
  <c r="AH79" i="21"/>
  <c r="AE79" i="21"/>
  <c r="AO79" i="21"/>
  <c r="AI83" i="21"/>
  <c r="Y103" i="21"/>
  <c r="X103" i="21"/>
  <c r="AA109" i="21"/>
  <c r="V109" i="21"/>
  <c r="W109" i="21"/>
  <c r="Z109" i="21"/>
  <c r="Y109" i="21"/>
  <c r="X109" i="21"/>
  <c r="AM134" i="21"/>
  <c r="AM138" i="21" s="1"/>
  <c r="AF21" i="21"/>
  <c r="AB29" i="21"/>
  <c r="V35" i="21"/>
  <c r="Z45" i="21"/>
  <c r="AA65" i="21"/>
  <c r="AK65" i="21"/>
  <c r="X65" i="21"/>
  <c r="AJ65" i="21"/>
  <c r="W65" i="21"/>
  <c r="AE65" i="21"/>
  <c r="AL65" i="21"/>
  <c r="AH65" i="21"/>
  <c r="BA97" i="21"/>
  <c r="BA6" i="21"/>
  <c r="AG21" i="21"/>
  <c r="X15" i="21"/>
  <c r="W17" i="21"/>
  <c r="AI21" i="21"/>
  <c r="X27" i="21"/>
  <c r="AD29" i="21"/>
  <c r="BA30" i="21"/>
  <c r="AJ33" i="21"/>
  <c r="X35" i="21"/>
  <c r="AN35" i="21"/>
  <c r="AD37" i="21"/>
  <c r="BA38" i="21"/>
  <c r="AE39" i="21"/>
  <c r="AB41" i="21"/>
  <c r="AB45" i="21"/>
  <c r="AA47" i="21"/>
  <c r="AE49" i="21"/>
  <c r="BE52" i="21"/>
  <c r="BA52" i="21"/>
  <c r="AJ59" i="21"/>
  <c r="V65" i="21"/>
  <c r="X71" i="21"/>
  <c r="X73" i="21"/>
  <c r="AO75" i="21"/>
  <c r="AQ79" i="21"/>
  <c r="AK83" i="21"/>
  <c r="X89" i="21"/>
  <c r="W89" i="21"/>
  <c r="V89" i="21"/>
  <c r="U97" i="21"/>
  <c r="AZ126" i="21"/>
  <c r="BC126" i="21"/>
  <c r="X138" i="21"/>
  <c r="W131" i="21"/>
  <c r="W141" i="21" s="1"/>
  <c r="BC130" i="21"/>
  <c r="AZ132" i="21"/>
  <c r="AN134" i="21"/>
  <c r="Z41" i="21"/>
  <c r="AC49" i="21"/>
  <c r="Y81" i="21"/>
  <c r="AD81" i="21"/>
  <c r="AC81" i="21"/>
  <c r="AJ81" i="21"/>
  <c r="W81" i="21"/>
  <c r="X81" i="21"/>
  <c r="V81" i="21"/>
  <c r="W101" i="21"/>
  <c r="Y101" i="21"/>
  <c r="X101" i="21"/>
  <c r="Z101" i="21"/>
  <c r="V101" i="21"/>
  <c r="AC101" i="21"/>
  <c r="AB101" i="21"/>
  <c r="AA101" i="21"/>
  <c r="W15" i="21"/>
  <c r="V17" i="21"/>
  <c r="AB7" i="21"/>
  <c r="BE12" i="21"/>
  <c r="Y15" i="21"/>
  <c r="X17" i="21"/>
  <c r="AD23" i="21"/>
  <c r="AA23" i="21"/>
  <c r="AG23" i="21"/>
  <c r="Y27" i="21"/>
  <c r="AE29" i="21"/>
  <c r="AQ35" i="21"/>
  <c r="AC47" i="21"/>
  <c r="AH57" i="21"/>
  <c r="V57" i="21"/>
  <c r="AG57" i="21"/>
  <c r="AE57" i="21"/>
  <c r="AD57" i="21"/>
  <c r="AB57" i="21"/>
  <c r="AK57" i="21"/>
  <c r="AN59" i="21"/>
  <c r="BE60" i="21"/>
  <c r="Y65" i="21"/>
  <c r="Y71" i="21"/>
  <c r="Y73" i="21"/>
  <c r="AP75" i="21"/>
  <c r="X79" i="21"/>
  <c r="AR79" i="21"/>
  <c r="Z81" i="21"/>
  <c r="AO83" i="21"/>
  <c r="AD101" i="21"/>
  <c r="X131" i="21"/>
  <c r="X141" i="21" s="1"/>
  <c r="AA133" i="21"/>
  <c r="Z133" i="21"/>
  <c r="AG133" i="21"/>
  <c r="AF133" i="21"/>
  <c r="AB133" i="21"/>
  <c r="AC133" i="21"/>
  <c r="Y133" i="21"/>
  <c r="X133" i="21"/>
  <c r="W133" i="21"/>
  <c r="Y7" i="21"/>
  <c r="AK35" i="21"/>
  <c r="Z39" i="21"/>
  <c r="BA106" i="21"/>
  <c r="AA7" i="21"/>
  <c r="AJ21" i="21"/>
  <c r="AK33" i="21"/>
  <c r="Y35" i="21"/>
  <c r="AE37" i="21"/>
  <c r="AF39" i="21"/>
  <c r="AC41" i="21"/>
  <c r="BB41" i="21" s="1"/>
  <c r="AC45" i="21"/>
  <c r="AC7" i="21"/>
  <c r="Z15" i="21"/>
  <c r="W21" i="21"/>
  <c r="AH23" i="21"/>
  <c r="BE28" i="21"/>
  <c r="AF29" i="21"/>
  <c r="AL33" i="21"/>
  <c r="Z35" i="21"/>
  <c r="AR35" i="21"/>
  <c r="AD45" i="21"/>
  <c r="BE48" i="21"/>
  <c r="AQ53" i="21"/>
  <c r="AE53" i="21"/>
  <c r="AP53" i="21"/>
  <c r="AD53" i="21"/>
  <c r="AS53" i="21"/>
  <c r="AC53" i="21"/>
  <c r="AR53" i="21"/>
  <c r="AB53" i="21"/>
  <c r="AN53" i="21"/>
  <c r="Z53" i="21"/>
  <c r="AI53" i="21"/>
  <c r="AQ59" i="21"/>
  <c r="Z65" i="21"/>
  <c r="BE66" i="21"/>
  <c r="AB71" i="21"/>
  <c r="Z73" i="21"/>
  <c r="W75" i="21"/>
  <c r="AU75" i="21"/>
  <c r="U77" i="21"/>
  <c r="Y79" i="21"/>
  <c r="AT79" i="21"/>
  <c r="AA81" i="21"/>
  <c r="BC97" i="21"/>
  <c r="BE97" i="21" s="1"/>
  <c r="AE101" i="21"/>
  <c r="V103" i="21"/>
  <c r="BE118" i="21"/>
  <c r="BA118" i="21"/>
  <c r="V125" i="21"/>
  <c r="AZ124" i="21"/>
  <c r="Y141" i="21"/>
  <c r="AG29" i="21"/>
  <c r="Y37" i="21"/>
  <c r="AJ37" i="21"/>
  <c r="X37" i="21"/>
  <c r="AH37" i="21"/>
  <c r="V37" i="21"/>
  <c r="AG37" i="21"/>
  <c r="AD39" i="21"/>
  <c r="AC39" i="21"/>
  <c r="AA39" i="21"/>
  <c r="AH39" i="21"/>
  <c r="AB47" i="21"/>
  <c r="AG47" i="21"/>
  <c r="AF47" i="21"/>
  <c r="AD47" i="21"/>
  <c r="AG49" i="21"/>
  <c r="AB49" i="21"/>
  <c r="AA49" i="21"/>
  <c r="Y49" i="21"/>
  <c r="AV83" i="21"/>
  <c r="AJ83" i="21"/>
  <c r="X83" i="21"/>
  <c r="AS83" i="21"/>
  <c r="AF83" i="21"/>
  <c r="AN83" i="21"/>
  <c r="Z83" i="21"/>
  <c r="AM83" i="21"/>
  <c r="Y83" i="21"/>
  <c r="AL83" i="21"/>
  <c r="W83" i="21"/>
  <c r="AU83" i="21"/>
  <c r="AG83" i="21"/>
  <c r="AT83" i="21"/>
  <c r="AA83" i="21"/>
  <c r="AR83" i="21"/>
  <c r="V83" i="21"/>
  <c r="AQ83" i="21"/>
  <c r="AP83" i="21"/>
  <c r="U91" i="21"/>
  <c r="Z141" i="21"/>
  <c r="AD133" i="21"/>
  <c r="U43" i="21"/>
  <c r="BE26" i="21"/>
  <c r="BA26" i="21"/>
  <c r="BA34" i="21"/>
  <c r="AI37" i="21"/>
  <c r="AI39" i="21"/>
  <c r="W41" i="21"/>
  <c r="V41" i="21"/>
  <c r="AI47" i="21"/>
  <c r="AZ77" i="21"/>
  <c r="W113" i="21"/>
  <c r="AC113" i="21"/>
  <c r="AB113" i="21"/>
  <c r="AA113" i="21"/>
  <c r="V113" i="21"/>
  <c r="AD113" i="21"/>
  <c r="Z113" i="21"/>
  <c r="Y113" i="21"/>
  <c r="X113" i="21"/>
  <c r="AA29" i="21"/>
  <c r="Z29" i="21"/>
  <c r="AJ29" i="21"/>
  <c r="X29" i="21"/>
  <c r="AI29" i="21"/>
  <c r="AJ39" i="21"/>
  <c r="AJ47" i="21"/>
  <c r="AD65" i="21"/>
  <c r="U67" i="21"/>
  <c r="BE72" i="21"/>
  <c r="AF81" i="21"/>
  <c r="AA119" i="21"/>
  <c r="AE119" i="21"/>
  <c r="AD119" i="21"/>
  <c r="V119" i="21"/>
  <c r="AJ119" i="21"/>
  <c r="AI119" i="21"/>
  <c r="AC119" i="21"/>
  <c r="AG119" i="21"/>
  <c r="AF119" i="21"/>
  <c r="AB119" i="21"/>
  <c r="Z119" i="21"/>
  <c r="W119" i="21"/>
  <c r="V123" i="21"/>
  <c r="AC123" i="21"/>
  <c r="AB123" i="21"/>
  <c r="AD123" i="21"/>
  <c r="AA123" i="21"/>
  <c r="Z123" i="21"/>
  <c r="Y123" i="21"/>
  <c r="AB129" i="21"/>
  <c r="AD129" i="21"/>
  <c r="AC129" i="21"/>
  <c r="Z129" i="21"/>
  <c r="Y129" i="21"/>
  <c r="AM129" i="21"/>
  <c r="X129" i="21"/>
  <c r="AI129" i="21"/>
  <c r="AL129" i="21"/>
  <c r="AK129" i="21"/>
  <c r="AJ129" i="21"/>
  <c r="AH129" i="21"/>
  <c r="AE129" i="21"/>
  <c r="BA130" i="21"/>
  <c r="BE130" i="21"/>
  <c r="N138" i="21"/>
  <c r="AC27" i="21"/>
  <c r="AB27" i="21"/>
  <c r="Z27" i="21"/>
  <c r="V39" i="21"/>
  <c r="AI45" i="21"/>
  <c r="W45" i="21"/>
  <c r="Y45" i="21"/>
  <c r="X45" i="21"/>
  <c r="AH45" i="21"/>
  <c r="AJ45" i="21"/>
  <c r="V49" i="21"/>
  <c r="BE62" i="21"/>
  <c r="BA62" i="21"/>
  <c r="BE64" i="21"/>
  <c r="AF65" i="21"/>
  <c r="AG81" i="21"/>
  <c r="AB83" i="21"/>
  <c r="BE100" i="21"/>
  <c r="AA127" i="21"/>
  <c r="Z127" i="21"/>
  <c r="Y127" i="21"/>
  <c r="AB127" i="21"/>
  <c r="AE7" i="21"/>
  <c r="AF7" i="21"/>
  <c r="AG7" i="21"/>
  <c r="V29" i="21"/>
  <c r="AP35" i="21"/>
  <c r="AD35" i="21"/>
  <c r="AO35" i="21"/>
  <c r="AC35" i="21"/>
  <c r="AM35" i="21"/>
  <c r="AA35" i="21"/>
  <c r="W37" i="21"/>
  <c r="W39" i="21"/>
  <c r="V47" i="21"/>
  <c r="W49" i="21"/>
  <c r="AH81" i="21"/>
  <c r="AC83" i="21"/>
  <c r="AB93" i="21"/>
  <c r="W93" i="21"/>
  <c r="AC93" i="21"/>
  <c r="BB93" i="21" s="1"/>
  <c r="AA93" i="21"/>
  <c r="V93" i="21"/>
  <c r="Y93" i="21"/>
  <c r="X93" i="21"/>
  <c r="BE108" i="21"/>
  <c r="AA138" i="21"/>
  <c r="AA125" i="21"/>
  <c r="Z125" i="21"/>
  <c r="Y125" i="21"/>
  <c r="X125" i="21"/>
  <c r="W129" i="21"/>
  <c r="AE134" i="21"/>
  <c r="AL134" i="21"/>
  <c r="AL138" i="21" s="1"/>
  <c r="Y134" i="21"/>
  <c r="Y138" i="21" s="1"/>
  <c r="AK134" i="21"/>
  <c r="AK138" i="21" s="1"/>
  <c r="J137" i="21"/>
  <c r="AH134" i="21"/>
  <c r="AH138" i="21" s="1"/>
  <c r="AG134" i="21"/>
  <c r="AG138" i="21" s="1"/>
  <c r="AF134" i="21"/>
  <c r="AP134" i="21"/>
  <c r="AA134" i="21"/>
  <c r="AJ134" i="21"/>
  <c r="AJ138" i="21" s="1"/>
  <c r="AI134" i="21"/>
  <c r="AI138" i="21" s="1"/>
  <c r="AD134" i="21"/>
  <c r="AC134" i="21"/>
  <c r="U120" i="21"/>
  <c r="U138" i="21" s="1"/>
  <c r="BE147" i="21"/>
  <c r="AB85" i="21"/>
  <c r="AA85" i="21"/>
  <c r="AL85" i="21"/>
  <c r="X85" i="21"/>
  <c r="AK85" i="21"/>
  <c r="W85" i="21"/>
  <c r="AJ85" i="21"/>
  <c r="V85" i="21"/>
  <c r="AF85" i="21"/>
  <c r="AZ128" i="21"/>
  <c r="BB124" i="21"/>
  <c r="BC124" i="21" s="1"/>
  <c r="AT163" i="21"/>
  <c r="BE74" i="21"/>
  <c r="AC111" i="21"/>
  <c r="Z111" i="21"/>
  <c r="Y111" i="21"/>
  <c r="AE111" i="21"/>
  <c r="AD111" i="21"/>
  <c r="AB111" i="21"/>
  <c r="V111" i="21"/>
  <c r="BE50" i="21"/>
  <c r="BA74" i="21"/>
  <c r="Y85" i="21"/>
  <c r="BE153" i="21"/>
  <c r="BE116" i="21"/>
  <c r="BB128" i="21"/>
  <c r="BC128" i="21" s="1"/>
  <c r="AA141" i="21"/>
  <c r="AB158" i="21"/>
  <c r="Z158" i="21"/>
  <c r="Y158" i="21"/>
  <c r="W158" i="21"/>
  <c r="AK91" i="21"/>
  <c r="Y91" i="21"/>
  <c r="AD91" i="21"/>
  <c r="AF91" i="21"/>
  <c r="AB95" i="21"/>
  <c r="Y95" i="21"/>
  <c r="W99" i="21"/>
  <c r="X99" i="21"/>
  <c r="V99" i="21"/>
  <c r="U117" i="21"/>
  <c r="AQ163" i="21"/>
  <c r="AQ154" i="21"/>
  <c r="AE154" i="21"/>
  <c r="AO154" i="21"/>
  <c r="AC154" i="21"/>
  <c r="AX154" i="21"/>
  <c r="AX159" i="21" s="1"/>
  <c r="AX165" i="21" s="1"/>
  <c r="AL154" i="21"/>
  <c r="AL159" i="21" s="1"/>
  <c r="AL165" i="21" s="1"/>
  <c r="Z154" i="21"/>
  <c r="AW154" i="21"/>
  <c r="AW159" i="21" s="1"/>
  <c r="AW165" i="21" s="1"/>
  <c r="AK154" i="21"/>
  <c r="Y154" i="21"/>
  <c r="AV154" i="21"/>
  <c r="AJ154" i="21"/>
  <c r="X154" i="21"/>
  <c r="AR154" i="21"/>
  <c r="AF154" i="21"/>
  <c r="AY154" i="21"/>
  <c r="AA154" i="21"/>
  <c r="AU154" i="21"/>
  <c r="W154" i="21"/>
  <c r="AT154" i="21"/>
  <c r="V154" i="21"/>
  <c r="AI154" i="21"/>
  <c r="AH154" i="21"/>
  <c r="AG91" i="21"/>
  <c r="AH115" i="21"/>
  <c r="V115" i="21"/>
  <c r="W115" i="21"/>
  <c r="AI115" i="21"/>
  <c r="AG115" i="21"/>
  <c r="AG125" i="21"/>
  <c r="AD125" i="21"/>
  <c r="AC125" i="21"/>
  <c r="AB154" i="21"/>
  <c r="AB159" i="21" s="1"/>
  <c r="AB165" i="21" s="1"/>
  <c r="AD87" i="21"/>
  <c r="AG87" i="21"/>
  <c r="AF87" i="21"/>
  <c r="AH91" i="21"/>
  <c r="X121" i="21"/>
  <c r="W121" i="21"/>
  <c r="AZ122" i="21"/>
  <c r="V131" i="21"/>
  <c r="AS163" i="21"/>
  <c r="BC145" i="21"/>
  <c r="AD154" i="21"/>
  <c r="AD159" i="21" s="1"/>
  <c r="AD165" i="21" s="1"/>
  <c r="BB157" i="21"/>
  <c r="BC157" i="21" s="1"/>
  <c r="AV163" i="21"/>
  <c r="AY140" i="21"/>
  <c r="AX163" i="21"/>
  <c r="AX166" i="21" s="1"/>
  <c r="AX168" i="21" s="1"/>
  <c r="AX140" i="21"/>
  <c r="BE110" i="21"/>
  <c r="AC146" i="21"/>
  <c r="V158" i="21"/>
  <c r="AH158" i="21"/>
  <c r="AT158" i="21"/>
  <c r="X158" i="21"/>
  <c r="AJ158" i="21"/>
  <c r="AV158" i="21"/>
  <c r="AA158" i="21"/>
  <c r="AM158" i="21"/>
  <c r="AY158" i="21"/>
  <c r="W146" i="21"/>
  <c r="AZ157" i="21"/>
  <c r="AC158" i="21"/>
  <c r="AO158" i="21"/>
  <c r="Z146" i="21"/>
  <c r="AE158" i="21"/>
  <c r="AQ158" i="21"/>
  <c r="AF158" i="21"/>
  <c r="AR158" i="21"/>
  <c r="AG158" i="21"/>
  <c r="BE120" i="21" l="1"/>
  <c r="BC43" i="21"/>
  <c r="AU139" i="21"/>
  <c r="AU164" i="21" s="1"/>
  <c r="Z159" i="21"/>
  <c r="Z165" i="21" s="1"/>
  <c r="U69" i="21"/>
  <c r="Y159" i="21"/>
  <c r="Y165" i="21" s="1"/>
  <c r="AG159" i="21"/>
  <c r="AG165" i="21" s="1"/>
  <c r="BB123" i="21"/>
  <c r="AZ69" i="27"/>
  <c r="AZ117" i="27"/>
  <c r="AZ79" i="27"/>
  <c r="AP159" i="21"/>
  <c r="AP165" i="21" s="1"/>
  <c r="AN159" i="21"/>
  <c r="AN165" i="21" s="1"/>
  <c r="AZ69" i="21"/>
  <c r="BA69" i="21" s="1"/>
  <c r="AR159" i="21"/>
  <c r="AR165" i="21" s="1"/>
  <c r="AA135" i="21"/>
  <c r="AF159" i="21"/>
  <c r="AF165" i="21" s="1"/>
  <c r="AZ121" i="21"/>
  <c r="AZ99" i="27"/>
  <c r="V159" i="21"/>
  <c r="BB23" i="21"/>
  <c r="BC23" i="21" s="1"/>
  <c r="BB21" i="21"/>
  <c r="AZ67" i="21"/>
  <c r="AW139" i="21"/>
  <c r="AW164" i="21" s="1"/>
  <c r="AW166" i="21" s="1"/>
  <c r="AW168" i="21" s="1"/>
  <c r="AZ87" i="21"/>
  <c r="BA87" i="21" s="1"/>
  <c r="AV159" i="21"/>
  <c r="AV165" i="21" s="1"/>
  <c r="AZ29" i="27"/>
  <c r="AL148" i="27"/>
  <c r="AL150" i="27" s="1"/>
  <c r="AL152" i="27" s="1"/>
  <c r="AZ115" i="27"/>
  <c r="AZ87" i="27"/>
  <c r="AZ77" i="27"/>
  <c r="AZ75" i="27"/>
  <c r="AZ43" i="27"/>
  <c r="AZ138" i="27"/>
  <c r="BB132" i="27"/>
  <c r="AZ91" i="27"/>
  <c r="AZ95" i="27"/>
  <c r="AZ47" i="27"/>
  <c r="AE132" i="27"/>
  <c r="AZ81" i="27"/>
  <c r="Z148" i="27"/>
  <c r="Z150" i="27" s="1"/>
  <c r="Z152" i="27" s="1"/>
  <c r="Z132" i="27"/>
  <c r="AZ7" i="27"/>
  <c r="AZ9" i="27"/>
  <c r="AW131" i="27"/>
  <c r="AQ148" i="27"/>
  <c r="AQ150" i="27" s="1"/>
  <c r="AQ152" i="27" s="1"/>
  <c r="AZ27" i="27"/>
  <c r="AZ41" i="27"/>
  <c r="AZ63" i="27"/>
  <c r="AE150" i="27"/>
  <c r="AE152" i="27" s="1"/>
  <c r="AW130" i="27"/>
  <c r="AX130" i="27" s="1"/>
  <c r="AZ33" i="27"/>
  <c r="AZ49" i="27"/>
  <c r="AZ55" i="27"/>
  <c r="AZ83" i="27"/>
  <c r="AZ101" i="27"/>
  <c r="AZ142" i="27"/>
  <c r="AW127" i="27"/>
  <c r="AX127" i="27" s="1"/>
  <c r="AZ89" i="27"/>
  <c r="AU127" i="27"/>
  <c r="AV127" i="27" s="1"/>
  <c r="AZ31" i="27"/>
  <c r="AZ19" i="27"/>
  <c r="AZ25" i="27"/>
  <c r="R149" i="27"/>
  <c r="AU143" i="27"/>
  <c r="AZ85" i="27"/>
  <c r="AU130" i="27"/>
  <c r="AV130" i="27" s="1"/>
  <c r="Y149" i="27"/>
  <c r="AW149" i="27" s="1"/>
  <c r="AW143" i="27"/>
  <c r="AX143" i="27" s="1"/>
  <c r="S148" i="27"/>
  <c r="S150" i="27" s="1"/>
  <c r="S152" i="27" s="1"/>
  <c r="S132" i="27"/>
  <c r="U148" i="27"/>
  <c r="U150" i="27" s="1"/>
  <c r="U152" i="27" s="1"/>
  <c r="U132" i="27"/>
  <c r="AZ37" i="27"/>
  <c r="AZ125" i="27"/>
  <c r="AB148" i="27"/>
  <c r="AB150" i="27" s="1"/>
  <c r="AB152" i="27" s="1"/>
  <c r="AB132" i="27"/>
  <c r="AN148" i="27"/>
  <c r="AN150" i="27" s="1"/>
  <c r="AN152" i="27" s="1"/>
  <c r="AN132" i="27"/>
  <c r="AZ15" i="27"/>
  <c r="AD132" i="27"/>
  <c r="AD147" i="27"/>
  <c r="AD150" i="27" s="1"/>
  <c r="AD152" i="27" s="1"/>
  <c r="AJ148" i="27"/>
  <c r="AJ150" i="27" s="1"/>
  <c r="AJ152" i="27" s="1"/>
  <c r="AJ132" i="27"/>
  <c r="AZ97" i="27"/>
  <c r="AH150" i="27"/>
  <c r="AH152" i="27" s="1"/>
  <c r="Y148" i="27"/>
  <c r="Y132" i="27"/>
  <c r="AZ35" i="27"/>
  <c r="AO148" i="27"/>
  <c r="AO150" i="27" s="1"/>
  <c r="AO152" i="27" s="1"/>
  <c r="AO132" i="27"/>
  <c r="AC150" i="27"/>
  <c r="AC152" i="27" s="1"/>
  <c r="AG148" i="27"/>
  <c r="AG150" i="27" s="1"/>
  <c r="AG152" i="27" s="1"/>
  <c r="AG132" i="27"/>
  <c r="AZ59" i="27"/>
  <c r="AZ73" i="27"/>
  <c r="R147" i="27"/>
  <c r="AZ119" i="27"/>
  <c r="AA132" i="27"/>
  <c r="T148" i="27"/>
  <c r="T150" i="27" s="1"/>
  <c r="T152" i="27" s="1"/>
  <c r="T132" i="27"/>
  <c r="AZ71" i="27"/>
  <c r="AR148" i="27"/>
  <c r="AR150" i="27" s="1"/>
  <c r="AR152" i="27" s="1"/>
  <c r="AR132" i="27"/>
  <c r="AZ105" i="27"/>
  <c r="AZ107" i="27"/>
  <c r="AZ140" i="27"/>
  <c r="V132" i="27"/>
  <c r="R131" i="27"/>
  <c r="AK148" i="27"/>
  <c r="AK150" i="27" s="1"/>
  <c r="AK152" i="27" s="1"/>
  <c r="AK132" i="27"/>
  <c r="AZ53" i="27"/>
  <c r="AZ13" i="27"/>
  <c r="AZ17" i="27"/>
  <c r="X148" i="27"/>
  <c r="AZ61" i="27"/>
  <c r="X132" i="27"/>
  <c r="AA150" i="27"/>
  <c r="AA152" i="27" s="1"/>
  <c r="AZ21" i="27"/>
  <c r="AZ57" i="27"/>
  <c r="AZ103" i="27"/>
  <c r="AZ109" i="27"/>
  <c r="V150" i="27"/>
  <c r="V152" i="27" s="1"/>
  <c r="W132" i="27"/>
  <c r="AI148" i="27"/>
  <c r="AI150" i="27" s="1"/>
  <c r="AI152" i="27" s="1"/>
  <c r="AI132" i="27"/>
  <c r="AF148" i="27"/>
  <c r="AF150" i="27" s="1"/>
  <c r="AF152" i="27" s="1"/>
  <c r="AF132" i="27"/>
  <c r="AZ123" i="27"/>
  <c r="AP148" i="27"/>
  <c r="AP150" i="27" s="1"/>
  <c r="AP152" i="27" s="1"/>
  <c r="AP132" i="27"/>
  <c r="AZ45" i="27"/>
  <c r="AM148" i="27"/>
  <c r="AM150" i="27" s="1"/>
  <c r="AM152" i="27" s="1"/>
  <c r="AM132" i="27"/>
  <c r="AZ121" i="27"/>
  <c r="AZ111" i="27"/>
  <c r="AZ113" i="27"/>
  <c r="AH132" i="27"/>
  <c r="AZ51" i="27"/>
  <c r="AZ39" i="27"/>
  <c r="AC132" i="27"/>
  <c r="AZ126" i="27"/>
  <c r="W150" i="27"/>
  <c r="W152" i="27" s="1"/>
  <c r="BB91" i="21"/>
  <c r="AW140" i="21"/>
  <c r="AZ127" i="21"/>
  <c r="BA127" i="21" s="1"/>
  <c r="AC138" i="21"/>
  <c r="AZ51" i="21"/>
  <c r="BB33" i="21"/>
  <c r="BC33" i="21" s="1"/>
  <c r="AZ43" i="21"/>
  <c r="BA43" i="21" s="1"/>
  <c r="AZ53" i="21"/>
  <c r="BA53" i="21" s="1"/>
  <c r="AH159" i="21"/>
  <c r="AH165" i="21" s="1"/>
  <c r="AZ59" i="21"/>
  <c r="BA59" i="21" s="1"/>
  <c r="AD135" i="21"/>
  <c r="BB61" i="21"/>
  <c r="BC61" i="21" s="1"/>
  <c r="BB87" i="21"/>
  <c r="BC87" i="21" s="1"/>
  <c r="BE87" i="21" s="1"/>
  <c r="AI159" i="21"/>
  <c r="AI165" i="21" s="1"/>
  <c r="AE135" i="21"/>
  <c r="BB125" i="21"/>
  <c r="AK159" i="21"/>
  <c r="AK165" i="21" s="1"/>
  <c r="BB85" i="21"/>
  <c r="BC85" i="21" s="1"/>
  <c r="BE43" i="21"/>
  <c r="BC127" i="21"/>
  <c r="BE127" i="21" s="1"/>
  <c r="BC95" i="21"/>
  <c r="Z135" i="21"/>
  <c r="BB45" i="21"/>
  <c r="BC45" i="21" s="1"/>
  <c r="AU159" i="21"/>
  <c r="AU165" i="21" s="1"/>
  <c r="BB57" i="21"/>
  <c r="AZ71" i="21"/>
  <c r="BA71" i="21" s="1"/>
  <c r="BC121" i="21"/>
  <c r="BE121" i="21" s="1"/>
  <c r="BB115" i="21"/>
  <c r="BC115" i="21" s="1"/>
  <c r="AA159" i="21"/>
  <c r="AA165" i="21" s="1"/>
  <c r="BB27" i="21"/>
  <c r="BC27" i="21" s="1"/>
  <c r="BB59" i="21"/>
  <c r="BC59" i="21" s="1"/>
  <c r="AM163" i="21"/>
  <c r="AG163" i="21"/>
  <c r="BA121" i="21"/>
  <c r="BC91" i="21"/>
  <c r="BA51" i="21"/>
  <c r="AU140" i="21"/>
  <c r="V165" i="21"/>
  <c r="AZ89" i="21"/>
  <c r="U89" i="21"/>
  <c r="BC89" i="21"/>
  <c r="AL163" i="21"/>
  <c r="V141" i="21"/>
  <c r="BC141" i="21" s="1"/>
  <c r="BC131" i="21"/>
  <c r="U131" i="21"/>
  <c r="AZ131" i="21"/>
  <c r="AO159" i="21"/>
  <c r="AO165" i="21" s="1"/>
  <c r="BB158" i="21"/>
  <c r="BC158" i="21" s="1"/>
  <c r="BE157" i="21"/>
  <c r="W135" i="21"/>
  <c r="X159" i="21"/>
  <c r="X165" i="21" s="1"/>
  <c r="AZ93" i="21"/>
  <c r="U93" i="21"/>
  <c r="BC93" i="21"/>
  <c r="AZ91" i="21"/>
  <c r="W159" i="21"/>
  <c r="W165" i="21" s="1"/>
  <c r="BG159" i="21"/>
  <c r="AJ135" i="21"/>
  <c r="AJ139" i="21" s="1"/>
  <c r="AJ164" i="21" s="1"/>
  <c r="AJ159" i="21"/>
  <c r="AJ165" i="21" s="1"/>
  <c r="AC135" i="21"/>
  <c r="BB134" i="21"/>
  <c r="AL135" i="21"/>
  <c r="AL139" i="21" s="1"/>
  <c r="AL164" i="21" s="1"/>
  <c r="BB35" i="21"/>
  <c r="BC35" i="21" s="1"/>
  <c r="BB119" i="21"/>
  <c r="BC119" i="21" s="1"/>
  <c r="AZ37" i="21"/>
  <c r="U37" i="21"/>
  <c r="U103" i="21"/>
  <c r="AZ103" i="21"/>
  <c r="BC103" i="21"/>
  <c r="BB7" i="21"/>
  <c r="BC7" i="21" s="1"/>
  <c r="U57" i="21"/>
  <c r="BC57" i="21"/>
  <c r="AZ57" i="21"/>
  <c r="AZ81" i="21"/>
  <c r="U81" i="21"/>
  <c r="AZ45" i="21"/>
  <c r="BC51" i="21"/>
  <c r="AT139" i="21"/>
  <c r="AC163" i="21"/>
  <c r="U17" i="21"/>
  <c r="BC17" i="21"/>
  <c r="AZ17" i="21"/>
  <c r="V172" i="21"/>
  <c r="AZ75" i="21"/>
  <c r="U75" i="21"/>
  <c r="AZ27" i="21"/>
  <c r="U27" i="21"/>
  <c r="AZ154" i="21"/>
  <c r="BC99" i="21"/>
  <c r="AZ99" i="21"/>
  <c r="U99" i="21"/>
  <c r="U113" i="21"/>
  <c r="AZ113" i="21"/>
  <c r="BB47" i="21"/>
  <c r="BB79" i="21"/>
  <c r="AZ21" i="21"/>
  <c r="BC21" i="21"/>
  <c r="U21" i="21"/>
  <c r="AZ9" i="21"/>
  <c r="U9" i="21"/>
  <c r="BB19" i="21"/>
  <c r="BC19" i="21" s="1"/>
  <c r="AM135" i="21"/>
  <c r="AM139" i="21" s="1"/>
  <c r="AJ163" i="21"/>
  <c r="AZ119" i="21"/>
  <c r="U119" i="21"/>
  <c r="AN138" i="21"/>
  <c r="AN135" i="21"/>
  <c r="AN139" i="21" s="1"/>
  <c r="AN164" i="21" s="1"/>
  <c r="AT159" i="21"/>
  <c r="AT165" i="21" s="1"/>
  <c r="BB111" i="21"/>
  <c r="BC111" i="21" s="1"/>
  <c r="BB83" i="21"/>
  <c r="BC83" i="21" s="1"/>
  <c r="AZ29" i="21"/>
  <c r="U29" i="21"/>
  <c r="AZ39" i="21"/>
  <c r="U39" i="21"/>
  <c r="AZ23" i="21"/>
  <c r="BB81" i="21"/>
  <c r="BC81" i="21" s="1"/>
  <c r="BE132" i="21"/>
  <c r="BB75" i="21"/>
  <c r="BC75" i="21" s="1"/>
  <c r="AZ63" i="21"/>
  <c r="U63" i="21"/>
  <c r="AB135" i="21"/>
  <c r="BC105" i="21"/>
  <c r="U105" i="21"/>
  <c r="AZ105" i="21"/>
  <c r="BB107" i="21"/>
  <c r="AB163" i="21"/>
  <c r="U61" i="21"/>
  <c r="AZ61" i="21"/>
  <c r="AI163" i="21"/>
  <c r="AZ129" i="21"/>
  <c r="U31" i="21"/>
  <c r="AZ31" i="21"/>
  <c r="BC31" i="21"/>
  <c r="BE145" i="21"/>
  <c r="AP138" i="21"/>
  <c r="AP135" i="21"/>
  <c r="AP139" i="21" s="1"/>
  <c r="AP164" i="21" s="1"/>
  <c r="AG139" i="21"/>
  <c r="AG164" i="21" s="1"/>
  <c r="U83" i="21"/>
  <c r="AZ83" i="21"/>
  <c r="U79" i="21"/>
  <c r="BC79" i="21"/>
  <c r="AZ79" i="21"/>
  <c r="BB37" i="21"/>
  <c r="BC37" i="21" s="1"/>
  <c r="AV139" i="21"/>
  <c r="AS139" i="21"/>
  <c r="BB55" i="21"/>
  <c r="BC55" i="21" s="1"/>
  <c r="Y163" i="21"/>
  <c r="AZ95" i="21"/>
  <c r="AF135" i="21"/>
  <c r="AF139" i="21" s="1"/>
  <c r="AF164" i="21" s="1"/>
  <c r="U123" i="21"/>
  <c r="BC123" i="21"/>
  <c r="AZ123" i="21"/>
  <c r="BB113" i="21"/>
  <c r="BC113" i="21" s="1"/>
  <c r="AZ133" i="21"/>
  <c r="BB101" i="21"/>
  <c r="BC101" i="21" s="1"/>
  <c r="U109" i="21"/>
  <c r="BC109" i="21"/>
  <c r="AZ109" i="21"/>
  <c r="BB29" i="21"/>
  <c r="BC29" i="21" s="1"/>
  <c r="U15" i="21"/>
  <c r="BC15" i="21"/>
  <c r="AZ15" i="21"/>
  <c r="AQ139" i="21"/>
  <c r="AG135" i="21"/>
  <c r="AA163" i="21"/>
  <c r="BC47" i="21"/>
  <c r="AZ47" i="21"/>
  <c r="U47" i="21"/>
  <c r="AE139" i="21"/>
  <c r="AE164" i="21" s="1"/>
  <c r="BE124" i="21"/>
  <c r="BA124" i="21"/>
  <c r="BB53" i="21"/>
  <c r="BC53" i="21" s="1"/>
  <c r="U101" i="21"/>
  <c r="AZ101" i="21"/>
  <c r="BC73" i="21"/>
  <c r="AZ73" i="21"/>
  <c r="U73" i="21"/>
  <c r="V139" i="21"/>
  <c r="AZ7" i="21"/>
  <c r="U7" i="21"/>
  <c r="BE11" i="21"/>
  <c r="BA11" i="21"/>
  <c r="BC107" i="21"/>
  <c r="U107" i="21"/>
  <c r="AZ107" i="21"/>
  <c r="AZ85" i="21"/>
  <c r="U85" i="21"/>
  <c r="AE138" i="21"/>
  <c r="BE77" i="21"/>
  <c r="BA77" i="21"/>
  <c r="U125" i="21"/>
  <c r="AZ125" i="21"/>
  <c r="BC125" i="21"/>
  <c r="AA139" i="21"/>
  <c r="AA164" i="21" s="1"/>
  <c r="X163" i="21"/>
  <c r="AZ35" i="21"/>
  <c r="U35" i="21"/>
  <c r="Z139" i="21"/>
  <c r="Z164" i="21" s="1"/>
  <c r="AR139" i="21"/>
  <c r="AK135" i="21"/>
  <c r="AK139" i="21" s="1"/>
  <c r="AK164" i="21" s="1"/>
  <c r="AH163" i="21"/>
  <c r="AZ158" i="21"/>
  <c r="AH135" i="21"/>
  <c r="AH139" i="21" s="1"/>
  <c r="AD138" i="21"/>
  <c r="U49" i="21"/>
  <c r="BC49" i="21"/>
  <c r="AZ49" i="21"/>
  <c r="BB129" i="21"/>
  <c r="BC129" i="21" s="1"/>
  <c r="BB39" i="21"/>
  <c r="BC39" i="21" s="1"/>
  <c r="BB133" i="21"/>
  <c r="BC133" i="21" s="1"/>
  <c r="BB49" i="21"/>
  <c r="AZ25" i="21"/>
  <c r="BC25" i="21"/>
  <c r="U25" i="21"/>
  <c r="AB139" i="21"/>
  <c r="AB164" i="21" s="1"/>
  <c r="AZ146" i="21"/>
  <c r="Z163" i="21"/>
  <c r="AI135" i="21"/>
  <c r="AI139" i="21" s="1"/>
  <c r="AI164" i="21" s="1"/>
  <c r="AZ115" i="21"/>
  <c r="U115" i="21"/>
  <c r="AE159" i="21"/>
  <c r="AE165" i="21" s="1"/>
  <c r="AZ111" i="21"/>
  <c r="U111" i="21"/>
  <c r="AK163" i="21"/>
  <c r="BE67" i="21"/>
  <c r="BA67" i="21"/>
  <c r="BC41" i="21"/>
  <c r="AZ41" i="21"/>
  <c r="U41" i="21"/>
  <c r="BE126" i="21"/>
  <c r="BA126" i="21"/>
  <c r="AZ65" i="21"/>
  <c r="U65" i="21"/>
  <c r="AD139" i="21"/>
  <c r="AD164" i="21" s="1"/>
  <c r="BB9" i="21"/>
  <c r="BC9" i="21" s="1"/>
  <c r="U19" i="21"/>
  <c r="AZ19" i="21"/>
  <c r="AO135" i="21"/>
  <c r="AO139" i="21" s="1"/>
  <c r="AZ55" i="21"/>
  <c r="U55" i="21"/>
  <c r="T140" i="21"/>
  <c r="T142" i="21" s="1"/>
  <c r="AY159" i="21"/>
  <c r="AY165" i="21" s="1"/>
  <c r="AY166" i="21" s="1"/>
  <c r="AY168" i="21" s="1"/>
  <c r="BB154" i="21"/>
  <c r="BC154" i="21" s="1"/>
  <c r="AC159" i="21"/>
  <c r="AC165" i="21" s="1"/>
  <c r="BB146" i="21"/>
  <c r="BC146" i="21" s="1"/>
  <c r="BE122" i="21"/>
  <c r="BA122" i="21"/>
  <c r="AQ159" i="21"/>
  <c r="AQ165" i="21" s="1"/>
  <c r="BA128" i="21"/>
  <c r="BE128" i="21"/>
  <c r="AZ134" i="21"/>
  <c r="Y135" i="21"/>
  <c r="Y139" i="21" s="1"/>
  <c r="X135" i="21"/>
  <c r="X139" i="21" s="1"/>
  <c r="BC134" i="21"/>
  <c r="BB65" i="21"/>
  <c r="BC65" i="21" s="1"/>
  <c r="AZ33" i="21"/>
  <c r="U33" i="21"/>
  <c r="AF138" i="21"/>
  <c r="BB71" i="21"/>
  <c r="BC71" i="21" s="1"/>
  <c r="BE71" i="21" s="1"/>
  <c r="W139" i="21"/>
  <c r="BB63" i="21"/>
  <c r="BC63" i="21" s="1"/>
  <c r="AO163" i="21"/>
  <c r="T166" i="21"/>
  <c r="T168" i="21" s="1"/>
  <c r="BE69" i="21" l="1"/>
  <c r="R132" i="27"/>
  <c r="AU132" i="27" s="1"/>
  <c r="AV132" i="27" s="1"/>
  <c r="AU166" i="21"/>
  <c r="AU168" i="21" s="1"/>
  <c r="BE51" i="21"/>
  <c r="BE59" i="21"/>
  <c r="AW147" i="27"/>
  <c r="AX147" i="27" s="1"/>
  <c r="AW132" i="27"/>
  <c r="R148" i="27"/>
  <c r="R150" i="27" s="1"/>
  <c r="AX131" i="27"/>
  <c r="AU131" i="27"/>
  <c r="AV131" i="27" s="1"/>
  <c r="AU147" i="27"/>
  <c r="AX149" i="27"/>
  <c r="AU149" i="27"/>
  <c r="Y150" i="27"/>
  <c r="AW148" i="27"/>
  <c r="BB144" i="27"/>
  <c r="AZ130" i="27"/>
  <c r="AZ127" i="27"/>
  <c r="X150" i="27"/>
  <c r="X152" i="27" s="1"/>
  <c r="BC159" i="21"/>
  <c r="BG160" i="21" s="1"/>
  <c r="BE53" i="21"/>
  <c r="Z140" i="21"/>
  <c r="Z166" i="21"/>
  <c r="Z168" i="21" s="1"/>
  <c r="AH164" i="21"/>
  <c r="AH166" i="21" s="1"/>
  <c r="AH168" i="21" s="1"/>
  <c r="AH140" i="21"/>
  <c r="Y164" i="21"/>
  <c r="Y166" i="21" s="1"/>
  <c r="Y168" i="21" s="1"/>
  <c r="Y140" i="21"/>
  <c r="AO164" i="21"/>
  <c r="AO166" i="21" s="1"/>
  <c r="AO168" i="21" s="1"/>
  <c r="AO140" i="21"/>
  <c r="AM164" i="21"/>
  <c r="AM166" i="21" s="1"/>
  <c r="AM168" i="21" s="1"/>
  <c r="AM140" i="21"/>
  <c r="X164" i="21"/>
  <c r="X166" i="21" s="1"/>
  <c r="X168" i="21" s="1"/>
  <c r="X140" i="21"/>
  <c r="BE158" i="21"/>
  <c r="BE123" i="21"/>
  <c r="BA123" i="21"/>
  <c r="BA111" i="21"/>
  <c r="BE111" i="21"/>
  <c r="BE101" i="21"/>
  <c r="BA101" i="21"/>
  <c r="BE134" i="21"/>
  <c r="BA134" i="21"/>
  <c r="BE133" i="21"/>
  <c r="U139" i="21"/>
  <c r="U140" i="21" s="1"/>
  <c r="BE15" i="21"/>
  <c r="BA15" i="21"/>
  <c r="BA23" i="21"/>
  <c r="BE23" i="21"/>
  <c r="BE9" i="21"/>
  <c r="BA9" i="21"/>
  <c r="BE154" i="21"/>
  <c r="BA37" i="21"/>
  <c r="BE37" i="21"/>
  <c r="BE91" i="21"/>
  <c r="BA91" i="21"/>
  <c r="AG140" i="21"/>
  <c r="AF163" i="21"/>
  <c r="AF166" i="21" s="1"/>
  <c r="AF168" i="21" s="1"/>
  <c r="AF140" i="21"/>
  <c r="BE19" i="21"/>
  <c r="BA19" i="21"/>
  <c r="BE41" i="21"/>
  <c r="BA41" i="21"/>
  <c r="BA115" i="21"/>
  <c r="BE115" i="21"/>
  <c r="BE7" i="21"/>
  <c r="BA7" i="21"/>
  <c r="BA79" i="21"/>
  <c r="BE79" i="21"/>
  <c r="BE31" i="21"/>
  <c r="BA31" i="21"/>
  <c r="BE105" i="21"/>
  <c r="BA105" i="21"/>
  <c r="BA17" i="21"/>
  <c r="BE17" i="21"/>
  <c r="BE81" i="21"/>
  <c r="BA81" i="21"/>
  <c r="AL140" i="21"/>
  <c r="AG166" i="21"/>
  <c r="AG168" i="21" s="1"/>
  <c r="AA166" i="21"/>
  <c r="AA168" i="21" s="1"/>
  <c r="BA65" i="21"/>
  <c r="BE65" i="21"/>
  <c r="AQ164" i="21"/>
  <c r="AQ166" i="21" s="1"/>
  <c r="AQ168" i="21" s="1"/>
  <c r="AQ140" i="21"/>
  <c r="AB166" i="21"/>
  <c r="AB168" i="21" s="1"/>
  <c r="BE57" i="21"/>
  <c r="BA57" i="21"/>
  <c r="AL166" i="21"/>
  <c r="AL168" i="21" s="1"/>
  <c r="AD163" i="21"/>
  <c r="AD166" i="21" s="1"/>
  <c r="AD168" i="21" s="1"/>
  <c r="AD140" i="21"/>
  <c r="W164" i="21"/>
  <c r="W166" i="21" s="1"/>
  <c r="W168" i="21" s="1"/>
  <c r="W140" i="21"/>
  <c r="BE25" i="21"/>
  <c r="BA25" i="21"/>
  <c r="BA125" i="21"/>
  <c r="BE125" i="21"/>
  <c r="AR164" i="21"/>
  <c r="AR166" i="21" s="1"/>
  <c r="AR168" i="21" s="1"/>
  <c r="AR140" i="21"/>
  <c r="AE163" i="21"/>
  <c r="AE166" i="21" s="1"/>
  <c r="AE168" i="21" s="1"/>
  <c r="AE140" i="21"/>
  <c r="V164" i="21"/>
  <c r="V140" i="21"/>
  <c r="BE39" i="21"/>
  <c r="BA39" i="21"/>
  <c r="BE119" i="21"/>
  <c r="BA119" i="21"/>
  <c r="BE21" i="21"/>
  <c r="BA21" i="21"/>
  <c r="BE93" i="21"/>
  <c r="BA93" i="21"/>
  <c r="BE55" i="21"/>
  <c r="BA55" i="21"/>
  <c r="AN163" i="21"/>
  <c r="AN166" i="21" s="1"/>
  <c r="AN168" i="21" s="1"/>
  <c r="AN140" i="21"/>
  <c r="BA33" i="21"/>
  <c r="BE33" i="21"/>
  <c r="BB159" i="21"/>
  <c r="BE49" i="21"/>
  <c r="BA49" i="21"/>
  <c r="BG140" i="21"/>
  <c r="BE47" i="21"/>
  <c r="BA47" i="21"/>
  <c r="BE109" i="21"/>
  <c r="BA109" i="21"/>
  <c r="BE95" i="21"/>
  <c r="BA95" i="21"/>
  <c r="BE83" i="21"/>
  <c r="BA83" i="21"/>
  <c r="BE129" i="21"/>
  <c r="BA129" i="21"/>
  <c r="AJ140" i="21"/>
  <c r="AV164" i="21"/>
  <c r="AV166" i="21" s="1"/>
  <c r="AV168" i="21" s="1"/>
  <c r="AV140" i="21"/>
  <c r="BB165" i="21"/>
  <c r="BC165" i="21" s="1"/>
  <c r="BE146" i="21"/>
  <c r="AI140" i="21"/>
  <c r="AJ166" i="21"/>
  <c r="AJ168" i="21" s="1"/>
  <c r="BA27" i="21"/>
  <c r="BE27" i="21"/>
  <c r="BB138" i="21"/>
  <c r="BC138" i="21" s="1"/>
  <c r="BB135" i="21"/>
  <c r="BC135" i="21"/>
  <c r="AZ135" i="21"/>
  <c r="BA89" i="21"/>
  <c r="BE89" i="21"/>
  <c r="AK140" i="21"/>
  <c r="AK166" i="21"/>
  <c r="AK168" i="21" s="1"/>
  <c r="BE35" i="21"/>
  <c r="BA35" i="21"/>
  <c r="BA85" i="21"/>
  <c r="BE85" i="21"/>
  <c r="BE73" i="21"/>
  <c r="BA73" i="21"/>
  <c r="AA140" i="21"/>
  <c r="AI166" i="21"/>
  <c r="AI168" i="21" s="1"/>
  <c r="BA29" i="21"/>
  <c r="BE29" i="21"/>
  <c r="BE113" i="21"/>
  <c r="BA113" i="21"/>
  <c r="AC139" i="21"/>
  <c r="BA75" i="21"/>
  <c r="BE75" i="21"/>
  <c r="BA63" i="21"/>
  <c r="BE63" i="21"/>
  <c r="AT164" i="21"/>
  <c r="AT166" i="21" s="1"/>
  <c r="AT168" i="21" s="1"/>
  <c r="AT140" i="21"/>
  <c r="BA103" i="21"/>
  <c r="BE103" i="21"/>
  <c r="AP140" i="21"/>
  <c r="AP163" i="21"/>
  <c r="AP166" i="21" s="1"/>
  <c r="AP168" i="21" s="1"/>
  <c r="BE131" i="21"/>
  <c r="BA131" i="21"/>
  <c r="AZ159" i="21"/>
  <c r="AZ138" i="21"/>
  <c r="BE107" i="21"/>
  <c r="BA107" i="21"/>
  <c r="BE61" i="21"/>
  <c r="BA61" i="21"/>
  <c r="AS164" i="21"/>
  <c r="AS166" i="21" s="1"/>
  <c r="AS168" i="21" s="1"/>
  <c r="AS140" i="21"/>
  <c r="AB140" i="21"/>
  <c r="BE99" i="21"/>
  <c r="BA99" i="21"/>
  <c r="BA45" i="21"/>
  <c r="BE45" i="21"/>
  <c r="AZ165" i="21"/>
  <c r="AX132" i="27" l="1"/>
  <c r="BB133" i="27" s="1"/>
  <c r="BE159" i="21"/>
  <c r="R152" i="27"/>
  <c r="AU150" i="27"/>
  <c r="Y152" i="27"/>
  <c r="AW150" i="27"/>
  <c r="AX150" i="27" s="1"/>
  <c r="AX148" i="27"/>
  <c r="AU148" i="27"/>
  <c r="AZ143" i="27"/>
  <c r="AZ131" i="27"/>
  <c r="BB163" i="21"/>
  <c r="BA138" i="21"/>
  <c r="BE138" i="21"/>
  <c r="AC164" i="21"/>
  <c r="AZ164" i="21" s="1"/>
  <c r="BB139" i="21"/>
  <c r="BC139" i="21" s="1"/>
  <c r="AC140" i="21"/>
  <c r="BB140" i="21" s="1"/>
  <c r="BC140" i="21" s="1"/>
  <c r="BG141" i="21" s="1"/>
  <c r="BA135" i="21"/>
  <c r="BE135" i="21"/>
  <c r="AZ139" i="21"/>
  <c r="AZ163" i="21"/>
  <c r="V174" i="21"/>
  <c r="V166" i="21"/>
  <c r="AZ132" i="27" l="1"/>
  <c r="AZ140" i="21"/>
  <c r="BB164" i="21"/>
  <c r="BC164" i="21" s="1"/>
  <c r="AC166" i="21"/>
  <c r="AC168" i="21" s="1"/>
  <c r="BA139" i="21"/>
  <c r="BE139" i="21"/>
  <c r="V168" i="21"/>
  <c r="BC163" i="21"/>
  <c r="BC166" i="21" l="1"/>
  <c r="BB166" i="21"/>
  <c r="AZ166" i="21"/>
  <c r="BE140" i="21"/>
  <c r="BA140" i="21"/>
  <c r="D100" i="11" l="1"/>
  <c r="D99" i="11"/>
  <c r="D98" i="11"/>
  <c r="D185" i="10"/>
  <c r="D18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Baiba Kanča</author>
    <author>Sarmīte Mūze</author>
  </authors>
  <commentList>
    <comment ref="K118" authorId="0" shapeId="0" xr:uid="{F121B74D-2FEA-4065-AE4F-4EB319D9B913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Nav izņemta visa aizņēmuma summa. Atmaksas grafikā ielikts viss plānotais aizņēmums!
</t>
        </r>
      </text>
    </comment>
    <comment ref="D134" authorId="1" shapeId="0" xr:uid="{891EFE36-ED30-41EC-9385-2AC3234D12BE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Ja ir ERAF 5'000'000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Baiba Kanča</author>
    <author>Sarmīte Mūze</author>
  </authors>
  <commentList>
    <comment ref="K112" authorId="0" shapeId="0" xr:uid="{29CF1692-6242-4088-A3F2-EEAC62F4A004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Nav izņemta visa aizņēmuma summa. Atmaksas grafikā ielikts viss plānotais aizņēmums!
</t>
        </r>
      </text>
    </comment>
    <comment ref="D126" authorId="1" shapeId="0" xr:uid="{6D2119BF-A6BD-448A-8468-2DF83E3C3B17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Ja ir ERAF 5'000'000</t>
        </r>
      </text>
    </comment>
  </commentList>
</comments>
</file>

<file path=xl/sharedStrings.xml><?xml version="1.0" encoding="utf-8"?>
<sst xmlns="http://schemas.openxmlformats.org/spreadsheetml/2006/main" count="2652" uniqueCount="873">
  <si>
    <t>Aizņēmuma līgums</t>
  </si>
  <si>
    <t>Trančes numurs</t>
  </si>
  <si>
    <t>Maksājuma veids</t>
  </si>
  <si>
    <t>Janvāris</t>
  </si>
  <si>
    <t>Aprīlis</t>
  </si>
  <si>
    <t>Jūlijs</t>
  </si>
  <si>
    <t>A2/1/11/107</t>
  </si>
  <si>
    <t>P-50/2011</t>
  </si>
  <si>
    <t>Pamatsumma</t>
  </si>
  <si>
    <t>EUR</t>
  </si>
  <si>
    <t>Procentu maksa</t>
  </si>
  <si>
    <t>4311</t>
  </si>
  <si>
    <t>2280</t>
  </si>
  <si>
    <t>A2/1/11/549</t>
  </si>
  <si>
    <t>P-350/2011</t>
  </si>
  <si>
    <t>A2/1/12/328</t>
  </si>
  <si>
    <t>P-219/2012</t>
  </si>
  <si>
    <t>A2/1/13/1000</t>
  </si>
  <si>
    <t>P-441/2013</t>
  </si>
  <si>
    <t>A2/1/17/301</t>
  </si>
  <si>
    <t>P-196/2017</t>
  </si>
  <si>
    <t>A2/1/17/596</t>
  </si>
  <si>
    <t>P-450/2017</t>
  </si>
  <si>
    <t>A2/1/18/123</t>
  </si>
  <si>
    <t>P-94/2018</t>
  </si>
  <si>
    <t>A2/1/18/139</t>
  </si>
  <si>
    <t>P-109/2018</t>
  </si>
  <si>
    <t>A2/1/18/251</t>
  </si>
  <si>
    <t>P-205/2018</t>
  </si>
  <si>
    <t>A2/1/18/252</t>
  </si>
  <si>
    <t>P-200/2018</t>
  </si>
  <si>
    <t>A2/1/18/255</t>
  </si>
  <si>
    <t>P-203/2018</t>
  </si>
  <si>
    <t>A2/1/18/254</t>
  </si>
  <si>
    <t>P-202/2018</t>
  </si>
  <si>
    <t>A2/1/18/452</t>
  </si>
  <si>
    <t>P-374/2018</t>
  </si>
  <si>
    <t>A2/1/18/529</t>
  </si>
  <si>
    <t>P-435/2018</t>
  </si>
  <si>
    <t>A2/1/18/528</t>
  </si>
  <si>
    <t>P-436/2018</t>
  </si>
  <si>
    <t>A2/1/18/611</t>
  </si>
  <si>
    <t>P-500/2018</t>
  </si>
  <si>
    <t>A2/1/18/643</t>
  </si>
  <si>
    <t>P-537/2018</t>
  </si>
  <si>
    <t>A2/1/18/644</t>
  </si>
  <si>
    <t>P-538/2018</t>
  </si>
  <si>
    <t>A2/1/18/711</t>
  </si>
  <si>
    <t>P-580/2018</t>
  </si>
  <si>
    <t>A2/1/18/777</t>
  </si>
  <si>
    <t>P-643/2018</t>
  </si>
  <si>
    <t>A2/1/18/818</t>
  </si>
  <si>
    <t>P-666/2018</t>
  </si>
  <si>
    <t>A2/1/19/50</t>
  </si>
  <si>
    <t>PP-5/2019</t>
  </si>
  <si>
    <t>A2/1/19/57</t>
  </si>
  <si>
    <t>P-31/2019</t>
  </si>
  <si>
    <t>A2/1/19/225</t>
  </si>
  <si>
    <t>P-150/2019</t>
  </si>
  <si>
    <t>A2/1/19/370</t>
  </si>
  <si>
    <t>P-236/2019</t>
  </si>
  <si>
    <t>A2/1/19/460</t>
  </si>
  <si>
    <t>P-292/2019</t>
  </si>
  <si>
    <t>A2/1/20/158</t>
  </si>
  <si>
    <t>P-119/2020</t>
  </si>
  <si>
    <t>A2/1/20/411</t>
  </si>
  <si>
    <t>P-177/2020</t>
  </si>
  <si>
    <t>A2/1/20/675</t>
  </si>
  <si>
    <t>P-339/2020</t>
  </si>
  <si>
    <t>A2/1/20/676</t>
  </si>
  <si>
    <t>P-338/2020</t>
  </si>
  <si>
    <t>A2/1/20/746</t>
  </si>
  <si>
    <t>P-392/2020</t>
  </si>
  <si>
    <t>A2/1/20/745</t>
  </si>
  <si>
    <t>P-393/2020</t>
  </si>
  <si>
    <t>A2/1/21/10</t>
  </si>
  <si>
    <t>P-4/2021</t>
  </si>
  <si>
    <t>A2/1/21/11</t>
  </si>
  <si>
    <t>P-3/2021</t>
  </si>
  <si>
    <t>A2/1/21/41</t>
  </si>
  <si>
    <t>P-10/2021</t>
  </si>
  <si>
    <t>A2/1/21/96</t>
  </si>
  <si>
    <t>P-43/2021</t>
  </si>
  <si>
    <t>A2/1/21/120</t>
  </si>
  <si>
    <t>P-69/2021</t>
  </si>
  <si>
    <t>A2/1/21/139</t>
  </si>
  <si>
    <t>PP-14/2021</t>
  </si>
  <si>
    <t>A2/1/21/169</t>
  </si>
  <si>
    <t>P-89/2021</t>
  </si>
  <si>
    <t>A2/1/21/232</t>
  </si>
  <si>
    <t>P-163/2021</t>
  </si>
  <si>
    <t>A2/1/21/231</t>
  </si>
  <si>
    <t>P-164/2021</t>
  </si>
  <si>
    <t>A2/1/21/632</t>
  </si>
  <si>
    <t>P-481/2021</t>
  </si>
  <si>
    <t>A2/1/21/729</t>
  </si>
  <si>
    <t>P-556/2021</t>
  </si>
  <si>
    <t>A2/1/21/728</t>
  </si>
  <si>
    <t>P-557/2021</t>
  </si>
  <si>
    <t>A2/1/21/727</t>
  </si>
  <si>
    <t>P-558/2021</t>
  </si>
  <si>
    <t>A2/1/21/776</t>
  </si>
  <si>
    <t>P-583/2021</t>
  </si>
  <si>
    <t>A2/1/22/15</t>
  </si>
  <si>
    <t>P-7/2022</t>
  </si>
  <si>
    <t>A2/1/22/123</t>
  </si>
  <si>
    <t>P-70/2022</t>
  </si>
  <si>
    <t>A2/1/22/165</t>
  </si>
  <si>
    <t>P-112/2022</t>
  </si>
  <si>
    <t>A2/1/22/239</t>
  </si>
  <si>
    <t>P-160/2022</t>
  </si>
  <si>
    <t>A2/1/22/250</t>
  </si>
  <si>
    <t>P-164/2022</t>
  </si>
  <si>
    <t>A2/1/22/265</t>
  </si>
  <si>
    <t>P-175/2022</t>
  </si>
  <si>
    <t>A2/1/22/536</t>
  </si>
  <si>
    <t>P-363/2022</t>
  </si>
  <si>
    <t>A2/1/22/538</t>
  </si>
  <si>
    <t>P-361/2022</t>
  </si>
  <si>
    <t>A2/1/22/582</t>
  </si>
  <si>
    <t>P-389/2022</t>
  </si>
  <si>
    <t>A2/1/23/103</t>
  </si>
  <si>
    <t>P-57/2023</t>
  </si>
  <si>
    <t>A2/1/23/156</t>
  </si>
  <si>
    <t>P-104/2023</t>
  </si>
  <si>
    <t>Kopējā procentu likme (gadā), %</t>
  </si>
  <si>
    <t>Procentu likme , %</t>
  </si>
  <si>
    <t>Apkalpošanas maksa, %</t>
  </si>
  <si>
    <t>12.04.2024</t>
  </si>
  <si>
    <t>11.04.2011</t>
  </si>
  <si>
    <t>20.04.2036</t>
  </si>
  <si>
    <t>22.09.2023</t>
  </si>
  <si>
    <t>22.12.2031</t>
  </si>
  <si>
    <t>22.09.2011</t>
  </si>
  <si>
    <t>06.07.2024</t>
  </si>
  <si>
    <t>25.03.2032</t>
  </si>
  <si>
    <t>11.07.2012</t>
  </si>
  <si>
    <t>22.11.2023</t>
  </si>
  <si>
    <t>27.11.2023</t>
  </si>
  <si>
    <t>26.11.2013</t>
  </si>
  <si>
    <t>18.05.2024</t>
  </si>
  <si>
    <t>20.05.2032</t>
  </si>
  <si>
    <t>19.05.2017</t>
  </si>
  <si>
    <t>20.08.2032</t>
  </si>
  <si>
    <t>21.08.2017</t>
  </si>
  <si>
    <t>29.03.2024</t>
  </si>
  <si>
    <t>22.06.2048</t>
  </si>
  <si>
    <t>03.04.2018</t>
  </si>
  <si>
    <t>30.01.2024</t>
  </si>
  <si>
    <t>22.03.2038</t>
  </si>
  <si>
    <t>05.04.2018</t>
  </si>
  <si>
    <t>24.05.2024</t>
  </si>
  <si>
    <t>20.05.2033</t>
  </si>
  <si>
    <t>28.05.2018</t>
  </si>
  <si>
    <t>20.05.2038</t>
  </si>
  <si>
    <t>20.05.2025</t>
  </si>
  <si>
    <t>11.07.2024</t>
  </si>
  <si>
    <t>20.06.2028</t>
  </si>
  <si>
    <t>12.07.2018</t>
  </si>
  <si>
    <t>01.08.2024</t>
  </si>
  <si>
    <t>20.07.2048</t>
  </si>
  <si>
    <t>03.08.2018</t>
  </si>
  <si>
    <t>20.08.2038</t>
  </si>
  <si>
    <t>04.09.2018</t>
  </si>
  <si>
    <t>12.09.2018</t>
  </si>
  <si>
    <t>20.09.2033</t>
  </si>
  <si>
    <t>03.10.2023</t>
  </si>
  <si>
    <t>20.09.2028</t>
  </si>
  <si>
    <t>10.10.2018</t>
  </si>
  <si>
    <t>08.11.2023</t>
  </si>
  <si>
    <t>20.10.2038</t>
  </si>
  <si>
    <t>12.11.2018</t>
  </si>
  <si>
    <t>14.11.2023</t>
  </si>
  <si>
    <t>22.11.2038</t>
  </si>
  <si>
    <t>21.11.2018</t>
  </si>
  <si>
    <t>26.02.2024</t>
  </si>
  <si>
    <t>05.03.2019</t>
  </si>
  <si>
    <t>20.09.2035</t>
  </si>
  <si>
    <t>06.03.2024</t>
  </si>
  <si>
    <t>20.02.2029</t>
  </si>
  <si>
    <t>06.03.2019</t>
  </si>
  <si>
    <t>06.06.2024</t>
  </si>
  <si>
    <t>20.05.2049</t>
  </si>
  <si>
    <t>13.06.2019</t>
  </si>
  <si>
    <t>08.10.2023</t>
  </si>
  <si>
    <t>20.09.2034</t>
  </si>
  <si>
    <t>09.10.2019</t>
  </si>
  <si>
    <t>06.12.2023</t>
  </si>
  <si>
    <t>21.11.2039</t>
  </si>
  <si>
    <t>11.12.2019</t>
  </si>
  <si>
    <t>29.04.2024</t>
  </si>
  <si>
    <t>20.04.2048</t>
  </si>
  <si>
    <t>29.04.2020</t>
  </si>
  <si>
    <t>08.07.2024</t>
  </si>
  <si>
    <t>20.06.2035</t>
  </si>
  <si>
    <t>08.07.2020</t>
  </si>
  <si>
    <t>01.10.2023</t>
  </si>
  <si>
    <t>20.09.2050</t>
  </si>
  <si>
    <t>01.10.2020</t>
  </si>
  <si>
    <t>20.09.2040</t>
  </si>
  <si>
    <t>22.09.2025</t>
  </si>
  <si>
    <t>14.10.2020</t>
  </si>
  <si>
    <t>26.01.2024</t>
  </si>
  <si>
    <t>20.01.2051</t>
  </si>
  <si>
    <t>26.01.2021</t>
  </si>
  <si>
    <t>20.01.2031</t>
  </si>
  <si>
    <t>24.02.2024</t>
  </si>
  <si>
    <t>20.02.2051</t>
  </si>
  <si>
    <t>24.02.2021</t>
  </si>
  <si>
    <t>20.03.2024</t>
  </si>
  <si>
    <t>25.03.2021</t>
  </si>
  <si>
    <t>08.04.2024</t>
  </si>
  <si>
    <t>20.03.2051</t>
  </si>
  <si>
    <t>08.04.2021</t>
  </si>
  <si>
    <t>22.04.2024</t>
  </si>
  <si>
    <t>26.04.2021</t>
  </si>
  <si>
    <t>21.06.2038</t>
  </si>
  <si>
    <t>30.04.2024</t>
  </si>
  <si>
    <t>20.04.2051</t>
  </si>
  <si>
    <t>30.04.2021</t>
  </si>
  <si>
    <t>27.05.2024</t>
  </si>
  <si>
    <t>20.05.2041</t>
  </si>
  <si>
    <t>27.05.2021</t>
  </si>
  <si>
    <t>21.09.2026</t>
  </si>
  <si>
    <t>14.10.2021</t>
  </si>
  <si>
    <t>02.12.2023</t>
  </si>
  <si>
    <t>20.11.2031</t>
  </si>
  <si>
    <t>02.12.2021</t>
  </si>
  <si>
    <t>20.11.2040</t>
  </si>
  <si>
    <t>23.12.2023</t>
  </si>
  <si>
    <t>21.12.2026</t>
  </si>
  <si>
    <t>23.12.2021</t>
  </si>
  <si>
    <t>02.02.2024</t>
  </si>
  <si>
    <t>02.02.2022</t>
  </si>
  <si>
    <t>20.01.2037</t>
  </si>
  <si>
    <t>31.05.2024</t>
  </si>
  <si>
    <t>20.05.2037</t>
  </si>
  <si>
    <t>31.05.2022</t>
  </si>
  <si>
    <t>04.07.2024</t>
  </si>
  <si>
    <t>21.06.2027</t>
  </si>
  <si>
    <t>04.07.2022</t>
  </si>
  <si>
    <t>20.07.2024</t>
  </si>
  <si>
    <t>20.07.2027</t>
  </si>
  <si>
    <t>20.07.2022</t>
  </si>
  <si>
    <t>03.08.2024</t>
  </si>
  <si>
    <t>20.07.2032</t>
  </si>
  <si>
    <t>03.08.2022</t>
  </si>
  <si>
    <t>20.07.2029</t>
  </si>
  <si>
    <t>08.08.2022</t>
  </si>
  <si>
    <t>20.11.2037</t>
  </si>
  <si>
    <t>29.11.2022</t>
  </si>
  <si>
    <t>22.11.2032</t>
  </si>
  <si>
    <t>21.12.2037</t>
  </si>
  <si>
    <t>23.12.2022</t>
  </si>
  <si>
    <t>09.05.2023</t>
  </si>
  <si>
    <t>26.06.2024</t>
  </si>
  <si>
    <t>26.06.2023</t>
  </si>
  <si>
    <t>20.07.2026</t>
  </si>
  <si>
    <t>02.08.2023</t>
  </si>
  <si>
    <t>P-181/2023</t>
  </si>
  <si>
    <t>A2/1/23/245</t>
  </si>
  <si>
    <t>Summa</t>
  </si>
  <si>
    <t>Neatmaksātās pamatsummas atlikums</t>
  </si>
  <si>
    <t>Aizņēmuma summa</t>
  </si>
  <si>
    <t>Aizņēmuma valūta</t>
  </si>
  <si>
    <t>Aizņēmuma beigu termiņš</t>
  </si>
  <si>
    <t>Līguma noslēgšanas datums</t>
  </si>
  <si>
    <t>EKK</t>
  </si>
  <si>
    <t>Datums</t>
  </si>
  <si>
    <t>Dok.num.</t>
  </si>
  <si>
    <t>Maksājuma summa</t>
  </si>
  <si>
    <t>Apraksts</t>
  </si>
  <si>
    <t>Grāmatošanas datums</t>
  </si>
  <si>
    <t>Grāmatojis</t>
  </si>
  <si>
    <t>ASI23012540054919101</t>
  </si>
  <si>
    <t>VALSTS KASE (BUDŽETA MAKSĀJUMI) Procentu maksa , līgums A2/1/11/549 , 25.01.2023</t>
  </si>
  <si>
    <t>Edgars Liepiņš</t>
  </si>
  <si>
    <t>ASI23012540101470101</t>
  </si>
  <si>
    <t>VALSTS KASE (BUDŽETA MAKSĀJUMI) Procentu maksa , līgums A2/1/18/254 , 25.01.2023</t>
  </si>
  <si>
    <t>ASI23012540106086101</t>
  </si>
  <si>
    <t>VALSTS KASE (BUDŽETA MAKSĀJUMI) Procentu maksa , līgums A2/1/18/777 , 25.01.2023</t>
  </si>
  <si>
    <t>ASI23012540117121101</t>
  </si>
  <si>
    <t>VALSTS KASE (BUDŽETA MAKSĀJUMI) Procentu maksa , līgums A2/1/20/411 , 25.01.2023</t>
  </si>
  <si>
    <t>ASI23012540124575101</t>
  </si>
  <si>
    <t>VALSTS KASE (BUDŽETA MAKSĀJUMI) Procentu maksa , līgums A2/1/22/16 , 25.01.2023</t>
  </si>
  <si>
    <t>ASI23012540094570101</t>
  </si>
  <si>
    <t>VALSTS KASE (BUDŽETA MAKSĀJUMI) Procentu maksa , līgums A2/1/17/301 , 25.01.2023</t>
  </si>
  <si>
    <t>ASI23012540100169101</t>
  </si>
  <si>
    <t>VALSTS KASE (BUDŽETA MAKSĀJUMI) Procentu maksa , līgums A2/1/18/123 , 25.01.2023</t>
  </si>
  <si>
    <t>ASI23012540119022101</t>
  </si>
  <si>
    <t>VALSTS KASE (BUDŽETA MAKSĀJUMI) Procentu maksa , līgums A2/1/20/675 , 25.01.2023</t>
  </si>
  <si>
    <t>ASI23012540119370101</t>
  </si>
  <si>
    <t>VALSTS KASE (BUDŽETA MAKSĀJUMI) Procentu maksa , līgums A2/1/20/745 , 25.01.2023</t>
  </si>
  <si>
    <t>ASI23012540123070101</t>
  </si>
  <si>
    <t>VALSTS KASE (BUDŽETA MAKSĀJUMI) Procentu maksa , līgums A2/1/21/139 , 25.01.2023</t>
  </si>
  <si>
    <t>ASI23012540096419101</t>
  </si>
  <si>
    <t>VALSTS KASE (BUDŽETA MAKSĀJUMI) Procentu maksa , līgums A2/1/17/596 , 25.01.2023</t>
  </si>
  <si>
    <t>ASI23012540101425101</t>
  </si>
  <si>
    <t>VALSTS KASE (BUDŽETA MAKSĀJUMI) Procentu maksa , līgums A2/1/18/251 , 25.01.2023</t>
  </si>
  <si>
    <t>ASI23012540121470101</t>
  </si>
  <si>
    <t>VALSTS KASE (BUDŽETA MAKSĀJUMI) Procentu maksa , līgums A2/1/21/11 , 25.01.2023</t>
  </si>
  <si>
    <t>ASI23012540124435101</t>
  </si>
  <si>
    <t>VALSTS KASE (BUDŽETA MAKSĀJUMI) Procentu maksa , līgums A2/1/21/729 , 25.01.2023</t>
  </si>
  <si>
    <t>ASI23012540124574101</t>
  </si>
  <si>
    <t>VALSTS KASE (BUDŽETA MAKSĀJUMI) Procentu maksa , līgums A2/1/22/15 , 25.01.2023</t>
  </si>
  <si>
    <t>ASI23012540125400101</t>
  </si>
  <si>
    <t>VALSTS KASE (BUDŽETA MAKSĀJUMI) Procentu maksa , līgums A2/1/22/536 , 25.01.2023</t>
  </si>
  <si>
    <t>ASI23012540106371101</t>
  </si>
  <si>
    <t>VALSTS KASE (BUDŽETA MAKSĀJUMI) Procentu maksa , līgums A2/1/18/818 , 25.01.2023</t>
  </si>
  <si>
    <t>ASI23012540113869101</t>
  </si>
  <si>
    <t>VALSTS KASE (BUDŽETA MAKSĀJUMI) Procentu maksa , līgums A2/1/19/460 , 25.01.2023</t>
  </si>
  <si>
    <t>ASI23012540115969101</t>
  </si>
  <si>
    <t>VALSTS KASE (BUDŽETA MAKSĀJUMI) Procentu maksa , līgums A2/1/20/158 , 25.01.2023</t>
  </si>
  <si>
    <t>ASI23012540122772101</t>
  </si>
  <si>
    <t>VALSTS KASE (BUDŽETA MAKSĀJUMI) Procentu maksa , līgums A2/1/21/120 , 25.01.2023</t>
  </si>
  <si>
    <t>ASI23012540123784101</t>
  </si>
  <si>
    <t>VALSTS KASE (BUDŽETA MAKSĀJUMI) Procentu maksa , līgums A2/1/21/231 , 25.01.2023</t>
  </si>
  <si>
    <t>ASI23012540121820101</t>
  </si>
  <si>
    <t>VALSTS KASE (BUDŽETA MAKSĀJUMI) Procentu maksa , līgums A2/1/21/41 , 25.01.2023</t>
  </si>
  <si>
    <t>ASI23012540125096101</t>
  </si>
  <si>
    <t>VALSTS KASE (BUDŽETA MAKSĀJUMI) Procentu maksa , līgums A2/1/22/165 , 25.01.2023</t>
  </si>
  <si>
    <t>ASI23012540125401101</t>
  </si>
  <si>
    <t>VALSTS KASE (BUDŽETA MAKSĀJUMI) Procentu maksa , līgums A2/1/22/538 , 25.01.2023</t>
  </si>
  <si>
    <t>ASI23012540125481101</t>
  </si>
  <si>
    <t>VALSTS KASE (BUDŽETA MAKSĀJUMI) Procentu maksa , līgums A2/1/22/582 , 25.01.2023</t>
  </si>
  <si>
    <t>ASI23012540072519101</t>
  </si>
  <si>
    <t>VALSTS KASE (BUDŽETA MAKSĀJUMI) Procentu maksa , līgums A2/1/13/1000 , 25.01.2023</t>
  </si>
  <si>
    <t>ASI23012540102775101</t>
  </si>
  <si>
    <t>VALSTS KASE (BUDŽETA MAKSĀJUMI) Procentu maksa , līgums A2/1/18/452 , 25.01.2023</t>
  </si>
  <si>
    <t>ASI23012540103572101</t>
  </si>
  <si>
    <t>VALSTS KASE (BUDŽETA MAKSĀJUMI) Procentu maksa , līgums A2/1/18/528 , 25.01.2023</t>
  </si>
  <si>
    <t>ASI23012540104371101</t>
  </si>
  <si>
    <t>VALSTS KASE (BUDŽETA MAKSĀJUMI) Procentu maksa , līgums A2/1/18/611 , 25.01.2023</t>
  </si>
  <si>
    <t>ASI23012540104619101</t>
  </si>
  <si>
    <t>VALSTS KASE (BUDŽETA MAKSĀJUMI) Procentu maksa , līgums A2/1/18/643 , 25.01.2023</t>
  </si>
  <si>
    <t>ASI23012540109969101</t>
  </si>
  <si>
    <t>VALSTS KASE (BUDŽETA MAKSĀJUMI) Procentu maksa , līgums A2/1/19/225 , 25.01.2023</t>
  </si>
  <si>
    <t>ASI23012540119369101</t>
  </si>
  <si>
    <t>VALSTS KASE (BUDŽETA MAKSĀJUMI) Procentu maksa , līgums A2/1/20/746 , 25.01.2023</t>
  </si>
  <si>
    <t>ASI23012540124534101</t>
  </si>
  <si>
    <t>VALSTS KASE (BUDŽETA MAKSĀJUMI) Procentu maksa , līgums A2/1/21/776 , 25.01.2023</t>
  </si>
  <si>
    <t>ASI23012540061020101</t>
  </si>
  <si>
    <t>VALSTS KASE (BUDŽETA MAKSĀJUMI) Procentu maksa , līgums A2/1/12/328 , 25.01.2023</t>
  </si>
  <si>
    <t>ASI23012540101426101</t>
  </si>
  <si>
    <t>VALSTS KASE (BUDŽETA MAKSĀJUMI) Procentu maksa , līgums A2/1/18/252 , 25.01.2023</t>
  </si>
  <si>
    <t>ASI23012540104620101</t>
  </si>
  <si>
    <t>VALSTS KASE (BUDŽETA MAKSĀJUMI) Procentu maksa , līgums A2/1/18/644 , 25.01.2023</t>
  </si>
  <si>
    <t>ASI23012540123783101</t>
  </si>
  <si>
    <t>VALSTS KASE (BUDŽETA MAKSĀJUMI) Procentu maksa , līgums A2/1/21/232 , 25.01.2023</t>
  </si>
  <si>
    <t>ASI23012540124348101</t>
  </si>
  <si>
    <t>VALSTS KASE (BUDŽETA MAKSĀJUMI) Procentu maksa , līgums A2/1/21/632 , 25.01.2023</t>
  </si>
  <si>
    <t>ASI23012540124436101</t>
  </si>
  <si>
    <t>VALSTS KASE (BUDŽETA MAKSĀJUMI) Procentu maksa , līgums A2/1/21/728 , 25.01.2023</t>
  </si>
  <si>
    <t>ASI23012540125075101</t>
  </si>
  <si>
    <t>VALSTS KASE (BUDŽETA MAKSĀJUMI) Procentu maksa , līgums A2/1/22/123 , 25.01.2023</t>
  </si>
  <si>
    <t>ASI23012540101427101</t>
  </si>
  <si>
    <t>VALSTS KASE (BUDŽETA MAKSĀJUMI) Procentu maksa , līgums A2/1/18/253 , 25.01.2023</t>
  </si>
  <si>
    <t>ASI23012540105375101</t>
  </si>
  <si>
    <t>VALSTS KASE (BUDŽETA MAKSĀJUMI) Procentu maksa , līgums A2/1/18/711 , 25.01.2023</t>
  </si>
  <si>
    <t>ASI23012540112470101</t>
  </si>
  <si>
    <t>VALSTS KASE (BUDŽETA MAKSĀJUMI) Procentu maksa , līgums A2/1/19/370 , 25.01.2023</t>
  </si>
  <si>
    <t>ASI23012540119023101</t>
  </si>
  <si>
    <t>VALSTS KASE (BUDŽETA MAKSĀJUMI) Procentu maksa , līgums A2/1/20/676 , 25.01.2023</t>
  </si>
  <si>
    <t>ASI23012540121469101</t>
  </si>
  <si>
    <t>VALSTS KASE (BUDŽETA MAKSĀJUMI) Procentu maksa , līgums A2/1/21/10 , 25.01.2023</t>
  </si>
  <si>
    <t>ASI23012540124437101</t>
  </si>
  <si>
    <t>VALSTS KASE (BUDŽETA MAKSĀJUMI) Procentu maksa , līgums A2/1/21/727 , 25.01.2023</t>
  </si>
  <si>
    <t>ASI23012540122523101</t>
  </si>
  <si>
    <t>VALSTS KASE (BUDŽETA MAKSĀJUMI) Procentu maksa , līgums A2/1/21/96 , 25.01.2023</t>
  </si>
  <si>
    <t>ASI23012540125182101</t>
  </si>
  <si>
    <t>VALSTS KASE (BUDŽETA MAKSĀJUMI) Procentu maksa , līgums A2/1/22/267 , 25.01.2023</t>
  </si>
  <si>
    <t>ASI23012540051172101</t>
  </si>
  <si>
    <t>VALSTS KASE (BUDŽETA MAKSĀJUMI) Procentu maksa , līgums A2/1/11/107 , 25.01.2023</t>
  </si>
  <si>
    <t>ASI23012540095519101</t>
  </si>
  <si>
    <t>VALSTS KASE (BUDŽETA MAKSĀJUMI) Procentu maksa , līgums A2/1/17/468 , 25.01.2023</t>
  </si>
  <si>
    <t>ASI23012540101469101</t>
  </si>
  <si>
    <t>VALSTS KASE (BUDŽETA MAKSĀJUMI) Procentu maksa , līgums A2/1/18/255 , 25.01.2023</t>
  </si>
  <si>
    <t>ASI23012540103571101</t>
  </si>
  <si>
    <t>VALSTS KASE (BUDŽETA MAKSĀJUMI) Procentu maksa , līgums A2/1/18/529 , 25.01.2023</t>
  </si>
  <si>
    <t>ASI23012540123219101</t>
  </si>
  <si>
    <t>VALSTS KASE (BUDŽETA MAKSĀJUMI) Procentu maksa , līgums A2/1/21/169 , 25.01.2023</t>
  </si>
  <si>
    <t>ASI23012540125169101</t>
  </si>
  <si>
    <t>VALSTS KASE (BUDŽETA MAKSĀJUMI) Procentu maksa , līgums A2/1/22/239 , 25.01.2023</t>
  </si>
  <si>
    <t>ASI23012540125174101</t>
  </si>
  <si>
    <t>VALSTS KASE (BUDŽETA MAKSĀJUMI) Procentu maksa , līgums A2/1/22/250 , 25.01.2023</t>
  </si>
  <si>
    <t>ASI23012540125181101</t>
  </si>
  <si>
    <t>VALSTS KASE (BUDŽETA MAKSĀJUMI) Procentu maksa , līgums A2/1/22/265 , 25.01.2023</t>
  </si>
  <si>
    <t>ASI23042540101426101</t>
  </si>
  <si>
    <t>VALSTS KASE (BUDŽETA MAKSĀJUMI) Procentu maksa , līgums A2/1/18/252 , 25.04.2023</t>
  </si>
  <si>
    <t>ASI23042540101427101</t>
  </si>
  <si>
    <t>VALSTS KASE (BUDŽETA MAKSĀJUMI) Procentu maksa , līgums A2/1/18/253 , 25.04.2023</t>
  </si>
  <si>
    <t>ASI23042540102775101</t>
  </si>
  <si>
    <t>VALSTS KASE (BUDŽETA MAKSĀJUMI) Procentu maksa , līgums A2/1/18/452 , 25.04.2023</t>
  </si>
  <si>
    <t>ASI23042540123219101</t>
  </si>
  <si>
    <t>VALSTS KASE (BUDŽETA MAKSĀJUMI) Procentu maksa , līgums A2/1/21/169 , 25.04.2023</t>
  </si>
  <si>
    <t>ASI23042540121820101</t>
  </si>
  <si>
    <t>VALSTS KASE (BUDŽETA MAKSĀJUMI) Procentu maksa , līgums A2/1/21/41 , 25.04.2023</t>
  </si>
  <si>
    <t>ASI23042540054919101</t>
  </si>
  <si>
    <t>VALSTS KASE (BUDŽETA MAKSĀJUMI) Procentu maksa , līgums A2/1/11/549 , 25.04.2023</t>
  </si>
  <si>
    <t>ASI23042540104619101</t>
  </si>
  <si>
    <t>VALSTS KASE (BUDŽETA MAKSĀJUMI) Procentu maksa , līgums A2/1/18/643 , 25.04.2023</t>
  </si>
  <si>
    <t>ASI23042540106371101</t>
  </si>
  <si>
    <t>VALSTS KASE (BUDŽETA MAKSĀJUMI) Procentu maksa , līgums A2/1/18/818 , 25.04.2023</t>
  </si>
  <si>
    <t>ASI23042540119022101</t>
  </si>
  <si>
    <t>VALSTS KASE (BUDŽETA MAKSĀJUMI) Procentu maksa , līgums A2/1/20/675 , 25.04.2023</t>
  </si>
  <si>
    <t>ASI23042540124534101</t>
  </si>
  <si>
    <t>VALSTS KASE (BUDŽETA MAKSĀJUMI) Procentu maksa , līgums A2/1/21/776 , 25.04.2023</t>
  </si>
  <si>
    <t>ASI23042540122523101</t>
  </si>
  <si>
    <t>VALSTS KASE (BUDŽETA MAKSĀJUMI) Procentu maksa , līgums A2/1/21/96 , 25.04.2023</t>
  </si>
  <si>
    <t>ASI23042540125401101</t>
  </si>
  <si>
    <t>VALSTS KASE (BUDŽETA MAKSĀJUMI) Procentu maksa , līgums A2/1/22/538 , 25.04.2023</t>
  </si>
  <si>
    <t>ASI23042540051172101</t>
  </si>
  <si>
    <t>VALSTS KASE (BUDŽETA MAKSĀJUMI) Procentu maksa , līgums A2/1/11/107 , 25.04.2023</t>
  </si>
  <si>
    <t>ASI23042540094570101</t>
  </si>
  <si>
    <t>VALSTS KASE (BUDŽETA MAKSĀJUMI) Procentu maksa , līgums A2/1/17/301 , 25.04.2023</t>
  </si>
  <si>
    <t>ASI23042540095519101</t>
  </si>
  <si>
    <t>VALSTS KASE (BUDŽETA MAKSĀJUMI) Procentu maksa , līgums A2/1/17/468 , 25.04.2023</t>
  </si>
  <si>
    <t>ASI23042540100169101</t>
  </si>
  <si>
    <t>VALSTS KASE (BUDŽETA MAKSĀJUMI) Procentu maksa , līgums A2/1/18/123 , 25.04.2023</t>
  </si>
  <si>
    <t>ASI23042540103571101</t>
  </si>
  <si>
    <t>VALSTS KASE (BUDŽETA MAKSĀJUMI) Procentu maksa , līgums A2/1/18/529 , 25.04.2023</t>
  </si>
  <si>
    <t>ASI23042540115969101</t>
  </si>
  <si>
    <t>VALSTS KASE (BUDŽETA MAKSĀJUMI) Procentu maksa , līgums A2/1/20/158 , 25.04.2023</t>
  </si>
  <si>
    <t>ASI23042540121469101</t>
  </si>
  <si>
    <t>VALSTS KASE (BUDŽETA MAKSĀJUMI) Procentu maksa , līgums A2/1/21/10 , 25.04.2023</t>
  </si>
  <si>
    <t>ASI23042540124437101</t>
  </si>
  <si>
    <t>VALSTS KASE (BUDŽETA MAKSĀJUMI) Procentu maksa , līgums A2/1/21/727 , 25.04.2023</t>
  </si>
  <si>
    <t>ASI23042540125096101</t>
  </si>
  <si>
    <t>VALSTS KASE (BUDŽETA MAKSĀJUMI) Procentu maksa , līgums A2/1/22/165 , 25.04.2023</t>
  </si>
  <si>
    <t>ASI23042540125169101</t>
  </si>
  <si>
    <t>VALSTS KASE (BUDŽETA MAKSĀJUMI) Procentu maksa , līgums A2/1/22/239 , 25.04.2023</t>
  </si>
  <si>
    <t>ASI23042540101469101</t>
  </si>
  <si>
    <t>VALSTS KASE (BUDŽETA MAKSĀJUMI) Procentu maksa , līgums A2/1/18/255 , 25.04.2023</t>
  </si>
  <si>
    <t>ASI23042540104620101</t>
  </si>
  <si>
    <t>VALSTS KASE (BUDŽETA MAKSĀJUMI) Procentu maksa , līgums A2/1/18/644 , 25.04.2023</t>
  </si>
  <si>
    <t>ASI23042540105375101</t>
  </si>
  <si>
    <t>VALSTS KASE (BUDŽETA MAKSĀJUMI) Procentu maksa , līgums A2/1/18/711 , 25.04.2023</t>
  </si>
  <si>
    <t>ASI23042540119023101</t>
  </si>
  <si>
    <t>VALSTS KASE (BUDŽETA MAKSĀJUMI) Procentu maksa , līgums A2/1/20/676 , 25.04.2023</t>
  </si>
  <si>
    <t>ASI23042540124348101</t>
  </si>
  <si>
    <t>VALSTS KASE (BUDŽETA MAKSĀJUMI) Procentu maksa , līgums A2/1/21/632 , 25.04.2023</t>
  </si>
  <si>
    <t>ASI23042540125075101</t>
  </si>
  <si>
    <t>VALSTS KASE (BUDŽETA MAKSĀJUMI) Procentu maksa , līgums A2/1/22/123 , 25.04.2023</t>
  </si>
  <si>
    <t>ASI23042540124574101</t>
  </si>
  <si>
    <t>VALSTS KASE (BUDŽETA MAKSĀJUMI) Procentu maksa , līgums A2/1/22/15 , 25.04.2023</t>
  </si>
  <si>
    <t>ASI23042540096419101</t>
  </si>
  <si>
    <t>VALSTS KASE (BUDŽETA MAKSĀJUMI) Procentu maksa , līgums A2/1/17/596 , 25.04.2023</t>
  </si>
  <si>
    <t>ASI23042540101470101</t>
  </si>
  <si>
    <t>VALSTS KASE (BUDŽETA MAKSĀJUMI) Procentu maksa , līgums A2/1/18/254 , 25.04.2023</t>
  </si>
  <si>
    <t>ASI23042540107820101</t>
  </si>
  <si>
    <t>VALSTS KASE (BUDŽETA MAKSĀJUMI) Procentu maksa , līgums A2/1/19/50 , 25.04.2023</t>
  </si>
  <si>
    <t>ASI23042540117121101</t>
  </si>
  <si>
    <t>VALSTS KASE (BUDŽETA MAKSĀJUMI) Procentu maksa , līgums A2/1/20/411 , 25.04.2023</t>
  </si>
  <si>
    <t>ASI23042540119370101</t>
  </si>
  <si>
    <t>VALSTS KASE (BUDŽETA MAKSĀJUMI) Procentu maksa , līgums A2/1/20/745 , 25.04.2023</t>
  </si>
  <si>
    <t>ASI23042540123784101</t>
  </si>
  <si>
    <t>VALSTS KASE (BUDŽETA MAKSĀJUMI) Procentu maksa , līgums A2/1/21/231 , 25.04.2023</t>
  </si>
  <si>
    <t>ASI23042540124436101</t>
  </si>
  <si>
    <t>VALSTS KASE (BUDŽETA MAKSĀJUMI) Procentu maksa , līgums A2/1/21/728 , 25.04.2023</t>
  </si>
  <si>
    <t>ASI23042540125181101</t>
  </si>
  <si>
    <t>VALSTS KASE (BUDŽETA MAKSĀJUMI) Procentu maksa , līgums A2/1/22/265 , 25.04.2023</t>
  </si>
  <si>
    <t>ASI23042540061020101</t>
  </si>
  <si>
    <t>VALSTS KASE (BUDŽETA MAKSĀJUMI) Procentu maksa , līgums A2/1/12/328 , 25.04.2023</t>
  </si>
  <si>
    <t>ASI23042540104371101</t>
  </si>
  <si>
    <t>VALSTS KASE (BUDŽETA MAKSĀJUMI) Procentu maksa , līgums A2/1/18/611 , 25.04.2023</t>
  </si>
  <si>
    <t>ASI23042540106086101</t>
  </si>
  <si>
    <t>VALSTS KASE (BUDŽETA MAKSĀJUMI) Procentu maksa , līgums A2/1/18/777 , 25.04.2023</t>
  </si>
  <si>
    <t>ASI23042540122772101</t>
  </si>
  <si>
    <t>VALSTS KASE (BUDŽETA MAKSĀJUMI) Procentu maksa , līgums A2/1/21/120 , 25.04.2023</t>
  </si>
  <si>
    <t>ASI23042540100274101</t>
  </si>
  <si>
    <t>VALSTS KASE (BUDŽETA MAKSĀJUMI) Procentu maksa , līgums A2/1/18/139 , 25.04.2023</t>
  </si>
  <si>
    <t>ASI23042540109969101</t>
  </si>
  <si>
    <t>VALSTS KASE (BUDŽETA MAKSĀJUMI) Procentu maksa , līgums A2/1/19/225 , 25.04.2023</t>
  </si>
  <si>
    <t>ASI23042540113869101</t>
  </si>
  <si>
    <t>VALSTS KASE (BUDŽETA MAKSĀJUMI) Procentu maksa , līgums A2/1/19/460 , 25.04.2023</t>
  </si>
  <si>
    <t>ASI23042540107823101</t>
  </si>
  <si>
    <t>VALSTS KASE (BUDŽETA MAKSĀJUMI) Procentu maksa , līgums A2/1/19/57 , 25.04.2023</t>
  </si>
  <si>
    <t>ASI23042540119369101</t>
  </si>
  <si>
    <t>VALSTS KASE (BUDŽETA MAKSĀJUMI) Procentu maksa , līgums A2/1/20/746 , 25.04.2023</t>
  </si>
  <si>
    <t>ASI23042540121470101</t>
  </si>
  <si>
    <t>VALSTS KASE (BUDŽETA MAKSĀJUMI) Procentu maksa , līgums A2/1/21/11 , 25.04.2023</t>
  </si>
  <si>
    <t>ASI23042540123070101</t>
  </si>
  <si>
    <t>VALSTS KASE (BUDŽETA MAKSĀJUMI) Procentu maksa , līgums A2/1/21/139 , 25.04.2023</t>
  </si>
  <si>
    <t>ASI23042540123783101</t>
  </si>
  <si>
    <t>VALSTS KASE (BUDŽETA MAKSĀJUMI) Procentu maksa , līgums A2/1/21/232 , 25.04.2023</t>
  </si>
  <si>
    <t>ASI23042540124575101</t>
  </si>
  <si>
    <t>VALSTS KASE (BUDŽETA MAKSĀJUMI) Procentu maksa , līgums A2/1/22/16 , 25.04.2023</t>
  </si>
  <si>
    <t>ASI23042540125174101</t>
  </si>
  <si>
    <t>VALSTS KASE (BUDŽETA MAKSĀJUMI) Procentu maksa , līgums A2/1/22/250 , 25.04.2023</t>
  </si>
  <si>
    <t>ASI23042540125182101</t>
  </si>
  <si>
    <t>VALSTS KASE (BUDŽETA MAKSĀJUMI) Procentu maksa , līgums A2/1/22/267 , 25.04.2023</t>
  </si>
  <si>
    <t>ASI23042540125481101</t>
  </si>
  <si>
    <t>VALSTS KASE (BUDŽETA MAKSĀJUMI) Procentu maksa , līgums A2/1/22/582 , 25.04.2023</t>
  </si>
  <si>
    <t>ASI23042540124435101</t>
  </si>
  <si>
    <t>VALSTS KASE (BUDŽETA MAKSĀJUMI) Procentu maksa , līgums A2/1/21/729 , 25.04.2023</t>
  </si>
  <si>
    <t>ASI23042540072519101</t>
  </si>
  <si>
    <t>VALSTS KASE (BUDŽETA MAKSĀJUMI) Procentu maksa , līgums A2/1/13/1000 , 25.04.2023</t>
  </si>
  <si>
    <t>ASI23042540101425101</t>
  </si>
  <si>
    <t>VALSTS KASE (BUDŽETA MAKSĀJUMI) Procentu maksa , līgums A2/1/18/251 , 25.04.2023</t>
  </si>
  <si>
    <t>ASI23042540103572101</t>
  </si>
  <si>
    <t>VALSTS KASE (BUDŽETA MAKSĀJUMI) Procentu maksa , līgums A2/1/18/528 , 25.04.2023</t>
  </si>
  <si>
    <t>ASI23042540112470101</t>
  </si>
  <si>
    <t>VALSTS KASE (BUDŽETA MAKSĀJUMI) Procentu maksa , līgums A2/1/19/370 , 25.04.2023</t>
  </si>
  <si>
    <t>ASI23042540125400101</t>
  </si>
  <si>
    <t>VALSTS KASE (BUDŽETA MAKSĀJUMI) Procentu maksa , līgums A2/1/22/536 , 25.04.2023</t>
  </si>
  <si>
    <t>ASI23072540054919101</t>
  </si>
  <si>
    <t>VALSTS KASE (BUDŽETA MAKSĀJUMI) Procentu maksa , līgums A2/1/11/549 , 25.07.2023</t>
  </si>
  <si>
    <t>ASI23072540101425101</t>
  </si>
  <si>
    <t>VALSTS KASE (BUDŽETA MAKSĀJUMI) Procentu maksa , līgums A2/1/18/251 , 25.07.2023</t>
  </si>
  <si>
    <t>ASI23072540101470101</t>
  </si>
  <si>
    <t>VALSTS KASE (BUDŽETA MAKSĀJUMI) Procentu maksa , līgums A2/1/18/254 , 25.07.2023</t>
  </si>
  <si>
    <t>ASI23072540101469101</t>
  </si>
  <si>
    <t>VALSTS KASE (BUDŽETA MAKSĀJUMI) Procentu maksa , līgums A2/1/18/255 , 25.07.2023</t>
  </si>
  <si>
    <t>ASI23072540104619101</t>
  </si>
  <si>
    <t>VALSTS KASE (BUDŽETA MAKSĀJUMI) Procentu maksa , līgums A2/1/18/643 , 25.07.2023</t>
  </si>
  <si>
    <t>ASI23072540119022101</t>
  </si>
  <si>
    <t>VALSTS KASE (BUDŽETA MAKSĀJUMI) Procentu maksa , līgums A2/1/20/675 , 25.07.2023</t>
  </si>
  <si>
    <t>ASI23072540123070101</t>
  </si>
  <si>
    <t>VALSTS KASE (BUDŽETA MAKSĀJUMI) Procentu maksa , līgums A2/1/21/139 , 25.07.2023</t>
  </si>
  <si>
    <t>ASI23072540121820101</t>
  </si>
  <si>
    <t>VALSTS KASE (BUDŽETA MAKSĀJUMI) Procentu maksa , līgums A2/1/21/41 , 25.07.2023</t>
  </si>
  <si>
    <t>ASI23072540124436101</t>
  </si>
  <si>
    <t>VALSTS KASE (BUDŽETA MAKSĀJUMI) Procentu maksa , līgums A2/1/21/728 , 25.07.2023</t>
  </si>
  <si>
    <t>ASI23072540124574101</t>
  </si>
  <si>
    <t>VALSTS KASE (BUDŽETA MAKSĀJUMI) Procentu maksa , līgums A2/1/22/15 , 25.07.2023</t>
  </si>
  <si>
    <t>ASI23072540096419101</t>
  </si>
  <si>
    <t>VALSTS KASE (BUDŽETA MAKSĀJUMI) Procentu maksa , līgums A2/1/17/596 , 25.07.2023</t>
  </si>
  <si>
    <t>ASI23072540109969101</t>
  </si>
  <si>
    <t>VALSTS KASE (BUDŽETA MAKSĀJUMI) Procentu maksa , līgums A2/1/19/225 , 25.07.2023</t>
  </si>
  <si>
    <t>ASI23072540119370101</t>
  </si>
  <si>
    <t>VALSTS KASE (BUDŽETA MAKSĀJUMI) Procentu maksa , līgums A2/1/20/745 , 25.07.2023</t>
  </si>
  <si>
    <t>ASI23072540125401101</t>
  </si>
  <si>
    <t>VALSTS KASE (BUDŽETA MAKSĀJUMI) Procentu maksa , līgums A2/1/22/538 , 25.07.2023</t>
  </si>
  <si>
    <t>ASI23072540125600101</t>
  </si>
  <si>
    <t>VALSTS KASE (BUDŽETA MAKSĀJUMI) Procentu maksa , līgums A2/1/23/156 , 25.07.2023</t>
  </si>
  <si>
    <t>ASI23072540095519101</t>
  </si>
  <si>
    <t>VALSTS KASE (BUDŽETA MAKSĀJUMI) Procentu maksa , līgums A2/1/17/468 , 25.07.2023</t>
  </si>
  <si>
    <t>ASI23072540100169101</t>
  </si>
  <si>
    <t>VALSTS KASE (BUDŽETA MAKSĀJUMI) Procentu maksa , līgums A2/1/18/123 , 25.07.2023</t>
  </si>
  <si>
    <t>ASI23072540104371101</t>
  </si>
  <si>
    <t>VALSTS KASE (BUDŽETA MAKSĀJUMI) Procentu maksa , līgums A2/1/18/611 , 25.07.2023</t>
  </si>
  <si>
    <t>ASI23072540113869101</t>
  </si>
  <si>
    <t>VALSTS KASE (BUDŽETA MAKSĀJUMI) Procentu maksa , līgums A2/1/19/460 , 25.07.2023</t>
  </si>
  <si>
    <t>ASI23072540125075101</t>
  </si>
  <si>
    <t>VALSTS KASE (BUDŽETA MAKSĀJUMI) Procentu maksa , līgums A2/1/22/123 , 25.07.2023</t>
  </si>
  <si>
    <t>ASI23072540124575101</t>
  </si>
  <si>
    <t>VALSTS KASE (BUDŽETA MAKSĀJUMI) Procentu maksa , līgums A2/1/22/16 , 25.07.2023</t>
  </si>
  <si>
    <t>ASI23072540125181101</t>
  </si>
  <si>
    <t>VALSTS KASE (BUDŽETA MAKSĀJUMI) Procentu maksa , līgums A2/1/22/265 , 25.07.2023</t>
  </si>
  <si>
    <t>ASI23072540072519101</t>
  </si>
  <si>
    <t>VALSTS KASE (BUDŽETA MAKSĀJUMI) Procentu maksa , līgums A2/1/13/1000 , 25.07.2023</t>
  </si>
  <si>
    <t>ASI23072540106086101</t>
  </si>
  <si>
    <t>VALSTS KASE (BUDŽETA MAKSĀJUMI) Procentu maksa , līgums A2/1/18/777 , 25.07.2023</t>
  </si>
  <si>
    <t>ASI23072540107820101</t>
  </si>
  <si>
    <t>VALSTS KASE (BUDŽETA MAKSĀJUMI) Procentu maksa , līgums A2/1/19/50 , 25.07.2023</t>
  </si>
  <si>
    <t>ASI23072540115969101</t>
  </si>
  <si>
    <t>VALSTS KASE (BUDŽETA MAKSĀJUMI) Procentu maksa , līgums A2/1/20/158 , 25.07.2023</t>
  </si>
  <si>
    <t>ASI23072540119023101</t>
  </si>
  <si>
    <t>VALSTS KASE (BUDŽETA MAKSĀJUMI) Procentu maksa , līgums A2/1/20/676 , 25.07.2023</t>
  </si>
  <si>
    <t>ASI23072540121469101</t>
  </si>
  <si>
    <t>VALSTS KASE (BUDŽETA MAKSĀJUMI) Procentu maksa , līgums A2/1/21/10 , 25.07.2023</t>
  </si>
  <si>
    <t>ASI23072540121470101</t>
  </si>
  <si>
    <t>VALSTS KASE (BUDŽETA MAKSĀJUMI) Procentu maksa , līgums A2/1/21/11 , 25.07.2023</t>
  </si>
  <si>
    <t>ASI23072540123784101</t>
  </si>
  <si>
    <t>VALSTS KASE (BUDŽETA MAKSĀJUMI) Procentu maksa , līgums A2/1/21/231 , 25.07.2023</t>
  </si>
  <si>
    <t>ASI23072540124348101</t>
  </si>
  <si>
    <t>VALSTS KASE (BUDŽETA MAKSĀJUMI) Procentu maksa , līgums A2/1/21/632 , 25.07.2023</t>
  </si>
  <si>
    <t>ASI23072540124435101</t>
  </si>
  <si>
    <t>VALSTS KASE (BUDŽETA MAKSĀJUMI) Procentu maksa , līgums A2/1/21/729 , 25.07.2023</t>
  </si>
  <si>
    <t>ASI23072540125400101</t>
  </si>
  <si>
    <t>VALSTS KASE (BUDŽETA MAKSĀJUMI) Procentu maksa , līgums A2/1/22/536 , 25.07.2023</t>
  </si>
  <si>
    <t>ASI23072540051172101</t>
  </si>
  <si>
    <t>VALSTS KASE (BUDŽETA MAKSĀJUMI) Procentu maksa , līgums A2/1/11/107 , 25.07.2023</t>
  </si>
  <si>
    <t>ASI23072540102775101</t>
  </si>
  <si>
    <t>VALSTS KASE (BUDŽETA MAKSĀJUMI) Procentu maksa , līgums A2/1/18/452 , 25.07.2023</t>
  </si>
  <si>
    <t>ASI23072540104620101</t>
  </si>
  <si>
    <t>VALSTS KASE (BUDŽETA MAKSĀJUMI) Procentu maksa , līgums A2/1/18/644 , 25.07.2023</t>
  </si>
  <si>
    <t>ASI23072540105375101</t>
  </si>
  <si>
    <t>VALSTS KASE (BUDŽETA MAKSĀJUMI) Procentu maksa , līgums A2/1/18/711 , 25.07.2023</t>
  </si>
  <si>
    <t>ASI23072540106371101</t>
  </si>
  <si>
    <t>VALSTS KASE (BUDŽETA MAKSĀJUMI) Procentu maksa , līgums A2/1/18/818 , 25.07.2023</t>
  </si>
  <si>
    <t>ASI23072540112470101</t>
  </si>
  <si>
    <t>VALSTS KASE (BUDŽETA MAKSĀJUMI) Procentu maksa , līgums A2/1/19/370 , 25.07.2023</t>
  </si>
  <si>
    <t>ASI23072540122523101</t>
  </si>
  <si>
    <t>VALSTS KASE (BUDŽETA MAKSĀJUMI) Procentu maksa , līgums A2/1/21/96 , 25.07.2023</t>
  </si>
  <si>
    <t>ASI23072540125169101</t>
  </si>
  <si>
    <t>VALSTS KASE (BUDŽETA MAKSĀJUMI) Procentu maksa , līgums A2/1/22/239 , 25.07.2023</t>
  </si>
  <si>
    <t>ASI23072540125547101</t>
  </si>
  <si>
    <t>VALSTS KASE (BUDŽETA MAKSĀJUMI) Procentu maksa , līgums A2/1/23/103 , 25.07.2023</t>
  </si>
  <si>
    <t>ASI23072540061020101</t>
  </si>
  <si>
    <t>VALSTS KASE (BUDŽETA MAKSĀJUMI) Procentu maksa , līgums A2/1/12/328 , 25.07.2023</t>
  </si>
  <si>
    <t>ASI23072540101426101</t>
  </si>
  <si>
    <t>VALSTS KASE (BUDŽETA MAKSĀJUMI) Procentu maksa , līgums A2/1/18/252 , 25.07.2023</t>
  </si>
  <si>
    <t>ASI23072540101427101</t>
  </si>
  <si>
    <t>VALSTS KASE (BUDŽETA MAKSĀJUMI) Procentu maksa , līgums A2/1/18/253 , 25.07.2023</t>
  </si>
  <si>
    <t>ASI23072540103572101</t>
  </si>
  <si>
    <t>VALSTS KASE (BUDŽETA MAKSĀJUMI) Procentu maksa , līgums A2/1/18/528 , 25.07.2023</t>
  </si>
  <si>
    <t>ASI23072540103571101</t>
  </si>
  <si>
    <t>VALSTS KASE (BUDŽETA MAKSĀJUMI) Procentu maksa , līgums A2/1/18/529 , 25.07.2023</t>
  </si>
  <si>
    <t>ASI23072540107823101</t>
  </si>
  <si>
    <t>VALSTS KASE (BUDŽETA MAKSĀJUMI) Procentu maksa , līgums A2/1/19/57 , 25.07.2023</t>
  </si>
  <si>
    <t>ASI23072540122772101</t>
  </si>
  <si>
    <t>VALSTS KASE (BUDŽETA MAKSĀJUMI) Procentu maksa , līgums A2/1/21/120 , 25.07.2023</t>
  </si>
  <si>
    <t>ASI23072540123783101</t>
  </si>
  <si>
    <t>VALSTS KASE (BUDŽETA MAKSĀJUMI) Procentu maksa , līgums A2/1/21/232 , 25.07.2023</t>
  </si>
  <si>
    <t>ASI23072540094570101</t>
  </si>
  <si>
    <t>VALSTS KASE (BUDŽETA MAKSĀJUMI) Procentu maksa , līgums A2/1/17/301 , 25.07.2023</t>
  </si>
  <si>
    <t>ASI23072540117121101</t>
  </si>
  <si>
    <t>VALSTS KASE (BUDŽETA MAKSĀJUMI) Procentu maksa , līgums A2/1/20/411 , 25.07.2023</t>
  </si>
  <si>
    <t>ASI23072540119369101</t>
  </si>
  <si>
    <t>VALSTS KASE (BUDŽETA MAKSĀJUMI) Procentu maksa , līgums A2/1/20/746 , 25.07.2023</t>
  </si>
  <si>
    <t>ASI23072540123219101</t>
  </si>
  <si>
    <t>VALSTS KASE (BUDŽETA MAKSĀJUMI) Procentu maksa , līgums A2/1/21/169 , 25.07.2023</t>
  </si>
  <si>
    <t>ASI23072540124437101</t>
  </si>
  <si>
    <t>VALSTS KASE (BUDŽETA MAKSĀJUMI) Procentu maksa , līgums A2/1/21/727 , 25.07.2023</t>
  </si>
  <si>
    <t>ASI23072540125096101</t>
  </si>
  <si>
    <t>VALSTS KASE (BUDŽETA MAKSĀJUMI) Procentu maksa , līgums A2/1/22/165 , 25.07.2023</t>
  </si>
  <si>
    <t>ASI23072540125481101</t>
  </si>
  <si>
    <t>VALSTS KASE (BUDŽETA MAKSĀJUMI) Procentu maksa , līgums A2/1/22/582 , 25.07.2023</t>
  </si>
  <si>
    <t>ASI23072540100274101</t>
  </si>
  <si>
    <t>VALSTS KASE (BUDŽETA MAKSĀJUMI) Procentu maksa , līgums A2/1/18/139 , 25.07.2023</t>
  </si>
  <si>
    <t>ASI23072540124534101</t>
  </si>
  <si>
    <t>VALSTS KASE (BUDŽETA MAKSĀJUMI) Procentu maksa , līgums A2/1/21/776 , 25.07.2023</t>
  </si>
  <si>
    <t>ASI23072540125174101</t>
  </si>
  <si>
    <t>VALSTS KASE (BUDŽETA MAKSĀJUMI) Procentu maksa , līgums A2/1/22/250 , 25.07.2023</t>
  </si>
  <si>
    <t>Kopā (EUR):   732 845.02</t>
  </si>
  <si>
    <t>VALSTS KASE (BUDŽETA MAKSĀJUMI) Apkalpošanas maksa , līgums A2/1/11/107 , 25.01.2023</t>
  </si>
  <si>
    <t>VALSTS KASE (BUDŽETA MAKSĀJUMI) Apkalpošanas maksa , līgums A2/1/17/468 , 25.01.2023</t>
  </si>
  <si>
    <t>VALSTS KASE (BUDŽETA MAKSĀJUMI) Apkalpošanas maksa , līgums A2/1/18/644 , 25.01.2023</t>
  </si>
  <si>
    <t>VALSTS KASE (BUDŽETA MAKSĀJUMI) Apkalpošanas maksa , līgums A2/1/18/252 , 25.01.2023</t>
  </si>
  <si>
    <t>VALSTS KASE (BUDŽETA MAKSĀJUMI) Apkalpošanas maksa , līgums A2/1/17/596 , 25.01.2023</t>
  </si>
  <si>
    <t>VALSTS KASE (BUDŽETA MAKSĀJUMI) Apkalpošanas maksa , līgums A2/1/18/528 , 25.01.2023</t>
  </si>
  <si>
    <t>VALSTS KASE (BUDŽETA MAKSĀJUMI) Apkalpošanas maksa , līgums A2/1/18/529 , 25.01.2023</t>
  </si>
  <si>
    <t>ASI23012540107823101</t>
  </si>
  <si>
    <t>VALSTS KASE (BUDŽETA MAKSĀJUMI) Apkalpošanas maksa , līgums A2/1/19/57 , 25.01.2023</t>
  </si>
  <si>
    <t>VALSTS KASE (BUDŽETA MAKSĀJUMI) Apkalpošanas maksa , līgums A2/1/12/328 , 25.01.2023</t>
  </si>
  <si>
    <t>VALSTS KASE (BUDŽETA MAKSĀJUMI) Apkalpošanas maksa , līgums A2/1/17/301 , 25.01.2023</t>
  </si>
  <si>
    <t>VALSTS KASE (BUDŽETA MAKSĀJUMI) Apkalpošanas maksa , līgums A2/1/18/255 , 25.01.2023</t>
  </si>
  <si>
    <t>VALSTS KASE (BUDŽETA MAKSĀJUMI) Apkalpošanas maksa , līgums A2/1/18/777 , 25.01.2023</t>
  </si>
  <si>
    <t>VALSTS KASE (BUDŽETA MAKSĀJUMI) Apkalpošanas maksa , līgums A2/1/19/225 , 25.01.2023</t>
  </si>
  <si>
    <t>VALSTS KASE (BUDŽETA MAKSĀJUMI) Apkalpošanas maksa , līgums A2/1/19/370 , 25.01.2023</t>
  </si>
  <si>
    <t>ASI23012540107820101</t>
  </si>
  <si>
    <t>VALSTS KASE (BUDŽETA MAKSĀJUMI) Apkalpošanas maksa , līgums A2/1/19/50 , 25.01.2023</t>
  </si>
  <si>
    <t>VALSTS KASE (BUDŽETA MAKSĀJUMI) Apkalpošanas maksa , līgums A2/1/11/549 , 25.01.2023</t>
  </si>
  <si>
    <t>VALSTS KASE (BUDŽETA MAKSĀJUMI) Apkalpošanas maksa , līgums A2/1/18/123 , 25.01.2023</t>
  </si>
  <si>
    <t>VALSTS KASE (BUDŽETA MAKSĀJUMI) Apkalpošanas maksa , līgums A2/1/18/253 , 25.01.2023</t>
  </si>
  <si>
    <t>VALSTS KASE (BUDŽETA MAKSĀJUMI) Apkalpošanas maksa , līgums A2/1/18/254 , 25.01.2023</t>
  </si>
  <si>
    <t>VALSTS KASE (BUDŽETA MAKSĀJUMI) Apkalpošanas maksa , līgums A2/1/19/460 , 25.01.2023</t>
  </si>
  <si>
    <t>VALSTS KASE (BUDŽETA MAKSĀJUMI) Apkalpošanas maksa , līgums A2/1/13/1000 , 25.01.2023</t>
  </si>
  <si>
    <t>VALSTS KASE (BUDŽETA MAKSĀJUMI) Apkalpošanas maksa , līgums A2/1/18/711 , 25.01.2023</t>
  </si>
  <si>
    <t>VALSTS KASE (BUDŽETA MAKSĀJUMI) Apkalpošanas maksa , līgums A2/1/18/818 , 25.01.2023</t>
  </si>
  <si>
    <t>VALSTS KASE (BUDŽETA MAKSĀJUMI) Apkalpošanas maksa , līgums A2/1/21/139 , 25.01.2023</t>
  </si>
  <si>
    <t>ASI23012540100274101</t>
  </si>
  <si>
    <t>VALSTS KASE (BUDŽETA MAKSĀJUMI) Apkalpošanas maksa , līgums A2/1/18/139 , 25.01.2023</t>
  </si>
  <si>
    <t>VALSTS KASE (BUDŽETA MAKSĀJUMI) Apkalpošanas maksa , līgums A2/1/18/251 , 25.01.2023</t>
  </si>
  <si>
    <t>VALSTS KASE (BUDŽETA MAKSĀJUMI) Apkalpošanas maksa , līgums A2/1/18/452 , 25.01.2023</t>
  </si>
  <si>
    <t>VALSTS KASE (BUDŽETA MAKSĀJUMI) Apkalpošanas maksa , līgums A2/1/18/611 , 25.01.2023</t>
  </si>
  <si>
    <t>VALSTS KASE (BUDŽETA MAKSĀJUMI) Apkalpošanas maksa , līgums A2/1/18/643 , 25.01.2023</t>
  </si>
  <si>
    <t>VALSTS KASE (BUDŽETA MAKSĀJUMI) Apkalpošanas maksa , līgums A2/1/17/468 , 25.04.2023</t>
  </si>
  <si>
    <t>VALSTS KASE (BUDŽETA MAKSĀJUMI) Apkalpošanas maksa , līgums A2/1/18/452 , 25.04.2023</t>
  </si>
  <si>
    <t>VALSTS KASE (BUDŽETA MAKSĀJUMI) Apkalpošanas maksa , līgums A2/1/21/139 , 25.04.2023</t>
  </si>
  <si>
    <t>VALSTS KASE (BUDŽETA MAKSĀJUMI) Apkalpošanas maksa , līgums A2/1/18/529 , 25.04.2023</t>
  </si>
  <si>
    <t>VALSTS KASE (BUDŽETA MAKSĀJUMI) Apkalpošanas maksa , līgums A2/1/11/107 , 25.04.2023</t>
  </si>
  <si>
    <t>VALSTS KASE (BUDŽETA MAKSĀJUMI) Apkalpošanas maksa , līgums A2/1/18/123 , 25.04.2023</t>
  </si>
  <si>
    <t>VALSTS KASE (BUDŽETA MAKSĀJUMI) Apkalpošanas maksa , līgums A2/1/18/139 , 25.04.2023</t>
  </si>
  <si>
    <t>VALSTS KASE (BUDŽETA MAKSĀJUMI) Apkalpošanas maksa , līgums A2/1/18/253 , 25.04.2023</t>
  </si>
  <si>
    <t>VALSTS KASE (BUDŽETA MAKSĀJUMI) Apkalpošanas maksa , līgums A2/1/18/254 , 25.04.2023</t>
  </si>
  <si>
    <t>VALSTS KASE (BUDŽETA MAKSĀJUMI) Apkalpošanas maksa , līgums A2/1/18/644 , 25.04.2023</t>
  </si>
  <si>
    <t>VALSTS KASE (BUDŽETA MAKSĀJUMI) Apkalpošanas maksa , līgums A2/1/18/818 , 25.04.2023</t>
  </si>
  <si>
    <t>VALSTS KASE (BUDŽETA MAKSĀJUMI) Apkalpošanas maksa , līgums A2/1/19/370 , 25.04.2023</t>
  </si>
  <si>
    <t>VALSTS KASE (BUDŽETA MAKSĀJUMI) Apkalpošanas maksa , līgums A2/1/12/328 , 25.04.2023</t>
  </si>
  <si>
    <t>VALSTS KASE (BUDŽETA MAKSĀJUMI) Apkalpošanas maksa , līgums A2/1/17/301 , 25.04.2023</t>
  </si>
  <si>
    <t>VALSTS KASE (BUDŽETA MAKSĀJUMI) Apkalpošanas maksa , līgums A2/1/17/596 , 25.04.2023</t>
  </si>
  <si>
    <t>VALSTS KASE (BUDŽETA MAKSĀJUMI) Apkalpošanas maksa , līgums A2/1/19/225 , 25.04.2023</t>
  </si>
  <si>
    <t>VALSTS KASE (BUDŽETA MAKSĀJUMI) Apkalpošanas maksa , līgums A2/1/11/549 , 25.04.2023</t>
  </si>
  <si>
    <t>VALSTS KASE (BUDŽETA MAKSĀJUMI) Apkalpošanas maksa , līgums A2/1/18/252 , 25.04.2023</t>
  </si>
  <si>
    <t>VALSTS KASE (BUDŽETA MAKSĀJUMI) Apkalpošanas maksa , līgums A2/1/18/528 , 25.04.2023</t>
  </si>
  <si>
    <t>VALSTS KASE (BUDŽETA MAKSĀJUMI) Apkalpošanas maksa , līgums A2/1/18/711 , 25.04.2023</t>
  </si>
  <si>
    <t>VALSTS KASE (BUDŽETA MAKSĀJUMI) Apkalpošanas maksa , līgums A2/1/18/777 , 25.04.2023</t>
  </si>
  <si>
    <t>VALSTS KASE (BUDŽETA MAKSĀJUMI) Apkalpošanas maksa , līgums A2/1/18/251 , 25.04.2023</t>
  </si>
  <si>
    <t>VALSTS KASE (BUDŽETA MAKSĀJUMI) Apkalpošanas maksa , līgums A2/1/18/643 , 25.04.2023</t>
  </si>
  <si>
    <t>VALSTS KASE (BUDŽETA MAKSĀJUMI) Apkalpošanas maksa , līgums A2/1/13/1000 , 25.04.2023</t>
  </si>
  <si>
    <t>VALSTS KASE (BUDŽETA MAKSĀJUMI) Apkalpošanas maksa , līgums A2/1/18/255 , 25.04.2023</t>
  </si>
  <si>
    <t>VALSTS KASE (BUDŽETA MAKSĀJUMI) Apkalpošanas maksa , līgums A2/1/18/611 , 25.04.2023</t>
  </si>
  <si>
    <t>VALSTS KASE (BUDŽETA MAKSĀJUMI) Apkalpošanas maksa , līgums A2/1/19/460 , 25.04.2023</t>
  </si>
  <si>
    <t>VALSTS KASE (BUDŽETA MAKSĀJUMI) Apkalpošanas maksa , līgums A2/1/19/50 , 25.04.2023</t>
  </si>
  <si>
    <t>VALSTS KASE (BUDŽETA MAKSĀJUMI) Apkalpošanas maksa , līgums A2/1/19/57 , 25.04.2023</t>
  </si>
  <si>
    <t>VALSTS KASE (BUDŽETA MAKSĀJUMI) Apkalpošanas maksa , līgums A2/1/18/123 , 25.07.2023</t>
  </si>
  <si>
    <t>VALSTS KASE (BUDŽETA MAKSĀJUMI) Apkalpošanas maksa , līgums A2/1/18/253 , 25.07.2023</t>
  </si>
  <si>
    <t>VALSTS KASE (BUDŽETA MAKSĀJUMI) Apkalpošanas maksa , līgums A2/1/18/644 , 25.07.2023</t>
  </si>
  <si>
    <t>VALSTS KASE (BUDŽETA MAKSĀJUMI) Apkalpošanas maksa , līgums A2/1/19/460 , 25.07.2023</t>
  </si>
  <si>
    <t>VALSTS KASE (BUDŽETA MAKSĀJUMI) Apkalpošanas maksa , līgums A2/1/18/139 , 25.07.2023</t>
  </si>
  <si>
    <t>VALSTS KASE (BUDŽETA MAKSĀJUMI) Apkalpošanas maksa , līgums A2/1/18/528 , 25.07.2023</t>
  </si>
  <si>
    <t>VALSTS KASE (BUDŽETA MAKSĀJUMI) Apkalpošanas maksa , līgums A2/1/18/529 , 25.07.2023</t>
  </si>
  <si>
    <t>VALSTS KASE (BUDŽETA MAKSĀJUMI) Apkalpošanas maksa , līgums A2/1/18/711 , 25.07.2023</t>
  </si>
  <si>
    <t>VALSTS KASE (BUDŽETA MAKSĀJUMI) Apkalpošanas maksa , līgums A2/1/18/777 , 25.07.2023</t>
  </si>
  <si>
    <t>VALSTS KASE (BUDŽETA MAKSĀJUMI) Apkalpošanas maksa , līgums A2/1/19/57 , 25.07.2023</t>
  </si>
  <si>
    <t>VALSTS KASE (BUDŽETA MAKSĀJUMI) Apkalpošanas maksa , līgums A2/1/11/549 , 25.07.2023</t>
  </si>
  <si>
    <t>VALSTS KASE (BUDŽETA MAKSĀJUMI) Apkalpošanas maksa , līgums A2/1/13/1000 , 25.07.2023</t>
  </si>
  <si>
    <t>VALSTS KASE (BUDŽETA MAKSĀJUMI) Apkalpošanas maksa , līgums A2/1/12/328 , 25.07.2023</t>
  </si>
  <si>
    <t>VALSTS KASE (BUDŽETA MAKSĀJUMI) Apkalpošanas maksa , līgums A2/1/18/252 , 25.07.2023</t>
  </si>
  <si>
    <t>VALSTS KASE (BUDŽETA MAKSĀJUMI) Apkalpošanas maksa , līgums A2/1/18/255 , 25.07.2023</t>
  </si>
  <si>
    <t>VALSTS KASE (BUDŽETA MAKSĀJUMI) Apkalpošanas maksa , līgums A2/1/18/452 , 25.07.2023</t>
  </si>
  <si>
    <t>VALSTS KASE (BUDŽETA MAKSĀJUMI) Apkalpošanas maksa , līgums A2/1/18/611 , 25.07.2023</t>
  </si>
  <si>
    <t>VALSTS KASE (BUDŽETA MAKSĀJUMI) Apkalpošanas maksa , līgums A2/1/19/50 , 25.07.2023</t>
  </si>
  <si>
    <t>VALSTS KASE (BUDŽETA MAKSĀJUMI) Apkalpošanas maksa , līgums A2/1/17/301 , 25.07.2023</t>
  </si>
  <si>
    <t>VALSTS KASE (BUDŽETA MAKSĀJUMI) Apkalpošanas maksa , līgums A2/1/17/468 , 25.07.2023</t>
  </si>
  <si>
    <t>VALSTS KASE (BUDŽETA MAKSĀJUMI) Apkalpošanas maksa , līgums A2/1/18/251 , 25.07.2023</t>
  </si>
  <si>
    <t>VALSTS KASE (BUDŽETA MAKSĀJUMI) Apkalpošanas maksa , līgums A2/1/18/254 , 25.07.2023</t>
  </si>
  <si>
    <t>VALSTS KASE (BUDŽETA MAKSĀJUMI) Apkalpošanas maksa , līgums A2/1/18/643 , 25.07.2023</t>
  </si>
  <si>
    <t>VALSTS KASE (BUDŽETA MAKSĀJUMI) Apkalpošanas maksa , līgums A2/1/11/107 , 25.07.2023</t>
  </si>
  <si>
    <t>VALSTS KASE (BUDŽETA MAKSĀJUMI) Apkalpošanas maksa , līgums A2/1/19/370 , 25.07.2023</t>
  </si>
  <si>
    <t>VALSTS KASE (BUDŽETA MAKSĀJUMI) Apkalpošanas maksa , līgums A2/1/17/596 , 25.07.2023</t>
  </si>
  <si>
    <t>VALSTS KASE (BUDŽETA MAKSĀJUMI) Apkalpošanas maksa , līgums A2/1/19/225 , 25.07.2023</t>
  </si>
  <si>
    <t>VALSTS KASE (BUDŽETA MAKSĀJUMI) Apkalpošanas maksa , līgums A2/1/18/818 , 25.07.2023</t>
  </si>
  <si>
    <t>VALSTS KASE (BUDŽETA MAKSĀJUMI) Apkalpošanas maksa , līgums A2/1/21/139 , 25.07.2023</t>
  </si>
  <si>
    <t>Kopā (EUR):   61 443.21</t>
  </si>
  <si>
    <t>A2/1/23/290</t>
  </si>
  <si>
    <t>P-222/2023</t>
  </si>
  <si>
    <t>20.07.2033</t>
  </si>
  <si>
    <t>08.08.2024</t>
  </si>
  <si>
    <t>11.09.2024</t>
  </si>
  <si>
    <t>12.09.2024</t>
  </si>
  <si>
    <t>30.08.2024</t>
  </si>
  <si>
    <t>18.08.2024</t>
  </si>
  <si>
    <t>Nosaukums</t>
  </si>
  <si>
    <t>Jaunās skolas būvniecība (3. kārta)</t>
  </si>
  <si>
    <t>Gaujas ielas gājēju celiņa izbūve</t>
  </si>
  <si>
    <t>Muižas ielas rekonstrukcijai</t>
  </si>
  <si>
    <t>Ataru ceļa rekonstrukcija</t>
  </si>
  <si>
    <t>SAM 4.2.2. ĀPII remontdarbi</t>
  </si>
  <si>
    <t>Attekas ielas rekonstrukcija</t>
  </si>
  <si>
    <t xml:space="preserve"> Bukultu ielas rekonstrukcija</t>
  </si>
  <si>
    <t>Ķiršu ielas rekonstrukcija</t>
  </si>
  <si>
    <t>Pirmās ielas stāvlaukums pie ĀPII</t>
  </si>
  <si>
    <t>Mežaparka ceļa pārbūve</t>
  </si>
  <si>
    <t>Priežu ielas rekonstrukcija</t>
  </si>
  <si>
    <t>Skolas ielas projektēšana izbūve - 3.kārta</t>
  </si>
  <si>
    <t>SAM 5.5.1. Kultūras objektu būvniecība</t>
  </si>
  <si>
    <t>ERAF "Carnikavas pamatskolas pārbūve"</t>
  </si>
  <si>
    <t>LAD  projekts koka laipu taka uz jūru</t>
  </si>
  <si>
    <t>Stacijas ielas pārbūve</t>
  </si>
  <si>
    <t>Lielās ielas pārbūve</t>
  </si>
  <si>
    <t>PII Piejūra būvniecības pabeigšana</t>
  </si>
  <si>
    <t>Nr.p.k.</t>
  </si>
  <si>
    <t>Pavisam kopā</t>
  </si>
  <si>
    <t>% likmes maiņas datums</t>
  </si>
  <si>
    <t>% likmes veids</t>
  </si>
  <si>
    <t>FIX</t>
  </si>
  <si>
    <t>A/C</t>
  </si>
  <si>
    <t>A</t>
  </si>
  <si>
    <t>C</t>
  </si>
  <si>
    <t>Plānots</t>
  </si>
  <si>
    <t>Maģistrālā  veloceļa izbūve Rīga-Carnikava</t>
  </si>
  <si>
    <t>Citas ilgtermiņa saistības.</t>
  </si>
  <si>
    <t>Saistību mērķis</t>
  </si>
  <si>
    <t>Līguma Nr.</t>
  </si>
  <si>
    <t>Trānčes Nr.</t>
  </si>
  <si>
    <t>Galvojums SIA "Ādažu ūdens"</t>
  </si>
  <si>
    <t>Līzings - jauna automašīna Volvo V60</t>
  </si>
  <si>
    <t>Līzings - frontālais iekrāvējs</t>
  </si>
  <si>
    <t>Līzings - mikroautobuss</t>
  </si>
  <si>
    <t>Līzings - skolēnu autobuss</t>
  </si>
  <si>
    <t>Ādažu novada pašvaldības aizņēmumu un citu ilgtermiņa saistību pārskats</t>
  </si>
  <si>
    <t>Aizņēmumu pamatsummu un procentu atmaksa faktiskajiem un plānotajiem aizņēmumiem.</t>
  </si>
  <si>
    <t xml:space="preserve">Citas ilgtermiņa saistības kopā: </t>
  </si>
  <si>
    <t>Aizņēmumi un citas ilgtemiņa saistības kopā:</t>
  </si>
  <si>
    <t>Aizņēmumi kopā:</t>
  </si>
  <si>
    <t>Saistību apmērs % no pamatbudžeta ieņēmumiem:</t>
  </si>
  <si>
    <t>Pašvaldības pamatbudžeta ieņēmumi bez mērķdotācijām un iemaksām PFIF saimnieciskajā gadā:</t>
  </si>
  <si>
    <t>Aizņēmumu pamatsummas atmaksa:</t>
  </si>
  <si>
    <t>Aizņēmumu procentu maksa:</t>
  </si>
  <si>
    <t>Citas ilgtermiņa saistības:</t>
  </si>
  <si>
    <t>EKII projekts</t>
  </si>
  <si>
    <t xml:space="preserve"> ”Mobilitātes punkta infrastruktūras izveidošana </t>
  </si>
  <si>
    <t>Rīgas metropoles areālā – “Carnikava””</t>
  </si>
  <si>
    <t>PII Podnieki UN Krastupes iela</t>
  </si>
  <si>
    <t>Kalngales NAI</t>
  </si>
  <si>
    <t>(Operatīvais līzings)</t>
  </si>
  <si>
    <t>A2/1/23/429</t>
  </si>
  <si>
    <t>P-344/2023</t>
  </si>
  <si>
    <t>ĀŪ</t>
  </si>
  <si>
    <t xml:space="preserve">Komunālās saimniecības </t>
  </si>
  <si>
    <t xml:space="preserve">investīcijas transportam </t>
  </si>
  <si>
    <t>Ceļu, ielu infrastruktūras programma</t>
  </si>
  <si>
    <t>(1.kārta)</t>
  </si>
  <si>
    <t xml:space="preserve">ES Interreg Igaunijas - Latvijas projekts </t>
  </si>
  <si>
    <t>"Hiking Route Along the Baltic Sea Coastline in Latvia-Estonia"</t>
  </si>
  <si>
    <t xml:space="preserve">ERAF projekts Natura 2000 </t>
  </si>
  <si>
    <t>Atpūtas taka Carnikavā</t>
  </si>
  <si>
    <t xml:space="preserve">Izglītības iestāžu investīciju projekts - </t>
  </si>
  <si>
    <t>Carnikavas izglītības iestādes būvniecība no moduļiem</t>
  </si>
  <si>
    <t xml:space="preserve">Prioritārais projekts Dambja būvniecība </t>
  </si>
  <si>
    <t xml:space="preserve">Valteru ielā </t>
  </si>
  <si>
    <t xml:space="preserve">Carnikavas novada pašvaldības transporta </t>
  </si>
  <si>
    <t>infrstruktūras attīstība</t>
  </si>
  <si>
    <t>Kopsumma 2024 - 2053</t>
  </si>
  <si>
    <t>2031 - 2053</t>
  </si>
  <si>
    <t xml:space="preserve">Ādažu vidusskolas ēkas A korpusa </t>
  </si>
  <si>
    <t>un centrālās daļas fasādes atjaunošana.</t>
  </si>
  <si>
    <t>Aizņēmuma summa, EUR</t>
  </si>
  <si>
    <t xml:space="preserve">Stabilizācijas aizdevums </t>
  </si>
  <si>
    <t>(1.kārtas 2.posms)</t>
  </si>
  <si>
    <t>(1.kārtas 3.posms)</t>
  </si>
  <si>
    <t>Stabilizācijas aizdevums</t>
  </si>
  <si>
    <t>SIA "Ādažu ūdens" (2.kārta 1.posms)</t>
  </si>
  <si>
    <t>Gaujas ielas rekonstrukcija</t>
  </si>
  <si>
    <t xml:space="preserve"> (1.-3.kārta)</t>
  </si>
  <si>
    <t xml:space="preserve"> (4.kārta)</t>
  </si>
  <si>
    <t xml:space="preserve">Jaunās skolas būvniecība </t>
  </si>
  <si>
    <t>(1.-2. kārta)</t>
  </si>
  <si>
    <t xml:space="preserve">ELFLA projekts pievadceļu attīstība </t>
  </si>
  <si>
    <t xml:space="preserve">lauksaimniecības uzņēmumiem </t>
  </si>
  <si>
    <t>Prioritāro projektu īstenošana:</t>
  </si>
  <si>
    <t xml:space="preserve"> bērnu rotaļu laukumi Carnikavas novadā</t>
  </si>
  <si>
    <t>Izglītības iestāžu investīciju projekts -</t>
  </si>
  <si>
    <t xml:space="preserve"> Piejūras PII būvniecība</t>
  </si>
  <si>
    <t xml:space="preserve"> (2.kārta)</t>
  </si>
  <si>
    <t xml:space="preserve">Ceļu, ielu infrastruktūras programma </t>
  </si>
  <si>
    <t>(3.kārta)</t>
  </si>
  <si>
    <t>( 4.kārta)</t>
  </si>
  <si>
    <t xml:space="preserve">Pārjaunojuma līgums </t>
  </si>
  <si>
    <t>visiem līgumiem līdz 2015.gadam</t>
  </si>
  <si>
    <t>ELFLA Eimuru - Mangaļu poldera</t>
  </si>
  <si>
    <t xml:space="preserve"> meliorācijas grāvju atjaunošana Carnikavas novadā</t>
  </si>
  <si>
    <t>KF projekts "Ūdenssaimniecības</t>
  </si>
  <si>
    <t xml:space="preserve"> pakalpojumu attīstība Carnikavā III kārta"</t>
  </si>
  <si>
    <t>PII Piejūra" būvniecība"</t>
  </si>
  <si>
    <t>Prioritārais projekts -</t>
  </si>
  <si>
    <t>Budžeta un finanšu vadībai</t>
  </si>
  <si>
    <t xml:space="preserve"> (Aprīkojums PII Piejūra)</t>
  </si>
  <si>
    <t xml:space="preserve">Investīciju projektu īstenošanai </t>
  </si>
  <si>
    <t>(saistību pārjaunojums)</t>
  </si>
  <si>
    <t xml:space="preserve">Autostāvvietas izbūve Karlsona parkā, </t>
  </si>
  <si>
    <t>Garciemā, Carnikavas novadā</t>
  </si>
  <si>
    <t xml:space="preserve">SAM 9311 Deinstitucionalizācija - </t>
  </si>
  <si>
    <t>Dienas centrs</t>
  </si>
  <si>
    <t xml:space="preserve">Carnikavas pamatskolas infrastruktūras </t>
  </si>
  <si>
    <t>uzlabošana un mācību vides labiekārtošana</t>
  </si>
  <si>
    <t xml:space="preserve">Laivu ielas (no Cēlāju ciema līdz jūrai Carnikavā) </t>
  </si>
  <si>
    <t>un tai piegulošā auto stāvlaukuma projektēšana un būvniecība</t>
  </si>
  <si>
    <t xml:space="preserve">SAM 5.1.1. Pretplūdu pasākumi </t>
  </si>
  <si>
    <t>Ādažu centra polderī</t>
  </si>
  <si>
    <t>Aizvēju ielas Garciemā,</t>
  </si>
  <si>
    <t xml:space="preserve"> dubultā virsmas apstrāde (2.daļa)</t>
  </si>
  <si>
    <t xml:space="preserve">Carnikavas stadiona rekonstrukcija </t>
  </si>
  <si>
    <t>(Prioritārais)</t>
  </si>
  <si>
    <t>(Covid19)</t>
  </si>
  <si>
    <t xml:space="preserve">ERAF projekta (Nr.5.1.1.0/17/I/009) </t>
  </si>
  <si>
    <t>“Novērst plūdu un krasta erozijas risku apdraudējumu Ādažu novadā, 1. daļa” īstenošanai</t>
  </si>
  <si>
    <t>Carnikavas stadiona rekonstrukcija</t>
  </si>
  <si>
    <t xml:space="preserve"> (Prioritārais 2023.g.)</t>
  </si>
  <si>
    <t xml:space="preserve"> "Auto stāvlaukuma Lilastē paplašināšana,</t>
  </si>
  <si>
    <t xml:space="preserve"> atpūtas vietu, labiekārtojuma, labierīcību, kempinga iespēju projektēšana un izbūve"</t>
  </si>
  <si>
    <t xml:space="preserve">Ķiršu ielas III kārta </t>
  </si>
  <si>
    <t>no Saules ielas līdz Attekas ielai 0.17km</t>
  </si>
  <si>
    <t xml:space="preserve">Ādažu vidusskolas ēkas B korpusa </t>
  </si>
  <si>
    <t>un savienojuma daļas starp korpusiem (C un B) fasādes atjaunošana</t>
  </si>
  <si>
    <t xml:space="preserve">ERAF projekta SAM 3.3.1. Uzņēmējdarbības </t>
  </si>
  <si>
    <t>attīstībai nepieciešamās infrastruktūras Carnikavas novada Garciemā" īstenošanai</t>
  </si>
  <si>
    <t xml:space="preserve">Skolas siltināšana </t>
  </si>
  <si>
    <t>un stadiona rekonstrukcija</t>
  </si>
  <si>
    <t xml:space="preserve">Apgaismojuma izbūve uz Salas </t>
  </si>
  <si>
    <t>aizsargdamja D-2 posmā, Carnikavas pagastā</t>
  </si>
  <si>
    <t>(2.kārta 2.posms)</t>
  </si>
  <si>
    <t>2024 faktiski samaksāts</t>
  </si>
  <si>
    <t>2024 atlikušais maksājums</t>
  </si>
  <si>
    <t>Vēl rezerve pie %iem</t>
  </si>
  <si>
    <t xml:space="preserve">Skolas ielas projektēšana izbūve - </t>
  </si>
  <si>
    <t>3.kārta</t>
  </si>
  <si>
    <t>2032 - 2053</t>
  </si>
  <si>
    <t>Kopsumma 2025 - 2053</t>
  </si>
  <si>
    <t>A2/1/24/230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</si>
</sst>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.000_-;\-* #,##0.000_-;_-* &quot;-&quot;??_-;_-@_-"/>
    <numFmt numFmtId="167" formatCode="0.0%"/>
    <numFmt numFmtId="168" formatCode="_(* #,##0.00_);_(* \(#,##0.00\);_(* &quot;-&quot;??_);_(@_)"/>
  </numFmts>
  <fonts count="49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color indexed="63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indexed="8"/>
      <name val="Calibri"/>
      <family val="2"/>
      <charset val="186"/>
    </font>
    <font>
      <b/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theme="6" tint="-0.249977111117893"/>
      <name val="Calibri"/>
      <family val="2"/>
      <charset val="186"/>
      <scheme val="minor"/>
    </font>
    <font>
      <b/>
      <sz val="11"/>
      <color theme="2" tint="-0.499984740745262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theme="6" tint="-0.249977111117893"/>
      <name val="Calibri"/>
      <family val="2"/>
      <charset val="186"/>
      <scheme val="minor"/>
    </font>
    <font>
      <b/>
      <sz val="10"/>
      <color theme="2" tint="-0.499984740745262"/>
      <name val="Calibri"/>
      <family val="2"/>
      <charset val="186"/>
      <scheme val="minor"/>
    </font>
    <font>
      <b/>
      <sz val="10"/>
      <color rgb="FF7030A0"/>
      <name val="Calibri"/>
      <family val="2"/>
      <charset val="186"/>
      <scheme val="minor"/>
    </font>
    <font>
      <sz val="10"/>
      <color theme="6" tint="-0.249977111117893"/>
      <name val="Calibri"/>
      <family val="2"/>
      <charset val="186"/>
      <scheme val="minor"/>
    </font>
    <font>
      <sz val="10"/>
      <color theme="2" tint="-0.499984740745262"/>
      <name val="Calibri"/>
      <family val="2"/>
      <charset val="186"/>
      <scheme val="minor"/>
    </font>
    <font>
      <sz val="10"/>
      <color rgb="FF7030A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i/>
      <sz val="11"/>
      <color indexed="8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sz val="10"/>
      <color theme="4"/>
      <name val="Calibri"/>
      <family val="2"/>
      <charset val="186"/>
      <scheme val="minor"/>
    </font>
    <font>
      <sz val="10"/>
      <color theme="4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b/>
      <i/>
      <sz val="10"/>
      <color rgb="FFFF0000"/>
      <name val="Calibri"/>
      <family val="2"/>
      <charset val="186"/>
      <scheme val="minor"/>
    </font>
    <font>
      <b/>
      <sz val="10"/>
      <color theme="9" tint="-0.249977111117893"/>
      <name val="Calibri"/>
      <family val="2"/>
      <charset val="186"/>
      <scheme val="minor"/>
    </font>
    <font>
      <sz val="10"/>
      <color theme="9" tint="-0.249977111117893"/>
      <name val="Calibri"/>
      <family val="2"/>
      <charset val="186"/>
      <scheme val="minor"/>
    </font>
    <font>
      <b/>
      <sz val="11"/>
      <color theme="9" tint="-0.249977111117893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0"/>
      <color theme="5" tint="-0.249977111117893"/>
      <name val="Calibri"/>
      <family val="2"/>
      <charset val="186"/>
      <scheme val="minor"/>
    </font>
    <font>
      <sz val="10"/>
      <color theme="5" tint="-0.249977111117893"/>
      <name val="Calibri"/>
      <family val="2"/>
      <charset val="186"/>
      <scheme val="minor"/>
    </font>
    <font>
      <b/>
      <i/>
      <sz val="10"/>
      <color rgb="FFFF0000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2" fillId="0" borderId="0" applyFill="0" applyBorder="0" applyAlignment="0" applyProtection="0"/>
    <xf numFmtId="0" fontId="6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3" fillId="0" borderId="0"/>
    <xf numFmtId="168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01">
    <xf numFmtId="0" fontId="0" fillId="0" borderId="0" xfId="0"/>
    <xf numFmtId="0" fontId="4" fillId="3" borderId="2" xfId="3" applyFont="1" applyFill="1" applyBorder="1" applyAlignment="1">
      <alignment horizontal="center" vertical="center" wrapText="1" shrinkToFit="1"/>
    </xf>
    <xf numFmtId="0" fontId="3" fillId="0" borderId="0" xfId="3"/>
    <xf numFmtId="49" fontId="5" fillId="4" borderId="2" xfId="3" applyNumberFormat="1" applyFont="1" applyFill="1" applyBorder="1" applyAlignment="1">
      <alignment horizontal="left" vertical="center" wrapText="1" shrinkToFit="1"/>
    </xf>
    <xf numFmtId="14" fontId="5" fillId="4" borderId="2" xfId="3" applyNumberFormat="1" applyFont="1" applyFill="1" applyBorder="1" applyAlignment="1">
      <alignment horizontal="left" vertical="center" wrapText="1" shrinkToFit="1"/>
    </xf>
    <xf numFmtId="4" fontId="5" fillId="4" borderId="2" xfId="3" applyNumberFormat="1" applyFont="1" applyFill="1" applyBorder="1" applyAlignment="1">
      <alignment horizontal="right" vertical="center" wrapText="1" shrinkToFit="1"/>
    </xf>
    <xf numFmtId="49" fontId="5" fillId="4" borderId="2" xfId="3" applyNumberFormat="1" applyFont="1" applyFill="1" applyBorder="1" applyAlignment="1">
      <alignment horizontal="right" vertical="center" wrapText="1" shrinkToFit="1"/>
    </xf>
    <xf numFmtId="4" fontId="3" fillId="0" borderId="0" xfId="3" applyNumberFormat="1"/>
    <xf numFmtId="0" fontId="10" fillId="0" borderId="0" xfId="2" applyFont="1"/>
    <xf numFmtId="0" fontId="11" fillId="0" borderId="0" xfId="7" applyFont="1"/>
    <xf numFmtId="0" fontId="12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0" fontId="16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/>
    <xf numFmtId="164" fontId="16" fillId="0" borderId="0" xfId="0" applyNumberFormat="1" applyFont="1"/>
    <xf numFmtId="164" fontId="17" fillId="0" borderId="0" xfId="0" applyNumberFormat="1" applyFont="1" applyAlignment="1">
      <alignment horizontal="center"/>
    </xf>
    <xf numFmtId="0" fontId="18" fillId="0" borderId="0" xfId="2" applyFont="1"/>
    <xf numFmtId="0" fontId="19" fillId="2" borderId="0" xfId="0" applyFont="1" applyFill="1"/>
    <xf numFmtId="1" fontId="16" fillId="0" borderId="0" xfId="0" applyNumberFormat="1" applyFont="1"/>
    <xf numFmtId="0" fontId="16" fillId="0" borderId="0" xfId="0" applyFont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20" fillId="0" borderId="0" xfId="0" applyFont="1"/>
    <xf numFmtId="0" fontId="20" fillId="0" borderId="4" xfId="0" applyFont="1" applyBorder="1"/>
    <xf numFmtId="0" fontId="23" fillId="0" borderId="9" xfId="0" applyFont="1" applyBorder="1"/>
    <xf numFmtId="0" fontId="23" fillId="0" borderId="4" xfId="0" applyFont="1" applyBorder="1"/>
    <xf numFmtId="0" fontId="24" fillId="0" borderId="4" xfId="0" applyFont="1" applyBorder="1"/>
    <xf numFmtId="0" fontId="25" fillId="0" borderId="4" xfId="0" applyFont="1" applyBorder="1"/>
    <xf numFmtId="164" fontId="24" fillId="0" borderId="4" xfId="1" applyNumberFormat="1" applyFont="1" applyBorder="1"/>
    <xf numFmtId="164" fontId="18" fillId="0" borderId="4" xfId="1" applyNumberFormat="1" applyFont="1" applyBorder="1"/>
    <xf numFmtId="166" fontId="18" fillId="0" borderId="4" xfId="1" applyNumberFormat="1" applyFont="1" applyBorder="1"/>
    <xf numFmtId="164" fontId="26" fillId="0" borderId="7" xfId="1" applyNumberFormat="1" applyFont="1" applyBorder="1"/>
    <xf numFmtId="164" fontId="27" fillId="0" borderId="7" xfId="1" applyNumberFormat="1" applyFont="1" applyBorder="1"/>
    <xf numFmtId="164" fontId="18" fillId="0" borderId="7" xfId="1" applyNumberFormat="1" applyFont="1" applyBorder="1"/>
    <xf numFmtId="164" fontId="28" fillId="7" borderId="7" xfId="1" applyNumberFormat="1" applyFont="1" applyFill="1" applyBorder="1"/>
    <xf numFmtId="164" fontId="25" fillId="0" borderId="0" xfId="0" applyNumberFormat="1" applyFont="1"/>
    <xf numFmtId="164" fontId="18" fillId="0" borderId="9" xfId="1" applyNumberFormat="1" applyFont="1" applyBorder="1"/>
    <xf numFmtId="164" fontId="18" fillId="7" borderId="7" xfId="1" applyNumberFormat="1" applyFont="1" applyFill="1" applyBorder="1"/>
    <xf numFmtId="164" fontId="20" fillId="0" borderId="0" xfId="0" applyNumberFormat="1" applyFont="1"/>
    <xf numFmtId="0" fontId="16" fillId="0" borderId="1" xfId="0" applyFont="1" applyBorder="1"/>
    <xf numFmtId="0" fontId="25" fillId="0" borderId="10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64" fontId="24" fillId="0" borderId="1" xfId="1" applyNumberFormat="1" applyFont="1" applyBorder="1"/>
    <xf numFmtId="166" fontId="24" fillId="0" borderId="1" xfId="1" applyNumberFormat="1" applyFont="1" applyBorder="1"/>
    <xf numFmtId="164" fontId="29" fillId="0" borderId="8" xfId="1" applyNumberFormat="1" applyFont="1" applyBorder="1"/>
    <xf numFmtId="164" fontId="30" fillId="0" borderId="8" xfId="1" applyNumberFormat="1" applyFont="1" applyBorder="1"/>
    <xf numFmtId="164" fontId="24" fillId="0" borderId="8" xfId="1" applyNumberFormat="1" applyFont="1" applyBorder="1"/>
    <xf numFmtId="164" fontId="31" fillId="7" borderId="8" xfId="1" applyNumberFormat="1" applyFont="1" applyFill="1" applyBorder="1"/>
    <xf numFmtId="164" fontId="24" fillId="0" borderId="10" xfId="1" applyNumberFormat="1" applyFont="1" applyBorder="1"/>
    <xf numFmtId="164" fontId="24" fillId="7" borderId="8" xfId="1" applyNumberFormat="1" applyFont="1" applyFill="1" applyBorder="1"/>
    <xf numFmtId="164" fontId="24" fillId="0" borderId="1" xfId="1" applyNumberFormat="1" applyFont="1" applyFill="1" applyBorder="1"/>
    <xf numFmtId="166" fontId="24" fillId="8" borderId="1" xfId="1" applyNumberFormat="1" applyFont="1" applyFill="1" applyBorder="1"/>
    <xf numFmtId="164" fontId="18" fillId="0" borderId="4" xfId="1" applyNumberFormat="1" applyFont="1" applyFill="1" applyBorder="1"/>
    <xf numFmtId="0" fontId="19" fillId="0" borderId="4" xfId="0" applyFont="1" applyBorder="1"/>
    <xf numFmtId="0" fontId="18" fillId="0" borderId="9" xfId="0" applyFont="1" applyBorder="1"/>
    <xf numFmtId="0" fontId="18" fillId="0" borderId="4" xfId="0" applyFont="1" applyBorder="1"/>
    <xf numFmtId="14" fontId="24" fillId="0" borderId="4" xfId="0" applyNumberFormat="1" applyFont="1" applyBorder="1"/>
    <xf numFmtId="0" fontId="19" fillId="0" borderId="0" xfId="0" applyFont="1"/>
    <xf numFmtId="164" fontId="19" fillId="0" borderId="0" xfId="0" applyNumberFormat="1" applyFont="1"/>
    <xf numFmtId="0" fontId="12" fillId="0" borderId="1" xfId="0" applyFont="1" applyBorder="1"/>
    <xf numFmtId="0" fontId="24" fillId="0" borderId="10" xfId="0" applyFont="1" applyBorder="1"/>
    <xf numFmtId="0" fontId="18" fillId="0" borderId="1" xfId="0" applyFont="1" applyBorder="1"/>
    <xf numFmtId="164" fontId="24" fillId="0" borderId="0" xfId="1" applyNumberFormat="1" applyFont="1" applyFill="1" applyBorder="1"/>
    <xf numFmtId="166" fontId="24" fillId="0" borderId="0" xfId="1" applyNumberFormat="1" applyFont="1" applyFill="1" applyBorder="1"/>
    <xf numFmtId="166" fontId="33" fillId="0" borderId="0" xfId="1" applyNumberFormat="1" applyFont="1" applyFill="1" applyBorder="1"/>
    <xf numFmtId="164" fontId="32" fillId="0" borderId="0" xfId="1" applyNumberFormat="1" applyFont="1" applyFill="1" applyBorder="1"/>
    <xf numFmtId="164" fontId="30" fillId="0" borderId="0" xfId="1" applyNumberFormat="1" applyFont="1" applyFill="1" applyBorder="1"/>
    <xf numFmtId="164" fontId="19" fillId="9" borderId="0" xfId="0" applyNumberFormat="1" applyFont="1" applyFill="1"/>
    <xf numFmtId="0" fontId="20" fillId="0" borderId="0" xfId="0" applyFont="1" applyAlignment="1">
      <alignment horizontal="right"/>
    </xf>
    <xf numFmtId="164" fontId="20" fillId="9" borderId="0" xfId="0" applyNumberFormat="1" applyFont="1" applyFill="1"/>
    <xf numFmtId="166" fontId="20" fillId="9" borderId="0" xfId="0" applyNumberFormat="1" applyFont="1" applyFill="1"/>
    <xf numFmtId="166" fontId="20" fillId="0" borderId="0" xfId="0" applyNumberFormat="1" applyFont="1"/>
    <xf numFmtId="166" fontId="18" fillId="0" borderId="0" xfId="1" applyNumberFormat="1" applyFont="1" applyFill="1" applyBorder="1" applyAlignment="1">
      <alignment horizontal="right"/>
    </xf>
    <xf numFmtId="164" fontId="26" fillId="10" borderId="7" xfId="1" applyNumberFormat="1" applyFont="1" applyFill="1" applyBorder="1"/>
    <xf numFmtId="164" fontId="27" fillId="10" borderId="7" xfId="1" applyNumberFormat="1" applyFont="1" applyFill="1" applyBorder="1"/>
    <xf numFmtId="164" fontId="18" fillId="10" borderId="7" xfId="1" applyNumberFormat="1" applyFont="1" applyFill="1" applyBorder="1"/>
    <xf numFmtId="166" fontId="24" fillId="0" borderId="0" xfId="1" applyNumberFormat="1" applyFont="1" applyFill="1" applyBorder="1" applyAlignment="1">
      <alignment horizontal="right"/>
    </xf>
    <xf numFmtId="164" fontId="29" fillId="10" borderId="8" xfId="1" applyNumberFormat="1" applyFont="1" applyFill="1" applyBorder="1"/>
    <xf numFmtId="164" fontId="30" fillId="10" borderId="8" xfId="1" applyNumberFormat="1" applyFont="1" applyFill="1" applyBorder="1"/>
    <xf numFmtId="164" fontId="24" fillId="10" borderId="8" xfId="1" applyNumberFormat="1" applyFont="1" applyFill="1" applyBorder="1"/>
    <xf numFmtId="164" fontId="21" fillId="10" borderId="8" xfId="0" applyNumberFormat="1" applyFont="1" applyFill="1" applyBorder="1"/>
    <xf numFmtId="164" fontId="22" fillId="10" borderId="8" xfId="0" applyNumberFormat="1" applyFont="1" applyFill="1" applyBorder="1"/>
    <xf numFmtId="164" fontId="19" fillId="10" borderId="8" xfId="0" applyNumberFormat="1" applyFont="1" applyFill="1" applyBorder="1"/>
    <xf numFmtId="0" fontId="16" fillId="6" borderId="0" xfId="0" applyFont="1" applyFill="1"/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164" fontId="16" fillId="6" borderId="0" xfId="0" applyNumberFormat="1" applyFont="1" applyFill="1"/>
    <xf numFmtId="164" fontId="14" fillId="0" borderId="0" xfId="0" applyNumberFormat="1" applyFont="1"/>
    <xf numFmtId="164" fontId="12" fillId="0" borderId="0" xfId="0" applyNumberFormat="1" applyFont="1"/>
    <xf numFmtId="0" fontId="19" fillId="0" borderId="0" xfId="0" applyFont="1" applyAlignment="1">
      <alignment horizontal="right"/>
    </xf>
    <xf numFmtId="164" fontId="18" fillId="10" borderId="3" xfId="1" applyNumberFormat="1" applyFont="1" applyFill="1" applyBorder="1"/>
    <xf numFmtId="164" fontId="19" fillId="10" borderId="3" xfId="0" applyNumberFormat="1" applyFont="1" applyFill="1" applyBorder="1"/>
    <xf numFmtId="164" fontId="12" fillId="0" borderId="5" xfId="0" applyNumberFormat="1" applyFont="1" applyBorder="1"/>
    <xf numFmtId="164" fontId="34" fillId="0" borderId="5" xfId="0" applyNumberFormat="1" applyFont="1" applyBorder="1"/>
    <xf numFmtId="164" fontId="18" fillId="7" borderId="5" xfId="1" applyNumberFormat="1" applyFont="1" applyFill="1" applyBorder="1"/>
    <xf numFmtId="164" fontId="24" fillId="0" borderId="5" xfId="1" applyNumberFormat="1" applyFont="1" applyBorder="1"/>
    <xf numFmtId="164" fontId="22" fillId="10" borderId="3" xfId="0" applyNumberFormat="1" applyFont="1" applyFill="1" applyBorder="1"/>
    <xf numFmtId="0" fontId="34" fillId="0" borderId="0" xfId="0" applyFont="1"/>
    <xf numFmtId="167" fontId="19" fillId="11" borderId="3" xfId="5" applyNumberFormat="1" applyFont="1" applyFill="1" applyBorder="1"/>
    <xf numFmtId="167" fontId="22" fillId="11" borderId="3" xfId="5" applyNumberFormat="1" applyFont="1" applyFill="1" applyBorder="1"/>
    <xf numFmtId="167" fontId="19" fillId="0" borderId="0" xfId="5" applyNumberFormat="1" applyFont="1" applyFill="1"/>
    <xf numFmtId="0" fontId="35" fillId="0" borderId="0" xfId="0" applyFont="1"/>
    <xf numFmtId="0" fontId="36" fillId="0" borderId="0" xfId="0" applyFont="1"/>
    <xf numFmtId="167" fontId="36" fillId="0" borderId="0" xfId="5" applyNumberFormat="1" applyFont="1"/>
    <xf numFmtId="167" fontId="14" fillId="0" borderId="0" xfId="5" applyNumberFormat="1" applyFont="1"/>
    <xf numFmtId="164" fontId="18" fillId="11" borderId="0" xfId="1" applyNumberFormat="1" applyFont="1" applyFill="1"/>
    <xf numFmtId="9" fontId="16" fillId="0" borderId="0" xfId="0" applyNumberFormat="1" applyFont="1"/>
    <xf numFmtId="164" fontId="24" fillId="0" borderId="0" xfId="1" applyNumberFormat="1" applyFont="1" applyAlignment="1">
      <alignment horizontal="right"/>
    </xf>
    <xf numFmtId="164" fontId="32" fillId="0" borderId="0" xfId="1" applyNumberFormat="1" applyFont="1"/>
    <xf numFmtId="0" fontId="23" fillId="0" borderId="0" xfId="0" applyFont="1"/>
    <xf numFmtId="0" fontId="25" fillId="0" borderId="0" xfId="0" applyFont="1"/>
    <xf numFmtId="14" fontId="23" fillId="0" borderId="4" xfId="0" applyNumberFormat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164" fontId="27" fillId="10" borderId="8" xfId="0" applyNumberFormat="1" applyFont="1" applyFill="1" applyBorder="1"/>
    <xf numFmtId="164" fontId="18" fillId="10" borderId="8" xfId="0" applyNumberFormat="1" applyFont="1" applyFill="1" applyBorder="1"/>
    <xf numFmtId="164" fontId="18" fillId="10" borderId="3" xfId="0" applyNumberFormat="1" applyFont="1" applyFill="1" applyBorder="1"/>
    <xf numFmtId="0" fontId="25" fillId="0" borderId="11" xfId="0" applyFont="1" applyBorder="1"/>
    <xf numFmtId="0" fontId="24" fillId="0" borderId="0" xfId="0" applyFont="1"/>
    <xf numFmtId="164" fontId="24" fillId="0" borderId="0" xfId="1" applyNumberFormat="1" applyFont="1" applyBorder="1"/>
    <xf numFmtId="166" fontId="24" fillId="0" borderId="0" xfId="1" applyNumberFormat="1" applyFont="1" applyBorder="1"/>
    <xf numFmtId="164" fontId="29" fillId="0" borderId="5" xfId="1" applyNumberFormat="1" applyFont="1" applyBorder="1"/>
    <xf numFmtId="164" fontId="30" fillId="0" borderId="5" xfId="1" applyNumberFormat="1" applyFont="1" applyBorder="1"/>
    <xf numFmtId="0" fontId="37" fillId="0" borderId="4" xfId="0" applyFont="1" applyBorder="1"/>
    <xf numFmtId="0" fontId="38" fillId="0" borderId="9" xfId="0" applyFont="1" applyBorder="1"/>
    <xf numFmtId="0" fontId="39" fillId="0" borderId="4" xfId="0" applyFont="1" applyBorder="1"/>
    <xf numFmtId="164" fontId="39" fillId="0" borderId="4" xfId="1" applyNumberFormat="1" applyFont="1" applyBorder="1"/>
    <xf numFmtId="166" fontId="39" fillId="0" borderId="4" xfId="1" applyNumberFormat="1" applyFont="1" applyBorder="1"/>
    <xf numFmtId="166" fontId="38" fillId="0" borderId="4" xfId="1" applyNumberFormat="1" applyFont="1" applyBorder="1"/>
    <xf numFmtId="166" fontId="38" fillId="0" borderId="7" xfId="1" applyNumberFormat="1" applyFont="1" applyBorder="1"/>
    <xf numFmtId="164" fontId="38" fillId="0" borderId="7" xfId="1" applyNumberFormat="1" applyFont="1" applyBorder="1"/>
    <xf numFmtId="164" fontId="38" fillId="7" borderId="7" xfId="1" applyNumberFormat="1" applyFont="1" applyFill="1" applyBorder="1"/>
    <xf numFmtId="164" fontId="39" fillId="0" borderId="0" xfId="0" applyNumberFormat="1" applyFont="1"/>
    <xf numFmtId="164" fontId="38" fillId="0" borderId="9" xfId="1" applyNumberFormat="1" applyFont="1" applyBorder="1"/>
    <xf numFmtId="0" fontId="40" fillId="0" borderId="0" xfId="0" applyFont="1"/>
    <xf numFmtId="0" fontId="37" fillId="0" borderId="0" xfId="0" applyFont="1"/>
    <xf numFmtId="164" fontId="37" fillId="0" borderId="0" xfId="0" applyNumberFormat="1" applyFont="1"/>
    <xf numFmtId="0" fontId="40" fillId="0" borderId="1" xfId="0" applyFont="1" applyBorder="1"/>
    <xf numFmtId="0" fontId="38" fillId="0" borderId="10" xfId="0" applyFont="1" applyBorder="1"/>
    <xf numFmtId="0" fontId="39" fillId="0" borderId="1" xfId="0" applyFont="1" applyBorder="1"/>
    <xf numFmtId="164" fontId="39" fillId="0" borderId="1" xfId="1" applyNumberFormat="1" applyFont="1" applyBorder="1"/>
    <xf numFmtId="166" fontId="39" fillId="0" borderId="1" xfId="1" applyNumberFormat="1" applyFont="1" applyBorder="1"/>
    <xf numFmtId="166" fontId="39" fillId="0" borderId="8" xfId="1" applyNumberFormat="1" applyFont="1" applyBorder="1"/>
    <xf numFmtId="164" fontId="39" fillId="0" borderId="8" xfId="1" applyNumberFormat="1" applyFont="1" applyBorder="1"/>
    <xf numFmtId="164" fontId="39" fillId="7" borderId="8" xfId="1" applyNumberFormat="1" applyFont="1" applyFill="1" applyBorder="1"/>
    <xf numFmtId="164" fontId="39" fillId="0" borderId="10" xfId="1" applyNumberFormat="1" applyFont="1" applyBorder="1"/>
    <xf numFmtId="164" fontId="39" fillId="0" borderId="1" xfId="0" applyNumberFormat="1" applyFont="1" applyBorder="1"/>
    <xf numFmtId="0" fontId="38" fillId="0" borderId="4" xfId="0" applyFont="1" applyBorder="1"/>
    <xf numFmtId="14" fontId="39" fillId="0" borderId="4" xfId="0" applyNumberFormat="1" applyFont="1" applyBorder="1"/>
    <xf numFmtId="164" fontId="38" fillId="0" borderId="4" xfId="1" applyNumberFormat="1" applyFont="1" applyBorder="1"/>
    <xf numFmtId="0" fontId="38" fillId="0" borderId="0" xfId="0" applyFont="1"/>
    <xf numFmtId="164" fontId="2" fillId="0" borderId="0" xfId="1" applyNumberFormat="1"/>
    <xf numFmtId="164" fontId="24" fillId="12" borderId="8" xfId="1" applyNumberFormat="1" applyFont="1" applyFill="1" applyBorder="1"/>
    <xf numFmtId="164" fontId="18" fillId="12" borderId="7" xfId="1" applyNumberFormat="1" applyFont="1" applyFill="1" applyBorder="1"/>
    <xf numFmtId="164" fontId="18" fillId="12" borderId="5" xfId="1" applyNumberFormat="1" applyFont="1" applyFill="1" applyBorder="1"/>
    <xf numFmtId="164" fontId="24" fillId="12" borderId="5" xfId="1" applyNumberFormat="1" applyFont="1" applyFill="1" applyBorder="1"/>
    <xf numFmtId="164" fontId="41" fillId="0" borderId="0" xfId="1" applyNumberFormat="1" applyFont="1"/>
    <xf numFmtId="164" fontId="39" fillId="0" borderId="4" xfId="1" applyNumberFormat="1" applyFont="1" applyFill="1" applyBorder="1"/>
    <xf numFmtId="166" fontId="39" fillId="0" borderId="4" xfId="1" applyNumberFormat="1" applyFont="1" applyFill="1" applyBorder="1"/>
    <xf numFmtId="166" fontId="38" fillId="0" borderId="4" xfId="1" applyNumberFormat="1" applyFont="1" applyFill="1" applyBorder="1"/>
    <xf numFmtId="166" fontId="38" fillId="0" borderId="7" xfId="1" applyNumberFormat="1" applyFont="1" applyFill="1" applyBorder="1"/>
    <xf numFmtId="164" fontId="38" fillId="0" borderId="7" xfId="1" applyNumberFormat="1" applyFont="1" applyFill="1" applyBorder="1"/>
    <xf numFmtId="164" fontId="38" fillId="0" borderId="9" xfId="1" applyNumberFormat="1" applyFont="1" applyFill="1" applyBorder="1"/>
    <xf numFmtId="164" fontId="39" fillId="0" borderId="1" xfId="1" applyNumberFormat="1" applyFont="1" applyFill="1" applyBorder="1"/>
    <xf numFmtId="166" fontId="39" fillId="0" borderId="1" xfId="1" applyNumberFormat="1" applyFont="1" applyFill="1" applyBorder="1"/>
    <xf numFmtId="166" fontId="39" fillId="0" borderId="8" xfId="1" applyNumberFormat="1" applyFont="1" applyFill="1" applyBorder="1"/>
    <xf numFmtId="164" fontId="39" fillId="0" borderId="8" xfId="1" applyNumberFormat="1" applyFont="1" applyFill="1" applyBorder="1"/>
    <xf numFmtId="164" fontId="39" fillId="0" borderId="10" xfId="1" applyNumberFormat="1" applyFont="1" applyFill="1" applyBorder="1"/>
    <xf numFmtId="165" fontId="42" fillId="0" borderId="7" xfId="1" applyNumberFormat="1" applyFont="1" applyBorder="1"/>
    <xf numFmtId="165" fontId="43" fillId="0" borderId="8" xfId="1" applyNumberFormat="1" applyFont="1" applyBorder="1"/>
    <xf numFmtId="165" fontId="43" fillId="0" borderId="5" xfId="1" applyNumberFormat="1" applyFont="1" applyBorder="1"/>
    <xf numFmtId="165" fontId="42" fillId="0" borderId="7" xfId="1" applyNumberFormat="1" applyFont="1" applyFill="1" applyBorder="1"/>
    <xf numFmtId="165" fontId="43" fillId="0" borderId="8" xfId="1" applyNumberFormat="1" applyFont="1" applyFill="1" applyBorder="1"/>
    <xf numFmtId="165" fontId="43" fillId="0" borderId="0" xfId="1" applyNumberFormat="1" applyFont="1" applyFill="1" applyBorder="1"/>
    <xf numFmtId="165" fontId="42" fillId="10" borderId="7" xfId="1" applyNumberFormat="1" applyFont="1" applyFill="1" applyBorder="1"/>
    <xf numFmtId="165" fontId="43" fillId="10" borderId="8" xfId="1" applyNumberFormat="1" applyFont="1" applyFill="1" applyBorder="1"/>
    <xf numFmtId="165" fontId="44" fillId="10" borderId="8" xfId="0" applyNumberFormat="1" applyFont="1" applyFill="1" applyBorder="1"/>
    <xf numFmtId="165" fontId="43" fillId="5" borderId="8" xfId="1" applyNumberFormat="1" applyFont="1" applyFill="1" applyBorder="1"/>
    <xf numFmtId="0" fontId="38" fillId="0" borderId="1" xfId="0" applyFont="1" applyBorder="1"/>
    <xf numFmtId="14" fontId="25" fillId="0" borderId="4" xfId="0" applyNumberFormat="1" applyFont="1" applyBorder="1"/>
    <xf numFmtId="164" fontId="45" fillId="0" borderId="0" xfId="1" applyNumberFormat="1" applyFont="1"/>
    <xf numFmtId="164" fontId="46" fillId="0" borderId="7" xfId="1" applyNumberFormat="1" applyFont="1" applyBorder="1"/>
    <xf numFmtId="164" fontId="47" fillId="0" borderId="8" xfId="1" applyNumberFormat="1" applyFont="1" applyBorder="1"/>
    <xf numFmtId="166" fontId="24" fillId="0" borderId="1" xfId="1" applyNumberFormat="1" applyFont="1" applyFill="1" applyBorder="1"/>
    <xf numFmtId="166" fontId="18" fillId="0" borderId="4" xfId="1" applyNumberFormat="1" applyFont="1" applyFill="1" applyBorder="1"/>
    <xf numFmtId="166" fontId="24" fillId="13" borderId="1" xfId="1" applyNumberFormat="1" applyFont="1" applyFill="1" applyBorder="1"/>
    <xf numFmtId="167" fontId="2" fillId="0" borderId="0" xfId="5" applyNumberFormat="1" applyFont="1"/>
    <xf numFmtId="164" fontId="48" fillId="6" borderId="0" xfId="1" applyNumberFormat="1" applyFont="1" applyFill="1"/>
  </cellXfs>
  <cellStyles count="11">
    <cellStyle name="Comma" xfId="1" builtinId="3"/>
    <cellStyle name="Comma 4 2" xfId="6" xr:uid="{C6E4B20A-D303-4B93-AB2B-187E558D08BB}"/>
    <cellStyle name="Komats 2" xfId="9" xr:uid="{47FEADF9-F126-48E5-841D-0EF7A326AD95}"/>
    <cellStyle name="Normal" xfId="0" builtinId="0"/>
    <cellStyle name="Normal 2 2" xfId="4" xr:uid="{45B13DD5-C12C-4CFF-AA55-1828D53753D3}"/>
    <cellStyle name="Normal 4" xfId="2" xr:uid="{00000000-0005-0000-0000-000001000000}"/>
    <cellStyle name="Parasts 2" xfId="3" xr:uid="{00000000-0005-0000-0000-000003000000}"/>
    <cellStyle name="Parasts 2 2 2 2" xfId="7" xr:uid="{1FFE96C9-EAD5-417C-9BAF-25743B927A41}"/>
    <cellStyle name="Parasts 3" xfId="8" xr:uid="{CE064C84-E3CA-4A0B-BC6B-344328E56253}"/>
    <cellStyle name="Percent" xfId="5" builtinId="5"/>
    <cellStyle name="Procenti 2" xfId="10" xr:uid="{2541FD92-77D9-446E-8891-90B0227134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9EAB-54FB-472F-B82D-8835DF913A91}">
  <sheetPr>
    <tabColor rgb="FFFF0000"/>
    <pageSetUpPr fitToPage="1"/>
  </sheetPr>
  <dimension ref="A1:BG175"/>
  <sheetViews>
    <sheetView topLeftCell="A144" zoomScaleNormal="100" workbookViewId="0">
      <pane xSplit="3" topLeftCell="D1" activePane="topRight" state="frozen"/>
      <selection activeCell="C1" sqref="C1"/>
      <selection pane="topRight" activeCell="J174" sqref="J174"/>
    </sheetView>
  </sheetViews>
  <sheetFormatPr defaultColWidth="8.88671875" defaultRowHeight="14.4" outlineLevelRow="1" outlineLevelCol="1" x14ac:dyDescent="0.3"/>
  <cols>
    <col min="1" max="1" width="5" style="12" hidden="1" customWidth="1" outlineLevel="1"/>
    <col min="2" max="2" width="3.5546875" style="12" hidden="1" customWidth="1" outlineLevel="1"/>
    <col min="3" max="3" width="4.33203125" style="12" customWidth="1" collapsed="1"/>
    <col min="4" max="4" width="31.88671875" style="12" customWidth="1"/>
    <col min="5" max="5" width="12.33203125" style="13" customWidth="1"/>
    <col min="6" max="6" width="11.5546875" style="12" customWidth="1"/>
    <col min="7" max="8" width="11" style="12" customWidth="1"/>
    <col min="9" max="9" width="6.44140625" style="12" hidden="1" customWidth="1" outlineLevel="1"/>
    <col min="10" max="10" width="11.88671875" style="13" customWidth="1" collapsed="1"/>
    <col min="11" max="12" width="13.33203125" style="12" hidden="1" customWidth="1" outlineLevel="1"/>
    <col min="13" max="13" width="6" style="12" hidden="1" customWidth="1" outlineLevel="1"/>
    <col min="14" max="16" width="13.33203125" style="12" hidden="1" customWidth="1" outlineLevel="1"/>
    <col min="17" max="17" width="14.44140625" style="12" customWidth="1" collapsed="1"/>
    <col min="18" max="18" width="11.6640625" style="12" hidden="1" customWidth="1" outlineLevel="1"/>
    <col min="19" max="19" width="11.6640625" style="16" hidden="1" customWidth="1" outlineLevel="1"/>
    <col min="20" max="21" width="12.33203125" style="16" hidden="1" customWidth="1" outlineLevel="1"/>
    <col min="22" max="22" width="10.33203125" style="12" customWidth="1" collapsed="1"/>
    <col min="23" max="28" width="10.33203125" style="12" customWidth="1"/>
    <col min="29" max="51" width="10.33203125" style="12" customWidth="1" outlineLevel="1"/>
    <col min="52" max="52" width="11.33203125" style="12" customWidth="1" outlineLevel="1"/>
    <col min="53" max="53" width="10.33203125" style="12" customWidth="1" outlineLevel="1"/>
    <col min="54" max="54" width="12.33203125" style="12" customWidth="1"/>
    <col min="55" max="55" width="11.5546875" style="12" customWidth="1" collapsed="1"/>
    <col min="56" max="56" width="8.88671875" style="12"/>
    <col min="57" max="57" width="9" style="12" bestFit="1" customWidth="1"/>
    <col min="58" max="58" width="10.6640625" style="12" customWidth="1"/>
    <col min="59" max="59" width="12.33203125" style="12" bestFit="1" customWidth="1"/>
    <col min="60" max="16384" width="8.88671875" style="12"/>
  </cols>
  <sheetData>
    <row r="1" spans="1:58" ht="18" x14ac:dyDescent="0.35">
      <c r="C1" s="9" t="s">
        <v>763</v>
      </c>
      <c r="K1" s="14"/>
      <c r="L1" s="14"/>
      <c r="M1" s="14"/>
      <c r="N1" s="14"/>
      <c r="O1" s="14"/>
      <c r="Q1" s="15"/>
      <c r="R1" s="15"/>
    </row>
    <row r="2" spans="1:58" ht="18" x14ac:dyDescent="0.35">
      <c r="C2" s="9"/>
      <c r="K2" s="15"/>
      <c r="L2" s="15"/>
      <c r="M2" s="15"/>
      <c r="N2" s="15"/>
      <c r="O2" s="15"/>
      <c r="Q2" s="15"/>
      <c r="R2" s="15"/>
      <c r="S2" s="15"/>
      <c r="T2" s="15"/>
      <c r="U2" s="15"/>
      <c r="X2" s="17"/>
    </row>
    <row r="3" spans="1:58" ht="15.6" x14ac:dyDescent="0.3">
      <c r="C3" s="8" t="s">
        <v>764</v>
      </c>
      <c r="K3" s="14"/>
      <c r="L3" s="14"/>
      <c r="M3" s="14"/>
      <c r="N3" s="14"/>
      <c r="O3" s="14"/>
      <c r="P3" s="14"/>
      <c r="Q3" s="15"/>
      <c r="R3" s="15"/>
      <c r="S3" s="15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</row>
    <row r="4" spans="1:58" hidden="1" outlineLevel="1" x14ac:dyDescent="0.3">
      <c r="C4" s="19"/>
      <c r="K4" s="15"/>
      <c r="L4" s="15"/>
      <c r="M4" s="15"/>
      <c r="N4" s="15"/>
      <c r="O4" s="15"/>
      <c r="P4" s="20">
        <v>0</v>
      </c>
      <c r="Q4" s="15"/>
      <c r="R4" s="15"/>
      <c r="S4" s="15"/>
      <c r="T4" s="15"/>
      <c r="U4" s="15"/>
      <c r="W4" s="21"/>
      <c r="X4" s="21"/>
      <c r="Y4" s="21"/>
      <c r="Z4" s="21"/>
      <c r="AA4" s="21"/>
      <c r="AB4" s="21"/>
      <c r="AC4" s="21"/>
      <c r="AD4" s="21"/>
      <c r="AE4" s="21"/>
    </row>
    <row r="5" spans="1:58" s="22" customFormat="1" ht="57.6" collapsed="1" x14ac:dyDescent="0.3">
      <c r="B5" s="23" t="s">
        <v>749</v>
      </c>
      <c r="C5" s="24" t="s">
        <v>744</v>
      </c>
      <c r="D5" s="25" t="s">
        <v>725</v>
      </c>
      <c r="E5" s="24" t="s">
        <v>0</v>
      </c>
      <c r="F5" s="24" t="s">
        <v>1</v>
      </c>
      <c r="G5" s="24" t="s">
        <v>266</v>
      </c>
      <c r="H5" s="24" t="s">
        <v>265</v>
      </c>
      <c r="I5" s="24" t="s">
        <v>264</v>
      </c>
      <c r="J5" s="26" t="s">
        <v>800</v>
      </c>
      <c r="K5" s="27" t="s">
        <v>262</v>
      </c>
      <c r="L5" s="27" t="s">
        <v>746</v>
      </c>
      <c r="M5" s="27" t="s">
        <v>747</v>
      </c>
      <c r="N5" s="27" t="s">
        <v>125</v>
      </c>
      <c r="O5" s="27" t="s">
        <v>126</v>
      </c>
      <c r="P5" s="27" t="s">
        <v>127</v>
      </c>
      <c r="Q5" s="28" t="s">
        <v>2</v>
      </c>
      <c r="R5" s="29" t="s">
        <v>865</v>
      </c>
      <c r="S5" s="30" t="s">
        <v>866</v>
      </c>
      <c r="T5" s="31">
        <v>2024</v>
      </c>
      <c r="U5" s="31"/>
      <c r="V5" s="25">
        <v>2024</v>
      </c>
      <c r="W5" s="25">
        <v>2025</v>
      </c>
      <c r="X5" s="25">
        <v>2026</v>
      </c>
      <c r="Y5" s="25">
        <v>2027</v>
      </c>
      <c r="Z5" s="25">
        <v>2028</v>
      </c>
      <c r="AA5" s="25">
        <v>2029</v>
      </c>
      <c r="AB5" s="25">
        <v>2030</v>
      </c>
      <c r="AC5" s="25">
        <v>2031</v>
      </c>
      <c r="AD5" s="25">
        <v>2032</v>
      </c>
      <c r="AE5" s="25">
        <v>2033</v>
      </c>
      <c r="AF5" s="25">
        <v>2034</v>
      </c>
      <c r="AG5" s="25">
        <v>2035</v>
      </c>
      <c r="AH5" s="25">
        <v>2036</v>
      </c>
      <c r="AI5" s="25">
        <v>2037</v>
      </c>
      <c r="AJ5" s="25">
        <v>2038</v>
      </c>
      <c r="AK5" s="25">
        <v>2039</v>
      </c>
      <c r="AL5" s="25">
        <v>2040</v>
      </c>
      <c r="AM5" s="25">
        <v>2041</v>
      </c>
      <c r="AN5" s="25">
        <v>2042</v>
      </c>
      <c r="AO5" s="25">
        <v>2043</v>
      </c>
      <c r="AP5" s="25">
        <v>2044</v>
      </c>
      <c r="AQ5" s="25">
        <v>2045</v>
      </c>
      <c r="AR5" s="25">
        <v>2046</v>
      </c>
      <c r="AS5" s="25">
        <v>2047</v>
      </c>
      <c r="AT5" s="25">
        <v>2048</v>
      </c>
      <c r="AU5" s="25">
        <v>2049</v>
      </c>
      <c r="AV5" s="25">
        <v>2050</v>
      </c>
      <c r="AW5" s="25">
        <v>2051</v>
      </c>
      <c r="AX5" s="25">
        <v>2052</v>
      </c>
      <c r="AY5" s="25">
        <v>2053</v>
      </c>
      <c r="AZ5" s="24" t="s">
        <v>745</v>
      </c>
      <c r="BA5" s="32"/>
      <c r="BB5" s="23" t="s">
        <v>797</v>
      </c>
      <c r="BC5" s="24" t="s">
        <v>796</v>
      </c>
    </row>
    <row r="6" spans="1:58" s="33" customFormat="1" outlineLevel="1" x14ac:dyDescent="0.3">
      <c r="B6" s="34" t="s">
        <v>750</v>
      </c>
      <c r="C6" s="35">
        <v>1</v>
      </c>
      <c r="D6" s="36" t="s">
        <v>801</v>
      </c>
      <c r="E6" s="37" t="s">
        <v>6</v>
      </c>
      <c r="F6" s="38" t="s">
        <v>7</v>
      </c>
      <c r="G6" s="38" t="s">
        <v>129</v>
      </c>
      <c r="H6" s="38" t="s">
        <v>130</v>
      </c>
      <c r="I6" s="38" t="s">
        <v>9</v>
      </c>
      <c r="J6" s="39">
        <v>2099988.0499999998</v>
      </c>
      <c r="K6" s="40">
        <v>1343825.59</v>
      </c>
      <c r="L6" s="40"/>
      <c r="M6" s="40"/>
      <c r="N6" s="36"/>
      <c r="O6" s="36"/>
      <c r="P6" s="36"/>
      <c r="Q6" s="41" t="s">
        <v>8</v>
      </c>
      <c r="R6" s="42">
        <v>24486</v>
      </c>
      <c r="S6" s="42">
        <v>73458.600000000006</v>
      </c>
      <c r="T6" s="43">
        <f>SUM(R6:S6)</f>
        <v>97944.6</v>
      </c>
      <c r="U6" s="181">
        <f>V6-T6</f>
        <v>0.19999999999708962</v>
      </c>
      <c r="V6" s="44">
        <v>97944.8</v>
      </c>
      <c r="W6" s="44">
        <v>97944.8</v>
      </c>
      <c r="X6" s="44">
        <v>97944.8</v>
      </c>
      <c r="Y6" s="44">
        <v>97944.8</v>
      </c>
      <c r="Z6" s="44">
        <v>97944.8</v>
      </c>
      <c r="AA6" s="44">
        <v>97944.8</v>
      </c>
      <c r="AB6" s="44">
        <v>97944.8</v>
      </c>
      <c r="AC6" s="44">
        <v>97944.8</v>
      </c>
      <c r="AD6" s="44">
        <v>97944.8</v>
      </c>
      <c r="AE6" s="44">
        <v>113829.75999999999</v>
      </c>
      <c r="AF6" s="44">
        <v>113829.75999999999</v>
      </c>
      <c r="AG6" s="44">
        <v>113829.75999999999</v>
      </c>
      <c r="AH6" s="44">
        <v>71860.709999999992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>
        <v>0</v>
      </c>
      <c r="AO6" s="44">
        <v>0</v>
      </c>
      <c r="AP6" s="44">
        <v>0</v>
      </c>
      <c r="AQ6" s="44">
        <v>0</v>
      </c>
      <c r="AR6" s="44">
        <v>0</v>
      </c>
      <c r="AS6" s="44">
        <v>0</v>
      </c>
      <c r="AT6" s="44">
        <v>0</v>
      </c>
      <c r="AU6" s="44">
        <v>0</v>
      </c>
      <c r="AV6" s="44">
        <v>0</v>
      </c>
      <c r="AW6" s="44">
        <v>0</v>
      </c>
      <c r="AX6" s="44"/>
      <c r="AY6" s="44"/>
      <c r="AZ6" s="45">
        <f>SUM(V6:AY6)</f>
        <v>1294853.1900000002</v>
      </c>
      <c r="BA6" s="46">
        <f>AZ6-SUM(V6:AY6)</f>
        <v>0</v>
      </c>
      <c r="BB6" s="47">
        <f>SUM(AC6:AY6)</f>
        <v>609239.59</v>
      </c>
      <c r="BC6" s="48">
        <f>SUM(V6:AB6,BB6)</f>
        <v>1294853.19</v>
      </c>
      <c r="BE6" s="33" t="b">
        <f>AZ6=BC6</f>
        <v>1</v>
      </c>
      <c r="BF6" s="49"/>
    </row>
    <row r="7" spans="1:58" outlineLevel="1" x14ac:dyDescent="0.3">
      <c r="B7" s="50" t="s">
        <v>750</v>
      </c>
      <c r="C7" s="51"/>
      <c r="D7" s="52" t="s">
        <v>802</v>
      </c>
      <c r="E7" s="53"/>
      <c r="F7" s="54"/>
      <c r="G7" s="54"/>
      <c r="H7" s="54"/>
      <c r="I7" s="54"/>
      <c r="J7" s="55"/>
      <c r="K7" s="55"/>
      <c r="L7" s="55" t="s">
        <v>128</v>
      </c>
      <c r="M7" s="55"/>
      <c r="N7" s="56">
        <f>SUM(O7:P7)</f>
        <v>3.8879999999999999</v>
      </c>
      <c r="O7" s="56">
        <v>3.8879999999999999</v>
      </c>
      <c r="P7" s="56">
        <f>$P$4</f>
        <v>0</v>
      </c>
      <c r="Q7" s="56" t="s">
        <v>10</v>
      </c>
      <c r="R7" s="57">
        <v>24114.21</v>
      </c>
      <c r="S7" s="57">
        <v>24049.89</v>
      </c>
      <c r="T7" s="58">
        <f>SUM(R7:S7)</f>
        <v>48164.1</v>
      </c>
      <c r="U7" s="182">
        <f t="shared" ref="U7:U70" si="0">V7-T7</f>
        <v>0.79202720000466798</v>
      </c>
      <c r="V7" s="59">
        <f>SUM(V6:$AW6)*$N7/100-2179</f>
        <v>48164.892027200003</v>
      </c>
      <c r="W7" s="59">
        <f>SUM(W6:$AW6)*$N7/100</f>
        <v>46535.7982032</v>
      </c>
      <c r="X7" s="59">
        <f>SUM(X6:$AW6)*$N7/100</f>
        <v>42727.704379200004</v>
      </c>
      <c r="Y7" s="59">
        <f>SUM(Y6:$AW6)*$N7/100</f>
        <v>38919.610555200001</v>
      </c>
      <c r="Z7" s="59">
        <f>SUM(Z6:$AW6)*$N7/100</f>
        <v>35111.516731199998</v>
      </c>
      <c r="AA7" s="59">
        <f>SUM(AA6:$AW6)*$N7/100</f>
        <v>31303.422907199998</v>
      </c>
      <c r="AB7" s="59">
        <f>SUM(AB6:$AW6)*$N7/100</f>
        <v>27495.329083199998</v>
      </c>
      <c r="AC7" s="59">
        <f>SUM(AC6:$AW6)*$N7/100</f>
        <v>23687.235259199999</v>
      </c>
      <c r="AD7" s="59">
        <f>SUM(AD6:$AW6)*$N7/100</f>
        <v>19879.141435200003</v>
      </c>
      <c r="AE7" s="59">
        <f>SUM(AE6:$AW6)*$N7/100</f>
        <v>16071.0476112</v>
      </c>
      <c r="AF7" s="59">
        <f>SUM(AF6:$AW6)*$N7/100</f>
        <v>11645.346542399999</v>
      </c>
      <c r="AG7" s="59">
        <f>SUM(AG6:$AW6)*$N7/100</f>
        <v>7219.6454735999987</v>
      </c>
      <c r="AH7" s="59">
        <f>SUM(AH6:$AW6)*$N7/100</f>
        <v>2793.9444048</v>
      </c>
      <c r="AI7" s="59">
        <v>0</v>
      </c>
      <c r="AJ7" s="59">
        <v>0</v>
      </c>
      <c r="AK7" s="59">
        <v>0</v>
      </c>
      <c r="AL7" s="59">
        <v>0</v>
      </c>
      <c r="AM7" s="59">
        <v>0</v>
      </c>
      <c r="AN7" s="59">
        <v>0</v>
      </c>
      <c r="AO7" s="59">
        <v>0</v>
      </c>
      <c r="AP7" s="59">
        <v>0</v>
      </c>
      <c r="AQ7" s="59">
        <v>0</v>
      </c>
      <c r="AR7" s="59">
        <v>0</v>
      </c>
      <c r="AS7" s="59">
        <v>0</v>
      </c>
      <c r="AT7" s="59">
        <v>0</v>
      </c>
      <c r="AU7" s="59">
        <v>0</v>
      </c>
      <c r="AV7" s="59">
        <v>0</v>
      </c>
      <c r="AW7" s="59">
        <v>0</v>
      </c>
      <c r="AX7" s="59"/>
      <c r="AY7" s="59"/>
      <c r="AZ7" s="60">
        <f>SUM(V7:AY7)</f>
        <v>351554.63461280009</v>
      </c>
      <c r="BA7" s="46">
        <f t="shared" ref="BA7:BA72" si="1">AZ7-SUM(V7:AY7)</f>
        <v>0</v>
      </c>
      <c r="BB7" s="61">
        <f>SUM(AC7:AY7)</f>
        <v>81296.360726400002</v>
      </c>
      <c r="BC7" s="62">
        <f>SUM(V7:AB7,BB7)</f>
        <v>351554.63461280003</v>
      </c>
      <c r="BE7" s="33" t="b">
        <f t="shared" ref="BE7:BE72" si="2">AZ7=BC7</f>
        <v>1</v>
      </c>
    </row>
    <row r="8" spans="1:58" s="33" customFormat="1" outlineLevel="1" x14ac:dyDescent="0.3">
      <c r="B8" s="34" t="s">
        <v>750</v>
      </c>
      <c r="C8" s="35">
        <v>2</v>
      </c>
      <c r="D8" s="36" t="s">
        <v>801</v>
      </c>
      <c r="E8" s="37" t="s">
        <v>13</v>
      </c>
      <c r="F8" s="38" t="s">
        <v>14</v>
      </c>
      <c r="G8" s="38" t="s">
        <v>133</v>
      </c>
      <c r="H8" s="38" t="s">
        <v>132</v>
      </c>
      <c r="I8" s="38" t="s">
        <v>9</v>
      </c>
      <c r="J8" s="39">
        <v>6628759.9400000004</v>
      </c>
      <c r="K8" s="40">
        <v>3337088.24</v>
      </c>
      <c r="L8" s="40"/>
      <c r="M8" s="40"/>
      <c r="N8" s="41"/>
      <c r="O8" s="41">
        <v>2.3380000000000001</v>
      </c>
      <c r="P8" s="41"/>
      <c r="Q8" s="41" t="s">
        <v>8</v>
      </c>
      <c r="R8" s="42">
        <v>98150</v>
      </c>
      <c r="S8" s="42">
        <v>294449.09999999998</v>
      </c>
      <c r="T8" s="43">
        <f t="shared" ref="T8:T71" si="3">SUM(R8:S8)</f>
        <v>392599.1</v>
      </c>
      <c r="U8" s="181">
        <f t="shared" si="0"/>
        <v>-0.29999999998835847</v>
      </c>
      <c r="V8" s="44">
        <v>392598.8</v>
      </c>
      <c r="W8" s="44">
        <v>392598.8</v>
      </c>
      <c r="X8" s="44">
        <v>392598.8</v>
      </c>
      <c r="Y8" s="44">
        <v>392598.8</v>
      </c>
      <c r="Z8" s="44">
        <v>392598.8</v>
      </c>
      <c r="AA8" s="44">
        <v>392598.8</v>
      </c>
      <c r="AB8" s="44">
        <v>392598.8</v>
      </c>
      <c r="AC8" s="44">
        <v>392597.24</v>
      </c>
      <c r="AD8" s="44">
        <v>0</v>
      </c>
      <c r="AE8" s="44">
        <v>0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T8" s="44">
        <v>0</v>
      </c>
      <c r="AU8" s="44">
        <v>0</v>
      </c>
      <c r="AV8" s="44">
        <v>0</v>
      </c>
      <c r="AW8" s="44">
        <v>0</v>
      </c>
      <c r="AX8" s="44"/>
      <c r="AY8" s="44"/>
      <c r="AZ8" s="45">
        <f t="shared" ref="AZ8:AZ71" si="4">SUM(V8:AY8)</f>
        <v>3140788.84</v>
      </c>
      <c r="BA8" s="46">
        <f t="shared" si="1"/>
        <v>0</v>
      </c>
      <c r="BB8" s="47">
        <f t="shared" ref="BB8:BB71" si="5">SUM(AC8:AY8)</f>
        <v>392597.24</v>
      </c>
      <c r="BC8" s="48">
        <f t="shared" ref="BC8:BC73" si="6">SUM(V8:AB8,BB8)</f>
        <v>3140788.84</v>
      </c>
      <c r="BE8" s="33" t="b">
        <f t="shared" si="2"/>
        <v>1</v>
      </c>
      <c r="BF8" s="49"/>
    </row>
    <row r="9" spans="1:58" outlineLevel="1" x14ac:dyDescent="0.3">
      <c r="B9" s="50" t="s">
        <v>750</v>
      </c>
      <c r="C9" s="51"/>
      <c r="D9" s="52" t="s">
        <v>803</v>
      </c>
      <c r="E9" s="53"/>
      <c r="F9" s="54"/>
      <c r="G9" s="54"/>
      <c r="H9" s="54"/>
      <c r="I9" s="54"/>
      <c r="J9" s="55"/>
      <c r="K9" s="55"/>
      <c r="L9" s="63" t="s">
        <v>131</v>
      </c>
      <c r="M9" s="63"/>
      <c r="N9" s="56">
        <f t="shared" ref="N9:N71" si="7">SUM(O9:P9)</f>
        <v>4.1500000000000004</v>
      </c>
      <c r="O9" s="64">
        <v>4.1500000000000004</v>
      </c>
      <c r="P9" s="56">
        <f>$P$4</f>
        <v>0</v>
      </c>
      <c r="Q9" s="56" t="s">
        <v>10</v>
      </c>
      <c r="R9" s="57">
        <v>68327.950000000012</v>
      </c>
      <c r="S9" s="57">
        <v>63765.93</v>
      </c>
      <c r="T9" s="58">
        <f t="shared" si="3"/>
        <v>132093.88</v>
      </c>
      <c r="U9" s="190">
        <f t="shared" si="0"/>
        <v>5000.8568599999999</v>
      </c>
      <c r="V9" s="59">
        <f>SUM(V8:$AW8)*$N9/100+1752+5000</f>
        <v>137094.73686</v>
      </c>
      <c r="W9" s="59">
        <f>SUM(W8:$AW8)*$N9/100</f>
        <v>114049.88666000002</v>
      </c>
      <c r="X9" s="59">
        <f>SUM(X8:$AW8)*$N9/100</f>
        <v>97757.036460000018</v>
      </c>
      <c r="Y9" s="59">
        <f>SUM(Y8:$AW8)*$N9/100</f>
        <v>81464.186260000002</v>
      </c>
      <c r="Z9" s="59">
        <f>SUM(Z8:$AW8)*$N9/100</f>
        <v>65171.336059999994</v>
      </c>
      <c r="AA9" s="59">
        <f>SUM(AA8:$AW8)*$N9/100</f>
        <v>48878.485860000001</v>
      </c>
      <c r="AB9" s="59">
        <f>SUM(AB8:$AW8)*$N9/100</f>
        <v>32585.635660000007</v>
      </c>
      <c r="AC9" s="59">
        <f>SUM(AC8:$AW8)*$N9/100</f>
        <v>16292.785460000001</v>
      </c>
      <c r="AD9" s="59">
        <f>SUM(AD8:$AW8)*$N9/100</f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>
        <v>0</v>
      </c>
      <c r="AT9" s="59">
        <v>0</v>
      </c>
      <c r="AU9" s="59">
        <v>0</v>
      </c>
      <c r="AV9" s="59">
        <v>0</v>
      </c>
      <c r="AW9" s="59">
        <v>0</v>
      </c>
      <c r="AX9" s="59"/>
      <c r="AY9" s="59"/>
      <c r="AZ9" s="60">
        <f t="shared" si="4"/>
        <v>593294.08928000007</v>
      </c>
      <c r="BA9" s="46">
        <f t="shared" si="1"/>
        <v>0</v>
      </c>
      <c r="BB9" s="61">
        <f t="shared" si="5"/>
        <v>16292.785460000001</v>
      </c>
      <c r="BC9" s="62">
        <f t="shared" si="6"/>
        <v>593294.08928000007</v>
      </c>
      <c r="BE9" s="33" t="b">
        <f t="shared" si="2"/>
        <v>1</v>
      </c>
    </row>
    <row r="10" spans="1:58" s="33" customFormat="1" outlineLevel="1" x14ac:dyDescent="0.3">
      <c r="A10" s="33" t="s">
        <v>781</v>
      </c>
      <c r="B10" s="34" t="s">
        <v>750</v>
      </c>
      <c r="C10" s="35">
        <v>3</v>
      </c>
      <c r="D10" s="36" t="s">
        <v>804</v>
      </c>
      <c r="E10" s="37" t="s">
        <v>15</v>
      </c>
      <c r="F10" s="38" t="s">
        <v>16</v>
      </c>
      <c r="G10" s="38" t="s">
        <v>136</v>
      </c>
      <c r="H10" s="38" t="s">
        <v>135</v>
      </c>
      <c r="I10" s="38" t="s">
        <v>9</v>
      </c>
      <c r="J10" s="39">
        <v>871076.43</v>
      </c>
      <c r="K10" s="40">
        <v>453250.01</v>
      </c>
      <c r="L10" s="40"/>
      <c r="M10" s="40"/>
      <c r="N10" s="41"/>
      <c r="O10" s="41">
        <v>1.1990000000000001</v>
      </c>
      <c r="P10" s="41"/>
      <c r="Q10" s="41" t="s">
        <v>8</v>
      </c>
      <c r="R10" s="42">
        <v>13331</v>
      </c>
      <c r="S10" s="42">
        <v>39992.67</v>
      </c>
      <c r="T10" s="43">
        <f t="shared" si="3"/>
        <v>53323.67</v>
      </c>
      <c r="U10" s="181">
        <f t="shared" si="0"/>
        <v>-0.11000000000058208</v>
      </c>
      <c r="V10" s="44">
        <v>53323.56</v>
      </c>
      <c r="W10" s="44">
        <v>53323.56</v>
      </c>
      <c r="X10" s="44">
        <v>53323.56</v>
      </c>
      <c r="Y10" s="44">
        <v>53323.56</v>
      </c>
      <c r="Z10" s="44">
        <v>53323.56</v>
      </c>
      <c r="AA10" s="44">
        <v>53323.56</v>
      </c>
      <c r="AB10" s="44">
        <v>53323.56</v>
      </c>
      <c r="AC10" s="44">
        <v>51223.4</v>
      </c>
      <c r="AD10" s="44">
        <v>2099.91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/>
      <c r="AY10" s="44"/>
      <c r="AZ10" s="45">
        <f t="shared" si="4"/>
        <v>426588.23</v>
      </c>
      <c r="BA10" s="46">
        <f t="shared" si="1"/>
        <v>0</v>
      </c>
      <c r="BB10" s="47">
        <f t="shared" si="5"/>
        <v>53323.31</v>
      </c>
      <c r="BC10" s="48">
        <f t="shared" si="6"/>
        <v>426588.23</v>
      </c>
      <c r="BE10" s="33" t="b">
        <f t="shared" si="2"/>
        <v>1</v>
      </c>
      <c r="BF10" s="49"/>
    </row>
    <row r="11" spans="1:58" outlineLevel="1" x14ac:dyDescent="0.3">
      <c r="A11" s="33" t="s">
        <v>781</v>
      </c>
      <c r="B11" s="50" t="s">
        <v>750</v>
      </c>
      <c r="C11" s="51"/>
      <c r="D11" s="52" t="s">
        <v>805</v>
      </c>
      <c r="E11" s="53"/>
      <c r="F11" s="54"/>
      <c r="G11" s="54"/>
      <c r="H11" s="54"/>
      <c r="I11" s="54"/>
      <c r="J11" s="55"/>
      <c r="K11" s="55"/>
      <c r="L11" s="55" t="s">
        <v>134</v>
      </c>
      <c r="M11" s="55"/>
      <c r="N11" s="56">
        <f t="shared" si="7"/>
        <v>4.1500000000000004</v>
      </c>
      <c r="O11" s="64">
        <v>4.1500000000000004</v>
      </c>
      <c r="P11" s="56">
        <f>$P$4</f>
        <v>0</v>
      </c>
      <c r="Q11" s="56" t="s">
        <v>10</v>
      </c>
      <c r="R11" s="57">
        <v>9054.02</v>
      </c>
      <c r="S11" s="57">
        <v>8141.34</v>
      </c>
      <c r="T11" s="58">
        <f t="shared" si="3"/>
        <v>17195.36</v>
      </c>
      <c r="U11" s="190">
        <f t="shared" si="0"/>
        <v>1000.0515450000021</v>
      </c>
      <c r="V11" s="59">
        <f>SUM(V10:$AW10)*$N11/100-508+1000</f>
        <v>18195.411545000003</v>
      </c>
      <c r="W11" s="59">
        <v>15376.41</v>
      </c>
      <c r="X11" s="59">
        <v>13137.43</v>
      </c>
      <c r="Y11" s="59">
        <v>10896.919999999998</v>
      </c>
      <c r="Z11" s="59">
        <v>8679.44</v>
      </c>
      <c r="AA11" s="59">
        <v>6409.7699999999995</v>
      </c>
      <c r="AB11" s="59">
        <v>4166.21</v>
      </c>
      <c r="AC11" s="59">
        <v>1941.92</v>
      </c>
      <c r="AD11" s="59">
        <v>173.87</v>
      </c>
      <c r="AE11" s="59">
        <v>0</v>
      </c>
      <c r="AF11" s="59">
        <v>0</v>
      </c>
      <c r="AG11" s="59">
        <v>0</v>
      </c>
      <c r="AH11" s="59">
        <v>0</v>
      </c>
      <c r="AI11" s="59">
        <v>0</v>
      </c>
      <c r="AJ11" s="59">
        <v>0</v>
      </c>
      <c r="AK11" s="59">
        <v>0</v>
      </c>
      <c r="AL11" s="59">
        <v>0</v>
      </c>
      <c r="AM11" s="59">
        <v>0</v>
      </c>
      <c r="AN11" s="59">
        <v>0</v>
      </c>
      <c r="AO11" s="59">
        <v>0</v>
      </c>
      <c r="AP11" s="59">
        <v>0</v>
      </c>
      <c r="AQ11" s="59">
        <v>0</v>
      </c>
      <c r="AR11" s="59">
        <v>0</v>
      </c>
      <c r="AS11" s="59">
        <v>0</v>
      </c>
      <c r="AT11" s="59">
        <v>0</v>
      </c>
      <c r="AU11" s="59">
        <v>0</v>
      </c>
      <c r="AV11" s="59">
        <v>0</v>
      </c>
      <c r="AW11" s="59">
        <v>0</v>
      </c>
      <c r="AX11" s="59"/>
      <c r="AY11" s="59"/>
      <c r="AZ11" s="60">
        <f t="shared" si="4"/>
        <v>78977.381544999997</v>
      </c>
      <c r="BA11" s="46">
        <f t="shared" si="1"/>
        <v>0</v>
      </c>
      <c r="BB11" s="61">
        <f t="shared" si="5"/>
        <v>2115.79</v>
      </c>
      <c r="BC11" s="62">
        <f t="shared" si="6"/>
        <v>78977.381544999997</v>
      </c>
      <c r="BE11" s="33" t="b">
        <f t="shared" si="2"/>
        <v>1</v>
      </c>
    </row>
    <row r="12" spans="1:58" s="33" customFormat="1" outlineLevel="1" x14ac:dyDescent="0.3">
      <c r="A12" s="33" t="s">
        <v>781</v>
      </c>
      <c r="B12" s="34" t="s">
        <v>750</v>
      </c>
      <c r="C12" s="35">
        <v>4</v>
      </c>
      <c r="D12" s="36" t="s">
        <v>801</v>
      </c>
      <c r="E12" s="37" t="s">
        <v>17</v>
      </c>
      <c r="F12" s="38" t="s">
        <v>18</v>
      </c>
      <c r="G12" s="38" t="s">
        <v>139</v>
      </c>
      <c r="H12" s="38" t="s">
        <v>138</v>
      </c>
      <c r="I12" s="38" t="s">
        <v>9</v>
      </c>
      <c r="J12" s="39">
        <v>520921.91</v>
      </c>
      <c r="K12" s="40">
        <v>28941.09</v>
      </c>
      <c r="L12" s="40"/>
      <c r="M12" s="40"/>
      <c r="N12" s="41"/>
      <c r="O12" s="41"/>
      <c r="P12" s="41"/>
      <c r="Q12" s="41" t="s">
        <v>8</v>
      </c>
      <c r="R12" s="42">
        <v>0</v>
      </c>
      <c r="S12" s="42">
        <v>0</v>
      </c>
      <c r="T12" s="43">
        <f t="shared" si="3"/>
        <v>0</v>
      </c>
      <c r="U12" s="181">
        <f t="shared" si="0"/>
        <v>67.680000000000007</v>
      </c>
      <c r="V12" s="44">
        <v>67.680000000000007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/>
      <c r="AY12" s="44"/>
      <c r="AZ12" s="45">
        <f t="shared" si="4"/>
        <v>67.680000000000007</v>
      </c>
      <c r="BA12" s="46">
        <f t="shared" si="1"/>
        <v>0</v>
      </c>
      <c r="BB12" s="47">
        <f t="shared" ref="BB12:BB13" si="8">SUM(AB12:AY12)</f>
        <v>0</v>
      </c>
      <c r="BC12" s="48">
        <f>SUM(V12:AA12,BB12)</f>
        <v>67.680000000000007</v>
      </c>
      <c r="BE12" s="33" t="b">
        <f t="shared" si="2"/>
        <v>1</v>
      </c>
      <c r="BF12" s="49"/>
    </row>
    <row r="13" spans="1:58" outlineLevel="1" x14ac:dyDescent="0.3">
      <c r="A13" s="33" t="s">
        <v>781</v>
      </c>
      <c r="B13" s="50" t="s">
        <v>750</v>
      </c>
      <c r="C13" s="51"/>
      <c r="D13" s="52" t="s">
        <v>864</v>
      </c>
      <c r="E13" s="53"/>
      <c r="F13" s="54"/>
      <c r="G13" s="54"/>
      <c r="H13" s="54"/>
      <c r="I13" s="54"/>
      <c r="J13" s="55"/>
      <c r="K13" s="55"/>
      <c r="L13" s="55" t="s">
        <v>137</v>
      </c>
      <c r="M13" s="55"/>
      <c r="N13" s="56">
        <f t="shared" ref="N13" si="9">SUM(O13:P13)</f>
        <v>3.0870000000000002</v>
      </c>
      <c r="O13" s="64">
        <v>3.0870000000000002</v>
      </c>
      <c r="P13" s="56">
        <f>$P$4</f>
        <v>0</v>
      </c>
      <c r="Q13" s="56" t="s">
        <v>10</v>
      </c>
      <c r="R13" s="57">
        <v>67.680000000000007</v>
      </c>
      <c r="S13" s="57">
        <v>0</v>
      </c>
      <c r="T13" s="58">
        <f t="shared" si="3"/>
        <v>67.680000000000007</v>
      </c>
      <c r="U13" s="182">
        <f t="shared" si="0"/>
        <v>0.31999999999999318</v>
      </c>
      <c r="V13" s="59">
        <v>68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9">
        <v>0</v>
      </c>
      <c r="AG13" s="59">
        <v>0</v>
      </c>
      <c r="AH13" s="59">
        <v>0</v>
      </c>
      <c r="AI13" s="59">
        <v>0</v>
      </c>
      <c r="AJ13" s="59">
        <v>0</v>
      </c>
      <c r="AK13" s="59">
        <v>0</v>
      </c>
      <c r="AL13" s="59">
        <v>0</v>
      </c>
      <c r="AM13" s="59">
        <v>0</v>
      </c>
      <c r="AN13" s="59">
        <v>0</v>
      </c>
      <c r="AO13" s="59">
        <v>0</v>
      </c>
      <c r="AP13" s="59">
        <v>0</v>
      </c>
      <c r="AQ13" s="59">
        <v>0</v>
      </c>
      <c r="AR13" s="59">
        <v>0</v>
      </c>
      <c r="AS13" s="59">
        <v>0</v>
      </c>
      <c r="AT13" s="59">
        <v>0</v>
      </c>
      <c r="AU13" s="59">
        <v>0</v>
      </c>
      <c r="AV13" s="59">
        <v>0</v>
      </c>
      <c r="AW13" s="59">
        <v>0</v>
      </c>
      <c r="AX13" s="59"/>
      <c r="AY13" s="59"/>
      <c r="AZ13" s="60">
        <f t="shared" si="4"/>
        <v>68</v>
      </c>
      <c r="BA13" s="46">
        <f t="shared" si="1"/>
        <v>0</v>
      </c>
      <c r="BB13" s="61">
        <f t="shared" si="8"/>
        <v>0</v>
      </c>
      <c r="BC13" s="62">
        <f>SUM(V13:AA13,BB13)</f>
        <v>68</v>
      </c>
      <c r="BE13" s="33" t="b">
        <f t="shared" si="2"/>
        <v>1</v>
      </c>
    </row>
    <row r="14" spans="1:58" s="33" customFormat="1" outlineLevel="1" x14ac:dyDescent="0.3">
      <c r="B14" s="34" t="s">
        <v>750</v>
      </c>
      <c r="C14" s="35">
        <v>5</v>
      </c>
      <c r="D14" s="36" t="s">
        <v>806</v>
      </c>
      <c r="E14" s="37" t="s">
        <v>19</v>
      </c>
      <c r="F14" s="38" t="s">
        <v>20</v>
      </c>
      <c r="G14" s="38" t="s">
        <v>142</v>
      </c>
      <c r="H14" s="38" t="s">
        <v>141</v>
      </c>
      <c r="I14" s="38" t="s">
        <v>9</v>
      </c>
      <c r="J14" s="39">
        <v>1925611</v>
      </c>
      <c r="K14" s="40">
        <v>1195236</v>
      </c>
      <c r="L14" s="40"/>
      <c r="M14" s="40"/>
      <c r="N14" s="41"/>
      <c r="O14" s="41"/>
      <c r="P14" s="41"/>
      <c r="Q14" s="41" t="s">
        <v>8</v>
      </c>
      <c r="R14" s="42">
        <v>33201</v>
      </c>
      <c r="S14" s="42">
        <v>99603</v>
      </c>
      <c r="T14" s="43">
        <f t="shared" si="3"/>
        <v>132804</v>
      </c>
      <c r="U14" s="181">
        <f t="shared" si="0"/>
        <v>0</v>
      </c>
      <c r="V14" s="44">
        <v>132804</v>
      </c>
      <c r="W14" s="44">
        <v>132804</v>
      </c>
      <c r="X14" s="44">
        <v>132804</v>
      </c>
      <c r="Y14" s="44">
        <v>132804</v>
      </c>
      <c r="Z14" s="44">
        <v>132804</v>
      </c>
      <c r="AA14" s="44">
        <v>132804</v>
      </c>
      <c r="AB14" s="44">
        <v>132804</v>
      </c>
      <c r="AC14" s="44">
        <v>132804</v>
      </c>
      <c r="AD14" s="44">
        <v>66402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/>
      <c r="AY14" s="44"/>
      <c r="AZ14" s="45">
        <f t="shared" si="4"/>
        <v>1128834</v>
      </c>
      <c r="BA14" s="46">
        <f t="shared" si="1"/>
        <v>0</v>
      </c>
      <c r="BB14" s="47">
        <f t="shared" si="5"/>
        <v>199206</v>
      </c>
      <c r="BC14" s="48">
        <f t="shared" si="6"/>
        <v>1128834</v>
      </c>
      <c r="BE14" s="33" t="b">
        <f t="shared" si="2"/>
        <v>1</v>
      </c>
      <c r="BF14" s="12"/>
    </row>
    <row r="15" spans="1:58" outlineLevel="1" x14ac:dyDescent="0.3">
      <c r="B15" s="50" t="s">
        <v>750</v>
      </c>
      <c r="C15" s="51"/>
      <c r="D15" s="52" t="s">
        <v>807</v>
      </c>
      <c r="E15" s="53"/>
      <c r="F15" s="54"/>
      <c r="G15" s="54"/>
      <c r="H15" s="54"/>
      <c r="I15" s="54"/>
      <c r="J15" s="55"/>
      <c r="K15" s="55"/>
      <c r="L15" s="55" t="s">
        <v>140</v>
      </c>
      <c r="M15" s="55"/>
      <c r="N15" s="56">
        <f t="shared" si="7"/>
        <v>4.0579999999999998</v>
      </c>
      <c r="O15" s="56">
        <v>4.0579999999999998</v>
      </c>
      <c r="P15" s="56">
        <f>$P$4</f>
        <v>0</v>
      </c>
      <c r="Q15" s="56" t="s">
        <v>10</v>
      </c>
      <c r="R15" s="57">
        <v>22090.03</v>
      </c>
      <c r="S15" s="57">
        <v>20465.29</v>
      </c>
      <c r="T15" s="58">
        <f t="shared" si="3"/>
        <v>42555.32</v>
      </c>
      <c r="U15" s="182">
        <f t="shared" si="0"/>
        <v>0.76371999999537366</v>
      </c>
      <c r="V15" s="59">
        <f>SUM(V14:$AW14)*$N15/100-3252</f>
        <v>42556.083719999995</v>
      </c>
      <c r="W15" s="59">
        <f>SUM(W14:$AW14)*$N15/100</f>
        <v>40418.897399999994</v>
      </c>
      <c r="X15" s="59">
        <f>SUM(X14:$AW14)*$N15/100</f>
        <v>35029.711080000001</v>
      </c>
      <c r="Y15" s="59">
        <f>SUM(Y14:$AW14)*$N15/100</f>
        <v>29640.524759999997</v>
      </c>
      <c r="Z15" s="59">
        <f>SUM(Z14:$AW14)*$N15/100</f>
        <v>24251.33844</v>
      </c>
      <c r="AA15" s="59">
        <f>SUM(AA14:$AW14)*$N15/100</f>
        <v>18862.152119999999</v>
      </c>
      <c r="AB15" s="59">
        <f>SUM(AB14:$AW14)*$N15/100</f>
        <v>13472.965799999998</v>
      </c>
      <c r="AC15" s="59">
        <f>SUM(AC14:$AW14)*$N15/100</f>
        <v>8083.7794800000001</v>
      </c>
      <c r="AD15" s="59">
        <f>SUM(AD14:$AW14)*$N15/100</f>
        <v>2694.5931599999999</v>
      </c>
      <c r="AE15" s="59">
        <v>0</v>
      </c>
      <c r="AF15" s="59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9">
        <v>0</v>
      </c>
      <c r="AO15" s="59">
        <v>0</v>
      </c>
      <c r="AP15" s="59">
        <v>0</v>
      </c>
      <c r="AQ15" s="59">
        <v>0</v>
      </c>
      <c r="AR15" s="59">
        <v>0</v>
      </c>
      <c r="AS15" s="59">
        <v>0</v>
      </c>
      <c r="AT15" s="59">
        <v>0</v>
      </c>
      <c r="AU15" s="59">
        <v>0</v>
      </c>
      <c r="AV15" s="59">
        <v>0</v>
      </c>
      <c r="AW15" s="59">
        <v>0</v>
      </c>
      <c r="AX15" s="59"/>
      <c r="AY15" s="59"/>
      <c r="AZ15" s="60">
        <f t="shared" si="4"/>
        <v>215010.04595999999</v>
      </c>
      <c r="BA15" s="46">
        <f t="shared" si="1"/>
        <v>0</v>
      </c>
      <c r="BB15" s="61">
        <f t="shared" si="5"/>
        <v>10778.37264</v>
      </c>
      <c r="BC15" s="62">
        <f t="shared" si="6"/>
        <v>215010.04595999999</v>
      </c>
      <c r="BE15" s="33" t="b">
        <f t="shared" si="2"/>
        <v>1</v>
      </c>
    </row>
    <row r="16" spans="1:58" s="33" customFormat="1" outlineLevel="1" x14ac:dyDescent="0.3">
      <c r="B16" s="34" t="s">
        <v>750</v>
      </c>
      <c r="C16" s="35">
        <v>6</v>
      </c>
      <c r="D16" s="36" t="s">
        <v>806</v>
      </c>
      <c r="E16" s="37" t="s">
        <v>21</v>
      </c>
      <c r="F16" s="38" t="s">
        <v>22</v>
      </c>
      <c r="G16" s="38" t="s">
        <v>144</v>
      </c>
      <c r="H16" s="38" t="s">
        <v>143</v>
      </c>
      <c r="I16" s="38" t="s">
        <v>9</v>
      </c>
      <c r="J16" s="39">
        <v>154450.12</v>
      </c>
      <c r="K16" s="40">
        <v>96866</v>
      </c>
      <c r="L16" s="40"/>
      <c r="M16" s="40"/>
      <c r="N16" s="41"/>
      <c r="O16" s="41"/>
      <c r="P16" s="41"/>
      <c r="Q16" s="41" t="s">
        <v>8</v>
      </c>
      <c r="R16" s="42">
        <v>2618</v>
      </c>
      <c r="S16" s="42">
        <v>7854</v>
      </c>
      <c r="T16" s="43">
        <f t="shared" si="3"/>
        <v>10472</v>
      </c>
      <c r="U16" s="181">
        <f t="shared" si="0"/>
        <v>0</v>
      </c>
      <c r="V16" s="44">
        <v>10472</v>
      </c>
      <c r="W16" s="44">
        <v>10472</v>
      </c>
      <c r="X16" s="44">
        <v>10472</v>
      </c>
      <c r="Y16" s="44">
        <v>10472</v>
      </c>
      <c r="Z16" s="44">
        <v>10472</v>
      </c>
      <c r="AA16" s="44">
        <v>10472</v>
      </c>
      <c r="AB16" s="44">
        <v>10472</v>
      </c>
      <c r="AC16" s="44">
        <v>10472</v>
      </c>
      <c r="AD16" s="44">
        <v>7854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/>
      <c r="AY16" s="44"/>
      <c r="AZ16" s="45">
        <f t="shared" si="4"/>
        <v>91630</v>
      </c>
      <c r="BA16" s="46">
        <f t="shared" si="1"/>
        <v>0</v>
      </c>
      <c r="BB16" s="47">
        <f t="shared" si="5"/>
        <v>18326</v>
      </c>
      <c r="BC16" s="48">
        <f t="shared" si="6"/>
        <v>91630</v>
      </c>
      <c r="BE16" s="33" t="b">
        <f t="shared" si="2"/>
        <v>1</v>
      </c>
      <c r="BF16" s="49"/>
    </row>
    <row r="17" spans="2:58" outlineLevel="1" x14ac:dyDescent="0.3">
      <c r="B17" s="50" t="s">
        <v>750</v>
      </c>
      <c r="C17" s="51"/>
      <c r="D17" s="52" t="s">
        <v>808</v>
      </c>
      <c r="E17" s="53"/>
      <c r="F17" s="54"/>
      <c r="G17" s="54"/>
      <c r="H17" s="54"/>
      <c r="I17" s="54"/>
      <c r="J17" s="55"/>
      <c r="K17" s="55"/>
      <c r="L17" s="55" t="s">
        <v>724</v>
      </c>
      <c r="M17" s="55"/>
      <c r="N17" s="56">
        <f t="shared" si="7"/>
        <v>4.3659999999999997</v>
      </c>
      <c r="O17" s="56">
        <v>4.3659999999999997</v>
      </c>
      <c r="P17" s="56">
        <f>$P$4</f>
        <v>0</v>
      </c>
      <c r="Q17" s="56" t="s">
        <v>10</v>
      </c>
      <c r="R17" s="57">
        <v>1937.53</v>
      </c>
      <c r="S17" s="57">
        <v>1790.23</v>
      </c>
      <c r="T17" s="58">
        <f t="shared" si="3"/>
        <v>3727.76</v>
      </c>
      <c r="U17" s="182">
        <f t="shared" si="0"/>
        <v>0.80579999999918073</v>
      </c>
      <c r="V17" s="59">
        <f>SUM(V16:$AW16)*$N17/100-272</f>
        <v>3728.5657999999994</v>
      </c>
      <c r="W17" s="59">
        <f>SUM(W16:$AW16)*$N17/100</f>
        <v>3543.3582799999999</v>
      </c>
      <c r="X17" s="59">
        <f>SUM(X16:$AW16)*$N17/100</f>
        <v>3086.15076</v>
      </c>
      <c r="Y17" s="59">
        <f>SUM(Y16:$AW16)*$N17/100</f>
        <v>2628.9432399999996</v>
      </c>
      <c r="Z17" s="59">
        <f>SUM(Z16:$AW16)*$N17/100</f>
        <v>2171.7357199999997</v>
      </c>
      <c r="AA17" s="59">
        <f>SUM(AA16:$AW16)*$N17/100</f>
        <v>1714.5281999999997</v>
      </c>
      <c r="AB17" s="59">
        <f>SUM(AB16:$AW16)*$N17/100</f>
        <v>1257.3206799999998</v>
      </c>
      <c r="AC17" s="59">
        <f>SUM(AC16:$AW16)*$N17/100</f>
        <v>800.11315999999988</v>
      </c>
      <c r="AD17" s="59">
        <f>SUM(AD16:$AW16)*$N17/100</f>
        <v>342.90564000000001</v>
      </c>
      <c r="AE17" s="59">
        <v>0</v>
      </c>
      <c r="AF17" s="59">
        <v>0</v>
      </c>
      <c r="AG17" s="59">
        <v>0</v>
      </c>
      <c r="AH17" s="59">
        <v>0</v>
      </c>
      <c r="AI17" s="59">
        <v>0</v>
      </c>
      <c r="AJ17" s="59">
        <v>0</v>
      </c>
      <c r="AK17" s="59">
        <v>0</v>
      </c>
      <c r="AL17" s="59">
        <v>0</v>
      </c>
      <c r="AM17" s="59">
        <v>0</v>
      </c>
      <c r="AN17" s="59">
        <v>0</v>
      </c>
      <c r="AO17" s="59">
        <v>0</v>
      </c>
      <c r="AP17" s="59">
        <v>0</v>
      </c>
      <c r="AQ17" s="59">
        <v>0</v>
      </c>
      <c r="AR17" s="59">
        <v>0</v>
      </c>
      <c r="AS17" s="59">
        <v>0</v>
      </c>
      <c r="AT17" s="59">
        <v>0</v>
      </c>
      <c r="AU17" s="59">
        <v>0</v>
      </c>
      <c r="AV17" s="59">
        <v>0</v>
      </c>
      <c r="AW17" s="59">
        <v>0</v>
      </c>
      <c r="AX17" s="59"/>
      <c r="AY17" s="59"/>
      <c r="AZ17" s="60">
        <f t="shared" si="4"/>
        <v>19273.621480000002</v>
      </c>
      <c r="BA17" s="46">
        <f t="shared" si="1"/>
        <v>0</v>
      </c>
      <c r="BB17" s="61">
        <f t="shared" si="5"/>
        <v>1143.0187999999998</v>
      </c>
      <c r="BC17" s="62">
        <f t="shared" si="6"/>
        <v>19273.621480000002</v>
      </c>
      <c r="BE17" s="33" t="b">
        <f t="shared" si="2"/>
        <v>1</v>
      </c>
    </row>
    <row r="18" spans="2:58" s="33" customFormat="1" outlineLevel="1" x14ac:dyDescent="0.3">
      <c r="B18" s="34" t="s">
        <v>750</v>
      </c>
      <c r="C18" s="35">
        <v>7</v>
      </c>
      <c r="D18" s="36" t="s">
        <v>809</v>
      </c>
      <c r="E18" s="37" t="s">
        <v>23</v>
      </c>
      <c r="F18" s="38" t="s">
        <v>24</v>
      </c>
      <c r="G18" s="38" t="s">
        <v>147</v>
      </c>
      <c r="H18" s="38" t="s">
        <v>146</v>
      </c>
      <c r="I18" s="38" t="s">
        <v>9</v>
      </c>
      <c r="J18" s="39">
        <v>11123368</v>
      </c>
      <c r="K18" s="40">
        <v>9499600</v>
      </c>
      <c r="L18" s="40"/>
      <c r="M18" s="40"/>
      <c r="N18" s="41"/>
      <c r="O18" s="41"/>
      <c r="P18" s="41"/>
      <c r="Q18" s="41" t="s">
        <v>8</v>
      </c>
      <c r="R18" s="42">
        <v>94996</v>
      </c>
      <c r="S18" s="42">
        <v>284988</v>
      </c>
      <c r="T18" s="43">
        <f t="shared" si="3"/>
        <v>379984</v>
      </c>
      <c r="U18" s="181">
        <f t="shared" si="0"/>
        <v>0</v>
      </c>
      <c r="V18" s="44">
        <v>379984</v>
      </c>
      <c r="W18" s="44">
        <v>379984</v>
      </c>
      <c r="X18" s="44">
        <v>379984</v>
      </c>
      <c r="Y18" s="44">
        <v>379984</v>
      </c>
      <c r="Z18" s="44">
        <v>379984</v>
      </c>
      <c r="AA18" s="44">
        <v>379984</v>
      </c>
      <c r="AB18" s="44">
        <v>379984</v>
      </c>
      <c r="AC18" s="44">
        <v>379984</v>
      </c>
      <c r="AD18" s="44">
        <v>379984</v>
      </c>
      <c r="AE18" s="44">
        <v>379984</v>
      </c>
      <c r="AF18" s="44">
        <v>379984</v>
      </c>
      <c r="AG18" s="44">
        <v>379984</v>
      </c>
      <c r="AH18" s="44">
        <v>379984</v>
      </c>
      <c r="AI18" s="44">
        <v>379984</v>
      </c>
      <c r="AJ18" s="44">
        <v>379984</v>
      </c>
      <c r="AK18" s="44">
        <v>379984</v>
      </c>
      <c r="AL18" s="44">
        <v>379984</v>
      </c>
      <c r="AM18" s="44">
        <v>379984</v>
      </c>
      <c r="AN18" s="44">
        <v>379984</v>
      </c>
      <c r="AO18" s="44">
        <v>379984</v>
      </c>
      <c r="AP18" s="44">
        <v>379984</v>
      </c>
      <c r="AQ18" s="44">
        <v>379984</v>
      </c>
      <c r="AR18" s="44">
        <v>379984</v>
      </c>
      <c r="AS18" s="44">
        <v>379984</v>
      </c>
      <c r="AT18" s="44">
        <v>189992</v>
      </c>
      <c r="AU18" s="44">
        <v>0</v>
      </c>
      <c r="AV18" s="44">
        <v>0</v>
      </c>
      <c r="AW18" s="44">
        <v>0</v>
      </c>
      <c r="AX18" s="44"/>
      <c r="AY18" s="44"/>
      <c r="AZ18" s="45">
        <f t="shared" si="4"/>
        <v>9309608</v>
      </c>
      <c r="BA18" s="46">
        <f t="shared" si="1"/>
        <v>0</v>
      </c>
      <c r="BB18" s="47">
        <f t="shared" si="5"/>
        <v>6649720</v>
      </c>
      <c r="BC18" s="48">
        <f t="shared" si="6"/>
        <v>9309608</v>
      </c>
      <c r="BE18" s="33" t="b">
        <f t="shared" si="2"/>
        <v>1</v>
      </c>
      <c r="BF18" s="49"/>
    </row>
    <row r="19" spans="2:58" outlineLevel="1" x14ac:dyDescent="0.3">
      <c r="B19" s="50" t="s">
        <v>750</v>
      </c>
      <c r="C19" s="51"/>
      <c r="D19" s="52" t="s">
        <v>810</v>
      </c>
      <c r="E19" s="53"/>
      <c r="F19" s="54"/>
      <c r="G19" s="54"/>
      <c r="H19" s="54"/>
      <c r="I19" s="54"/>
      <c r="J19" s="55"/>
      <c r="K19" s="55"/>
      <c r="L19" s="55" t="s">
        <v>145</v>
      </c>
      <c r="M19" s="55"/>
      <c r="N19" s="56">
        <f t="shared" si="7"/>
        <v>3.8719999999999999</v>
      </c>
      <c r="O19" s="56">
        <v>3.8719999999999999</v>
      </c>
      <c r="P19" s="56">
        <f>$P$4</f>
        <v>0</v>
      </c>
      <c r="Q19" s="56" t="s">
        <v>10</v>
      </c>
      <c r="R19" s="57">
        <v>172225.8</v>
      </c>
      <c r="S19" s="57">
        <v>178807.15</v>
      </c>
      <c r="T19" s="58">
        <f t="shared" si="3"/>
        <v>351032.94999999995</v>
      </c>
      <c r="U19" s="182">
        <f t="shared" si="0"/>
        <v>7.1760000020731241E-2</v>
      </c>
      <c r="V19" s="59">
        <f>SUM(V18:$AW18)*$N19/100-9435</f>
        <v>351033.02175999997</v>
      </c>
      <c r="W19" s="59">
        <f>SUM(W18:$AW18)*$N19/100</f>
        <v>345755.04128</v>
      </c>
      <c r="X19" s="59">
        <f>SUM(X18:$AW18)*$N19/100</f>
        <v>331042.06079999998</v>
      </c>
      <c r="Y19" s="59">
        <f>SUM(Y18:$AW18)*$N19/100</f>
        <v>316329.08031999995</v>
      </c>
      <c r="Z19" s="59">
        <f>SUM(Z18:$AW18)*$N19/100</f>
        <v>301616.09983999998</v>
      </c>
      <c r="AA19" s="59">
        <f>SUM(AA18:$AW18)*$N19/100</f>
        <v>286903.11936000001</v>
      </c>
      <c r="AB19" s="59">
        <f>SUM(AB18:$AW18)*$N19/100</f>
        <v>272190.13887999998</v>
      </c>
      <c r="AC19" s="59">
        <f>SUM(AC18:$AW18)*$N19/100</f>
        <v>257477.15839999999</v>
      </c>
      <c r="AD19" s="59">
        <f>SUM(AD18:$AW18)*$N19/100</f>
        <v>242764.17791999999</v>
      </c>
      <c r="AE19" s="59">
        <f>SUM(AE18:$AW18)*$N19/100</f>
        <v>228051.19743999999</v>
      </c>
      <c r="AF19" s="59">
        <f>SUM(AF18:$AW18)*$N19/100</f>
        <v>213338.21695999999</v>
      </c>
      <c r="AG19" s="59">
        <f>SUM(AG18:$AW18)*$N19/100</f>
        <v>198625.23647999999</v>
      </c>
      <c r="AH19" s="59">
        <f>SUM(AH18:$AW18)*$N19/100</f>
        <v>183912.25599999996</v>
      </c>
      <c r="AI19" s="59">
        <f>SUM(AI18:$AW18)*$N19/100</f>
        <v>169199.27552000002</v>
      </c>
      <c r="AJ19" s="59">
        <f>SUM(AJ18:$AW18)*$N19/100</f>
        <v>154486.29504</v>
      </c>
      <c r="AK19" s="59">
        <f>SUM(AK18:$AW18)*$N19/100</f>
        <v>139773.31456</v>
      </c>
      <c r="AL19" s="59">
        <f>SUM(AL18:$AW18)*$N19/100</f>
        <v>125060.33408</v>
      </c>
      <c r="AM19" s="59">
        <f>SUM(AM18:$AW18)*$N19/100</f>
        <v>110347.35359999999</v>
      </c>
      <c r="AN19" s="59">
        <f>SUM(AN18:$AW18)*$N19/100</f>
        <v>95634.373119999989</v>
      </c>
      <c r="AO19" s="59">
        <f>SUM(AO18:$AW18)*$N19/100</f>
        <v>80921.392639999991</v>
      </c>
      <c r="AP19" s="59">
        <f>SUM(AP18:$AW18)*$N19/100</f>
        <v>66208.412160000007</v>
      </c>
      <c r="AQ19" s="59">
        <f>SUM(AQ18:$AW18)*$N19/100</f>
        <v>51495.431679999994</v>
      </c>
      <c r="AR19" s="59">
        <f>SUM(AR18:$AW18)*$N19/100</f>
        <v>36782.451200000003</v>
      </c>
      <c r="AS19" s="59">
        <f>SUM(AS18:$AW18)*$N19/100</f>
        <v>22069.470720000001</v>
      </c>
      <c r="AT19" s="59">
        <f>SUM(AT18:$AW18)*$N19/100</f>
        <v>7356.4902400000001</v>
      </c>
      <c r="AU19" s="59">
        <v>0</v>
      </c>
      <c r="AV19" s="59">
        <v>0</v>
      </c>
      <c r="AW19" s="59">
        <v>0</v>
      </c>
      <c r="AX19" s="59"/>
      <c r="AY19" s="59"/>
      <c r="AZ19" s="60">
        <f t="shared" si="4"/>
        <v>4588371.3999999994</v>
      </c>
      <c r="BA19" s="46">
        <f t="shared" si="1"/>
        <v>0</v>
      </c>
      <c r="BB19" s="61">
        <f t="shared" si="5"/>
        <v>2383502.8377600005</v>
      </c>
      <c r="BC19" s="62">
        <f t="shared" si="6"/>
        <v>4588371.4000000004</v>
      </c>
      <c r="BE19" s="33" t="b">
        <f t="shared" si="2"/>
        <v>1</v>
      </c>
    </row>
    <row r="20" spans="2:58" s="33" customFormat="1" outlineLevel="1" x14ac:dyDescent="0.3">
      <c r="B20" s="34" t="s">
        <v>751</v>
      </c>
      <c r="C20" s="35">
        <v>8</v>
      </c>
      <c r="D20" s="36" t="s">
        <v>811</v>
      </c>
      <c r="E20" s="37" t="s">
        <v>25</v>
      </c>
      <c r="F20" s="38" t="s">
        <v>26</v>
      </c>
      <c r="G20" s="38" t="s">
        <v>150</v>
      </c>
      <c r="H20" s="38" t="s">
        <v>149</v>
      </c>
      <c r="I20" s="38" t="s">
        <v>9</v>
      </c>
      <c r="J20" s="39">
        <v>484935.32</v>
      </c>
      <c r="K20" s="40">
        <v>299602</v>
      </c>
      <c r="L20" s="40"/>
      <c r="M20" s="40"/>
      <c r="N20" s="41"/>
      <c r="O20" s="41"/>
      <c r="P20" s="41"/>
      <c r="Q20" s="41" t="s">
        <v>8</v>
      </c>
      <c r="R20" s="42">
        <v>5078</v>
      </c>
      <c r="S20" s="42">
        <v>15234</v>
      </c>
      <c r="T20" s="43">
        <f t="shared" si="3"/>
        <v>20312</v>
      </c>
      <c r="U20" s="181">
        <f t="shared" si="0"/>
        <v>0</v>
      </c>
      <c r="V20" s="44">
        <v>20312</v>
      </c>
      <c r="W20" s="44">
        <v>20312</v>
      </c>
      <c r="X20" s="44">
        <v>20312</v>
      </c>
      <c r="Y20" s="44">
        <v>20312</v>
      </c>
      <c r="Z20" s="44">
        <v>20312</v>
      </c>
      <c r="AA20" s="44">
        <v>20312</v>
      </c>
      <c r="AB20" s="44">
        <v>20312</v>
      </c>
      <c r="AC20" s="44">
        <v>20312</v>
      </c>
      <c r="AD20" s="44">
        <v>20312</v>
      </c>
      <c r="AE20" s="44">
        <v>20312</v>
      </c>
      <c r="AF20" s="44">
        <v>20312</v>
      </c>
      <c r="AG20" s="44">
        <v>20312</v>
      </c>
      <c r="AH20" s="44">
        <v>20312</v>
      </c>
      <c r="AI20" s="44">
        <v>20312</v>
      </c>
      <c r="AJ20" s="44">
        <v>5078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4"/>
      <c r="AY20" s="44"/>
      <c r="AZ20" s="45">
        <f t="shared" si="4"/>
        <v>289446</v>
      </c>
      <c r="BA20" s="46">
        <f t="shared" si="1"/>
        <v>0</v>
      </c>
      <c r="BB20" s="47">
        <f t="shared" si="5"/>
        <v>147262</v>
      </c>
      <c r="BC20" s="48">
        <f t="shared" si="6"/>
        <v>289446</v>
      </c>
      <c r="BE20" s="33" t="b">
        <f t="shared" si="2"/>
        <v>1</v>
      </c>
      <c r="BF20" s="49"/>
    </row>
    <row r="21" spans="2:58" outlineLevel="1" x14ac:dyDescent="0.3">
      <c r="B21" s="50" t="s">
        <v>751</v>
      </c>
      <c r="C21" s="51"/>
      <c r="D21" s="52" t="s">
        <v>812</v>
      </c>
      <c r="E21" s="53"/>
      <c r="F21" s="54"/>
      <c r="G21" s="54"/>
      <c r="H21" s="54"/>
      <c r="I21" s="54"/>
      <c r="J21" s="55"/>
      <c r="K21" s="55"/>
      <c r="L21" s="55" t="s">
        <v>148</v>
      </c>
      <c r="M21" s="55"/>
      <c r="N21" s="56">
        <f t="shared" si="7"/>
        <v>3.613</v>
      </c>
      <c r="O21" s="56">
        <v>3.613</v>
      </c>
      <c r="P21" s="56">
        <f>$P$4</f>
        <v>0</v>
      </c>
      <c r="Q21" s="56" t="s">
        <v>10</v>
      </c>
      <c r="R21" s="57">
        <v>5171.1900000000005</v>
      </c>
      <c r="S21" s="57">
        <v>5356.17</v>
      </c>
      <c r="T21" s="58">
        <f t="shared" si="3"/>
        <v>10527.36</v>
      </c>
      <c r="U21" s="182">
        <f t="shared" si="0"/>
        <v>0.32397999999921012</v>
      </c>
      <c r="V21" s="59">
        <f>SUM(V20:$AW20)*$N21/100+70</f>
        <v>10527.68398</v>
      </c>
      <c r="W21" s="59">
        <f>SUM(W20:$AW20)*$N21/100</f>
        <v>9723.81142</v>
      </c>
      <c r="X21" s="59">
        <f>SUM(X20:$AW20)*$N21/100</f>
        <v>8989.9388600000002</v>
      </c>
      <c r="Y21" s="59">
        <f>SUM(Y20:$AW20)*$N21/100</f>
        <v>8256.0663000000004</v>
      </c>
      <c r="Z21" s="59">
        <f>SUM(Z20:$AW20)*$N21/100</f>
        <v>7522.1937399999997</v>
      </c>
      <c r="AA21" s="59">
        <f>SUM(AA20:$AW20)*$N21/100</f>
        <v>6788.3211799999999</v>
      </c>
      <c r="AB21" s="59">
        <f>SUM(AB20:$AW20)*$N21/100</f>
        <v>6054.4486199999992</v>
      </c>
      <c r="AC21" s="59">
        <f>SUM(AC20:$AW20)*$N21/100</f>
        <v>5320.5760600000003</v>
      </c>
      <c r="AD21" s="59">
        <f>SUM(AD20:$AW20)*$N21/100</f>
        <v>4586.7034999999996</v>
      </c>
      <c r="AE21" s="59">
        <f>SUM(AE20:$AW20)*$N21/100</f>
        <v>3852.8309399999998</v>
      </c>
      <c r="AF21" s="59">
        <f>SUM(AF20:$AW20)*$N21/100</f>
        <v>3118.95838</v>
      </c>
      <c r="AG21" s="59">
        <f>SUM(AG20:$AW20)*$N21/100</f>
        <v>2385.0858199999998</v>
      </c>
      <c r="AH21" s="59">
        <f>SUM(AH20:$AW20)*$N21/100</f>
        <v>1651.21326</v>
      </c>
      <c r="AI21" s="59">
        <f>SUM(AI20:$AW20)*$N21/100</f>
        <v>917.34070000000008</v>
      </c>
      <c r="AJ21" s="59">
        <f>SUM(AJ20:$AW20)*$N21/100</f>
        <v>183.46813999999998</v>
      </c>
      <c r="AK21" s="59">
        <v>0</v>
      </c>
      <c r="AL21" s="59">
        <v>0</v>
      </c>
      <c r="AM21" s="59">
        <v>0</v>
      </c>
      <c r="AN21" s="59">
        <v>0</v>
      </c>
      <c r="AO21" s="59">
        <v>0</v>
      </c>
      <c r="AP21" s="59">
        <v>0</v>
      </c>
      <c r="AQ21" s="59">
        <v>0</v>
      </c>
      <c r="AR21" s="59">
        <v>0</v>
      </c>
      <c r="AS21" s="59">
        <v>0</v>
      </c>
      <c r="AT21" s="59">
        <v>0</v>
      </c>
      <c r="AU21" s="59">
        <v>0</v>
      </c>
      <c r="AV21" s="59">
        <v>0</v>
      </c>
      <c r="AW21" s="59">
        <v>0</v>
      </c>
      <c r="AX21" s="59"/>
      <c r="AY21" s="59"/>
      <c r="AZ21" s="60">
        <f t="shared" si="4"/>
        <v>79878.640899999984</v>
      </c>
      <c r="BA21" s="46">
        <f t="shared" si="1"/>
        <v>0</v>
      </c>
      <c r="BB21" s="61">
        <f t="shared" si="5"/>
        <v>22016.176800000001</v>
      </c>
      <c r="BC21" s="62">
        <f t="shared" si="6"/>
        <v>79878.640899999999</v>
      </c>
      <c r="BE21" s="33" t="b">
        <f t="shared" si="2"/>
        <v>1</v>
      </c>
    </row>
    <row r="22" spans="2:58" s="33" customFormat="1" outlineLevel="1" x14ac:dyDescent="0.3">
      <c r="B22" s="34" t="s">
        <v>751</v>
      </c>
      <c r="C22" s="35">
        <v>9</v>
      </c>
      <c r="D22" s="36" t="s">
        <v>784</v>
      </c>
      <c r="E22" s="37" t="s">
        <v>27</v>
      </c>
      <c r="F22" s="38" t="s">
        <v>28</v>
      </c>
      <c r="G22" s="38" t="s">
        <v>153</v>
      </c>
      <c r="H22" s="38" t="s">
        <v>154</v>
      </c>
      <c r="I22" s="38" t="s">
        <v>9</v>
      </c>
      <c r="J22" s="39">
        <v>278611.39</v>
      </c>
      <c r="K22" s="40">
        <v>217140</v>
      </c>
      <c r="L22" s="40"/>
      <c r="M22" s="40"/>
      <c r="N22" s="41"/>
      <c r="O22" s="41"/>
      <c r="P22" s="41"/>
      <c r="Q22" s="41" t="s">
        <v>8</v>
      </c>
      <c r="R22" s="42">
        <v>3619</v>
      </c>
      <c r="S22" s="42">
        <v>10857</v>
      </c>
      <c r="T22" s="43">
        <f t="shared" si="3"/>
        <v>14476</v>
      </c>
      <c r="U22" s="181">
        <f t="shared" si="0"/>
        <v>0</v>
      </c>
      <c r="V22" s="44">
        <v>14476</v>
      </c>
      <c r="W22" s="44">
        <v>14476</v>
      </c>
      <c r="X22" s="44">
        <v>14476</v>
      </c>
      <c r="Y22" s="44">
        <v>14476</v>
      </c>
      <c r="Z22" s="44">
        <v>14476</v>
      </c>
      <c r="AA22" s="44">
        <v>14476</v>
      </c>
      <c r="AB22" s="44">
        <v>14476</v>
      </c>
      <c r="AC22" s="44">
        <v>14476</v>
      </c>
      <c r="AD22" s="44">
        <v>14476</v>
      </c>
      <c r="AE22" s="44">
        <v>14476</v>
      </c>
      <c r="AF22" s="44">
        <v>14476</v>
      </c>
      <c r="AG22" s="44">
        <v>14476</v>
      </c>
      <c r="AH22" s="44">
        <v>14476</v>
      </c>
      <c r="AI22" s="44">
        <v>14476</v>
      </c>
      <c r="AJ22" s="44">
        <v>7238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4"/>
      <c r="AY22" s="44"/>
      <c r="AZ22" s="45">
        <f t="shared" si="4"/>
        <v>209902</v>
      </c>
      <c r="BA22" s="46">
        <f t="shared" si="1"/>
        <v>0</v>
      </c>
      <c r="BB22" s="47">
        <f t="shared" si="5"/>
        <v>108570</v>
      </c>
      <c r="BC22" s="48">
        <f t="shared" si="6"/>
        <v>209902</v>
      </c>
      <c r="BE22" s="33" t="b">
        <f t="shared" si="2"/>
        <v>1</v>
      </c>
      <c r="BF22" s="49"/>
    </row>
    <row r="23" spans="2:58" outlineLevel="1" x14ac:dyDescent="0.3">
      <c r="B23" s="50" t="s">
        <v>751</v>
      </c>
      <c r="C23" s="51"/>
      <c r="D23" s="52" t="s">
        <v>785</v>
      </c>
      <c r="E23" s="53"/>
      <c r="F23" s="54"/>
      <c r="G23" s="54"/>
      <c r="H23" s="54"/>
      <c r="I23" s="54"/>
      <c r="J23" s="55"/>
      <c r="K23" s="55"/>
      <c r="L23" s="55" t="s">
        <v>151</v>
      </c>
      <c r="M23" s="55"/>
      <c r="N23" s="56">
        <f t="shared" si="7"/>
        <v>4.0570000000000004</v>
      </c>
      <c r="O23" s="56">
        <v>4.0570000000000004</v>
      </c>
      <c r="P23" s="56">
        <f>$P$4</f>
        <v>0</v>
      </c>
      <c r="Q23" s="56" t="s">
        <v>10</v>
      </c>
      <c r="R23" s="57">
        <v>4088.1000000000004</v>
      </c>
      <c r="S23" s="57">
        <v>3917.6</v>
      </c>
      <c r="T23" s="58">
        <f t="shared" si="3"/>
        <v>8005.7000000000007</v>
      </c>
      <c r="U23" s="182">
        <f t="shared" si="0"/>
        <v>2.4139999999533757E-2</v>
      </c>
      <c r="V23" s="59">
        <f>SUM(V22:$AW22)*$N23/100-510</f>
        <v>8005.7241400000003</v>
      </c>
      <c r="W23" s="59">
        <f>SUM(W22:$AW22)*$N23/100</f>
        <v>7928.4328200000009</v>
      </c>
      <c r="X23" s="59">
        <f>SUM(X22:$AW22)*$N23/100</f>
        <v>7341.1415000000006</v>
      </c>
      <c r="Y23" s="59">
        <f>SUM(Y22:$AW22)*$N23/100</f>
        <v>6753.8501800000004</v>
      </c>
      <c r="Z23" s="59">
        <f>SUM(Z22:$AW22)*$N23/100</f>
        <v>6166.558860000001</v>
      </c>
      <c r="AA23" s="59">
        <f>SUM(AA22:$AW22)*$N23/100</f>
        <v>5579.2675400000007</v>
      </c>
      <c r="AB23" s="59">
        <f>SUM(AB22:$AW22)*$N23/100</f>
        <v>4991.9762200000005</v>
      </c>
      <c r="AC23" s="59">
        <f>SUM(AC22:$AW22)*$N23/100</f>
        <v>4404.6849000000002</v>
      </c>
      <c r="AD23" s="59">
        <f>SUM(AD22:$AW22)*$N23/100</f>
        <v>3817.3935799999999</v>
      </c>
      <c r="AE23" s="59">
        <f>SUM(AE22:$AW22)*$N23/100</f>
        <v>3230.1022600000001</v>
      </c>
      <c r="AF23" s="59">
        <f>SUM(AF22:$AW22)*$N23/100</f>
        <v>2642.8109400000003</v>
      </c>
      <c r="AG23" s="59">
        <f>SUM(AG22:$AW22)*$N23/100</f>
        <v>2055.5196200000005</v>
      </c>
      <c r="AH23" s="59">
        <f>SUM(AH22:$AW22)*$N23/100</f>
        <v>1468.2283000000002</v>
      </c>
      <c r="AI23" s="59">
        <f>SUM(AI22:$AW22)*$N23/100</f>
        <v>880.93698000000006</v>
      </c>
      <c r="AJ23" s="59">
        <f>SUM(AJ22:$AW22)*$N23/100</f>
        <v>293.64566000000002</v>
      </c>
      <c r="AK23" s="59">
        <v>0</v>
      </c>
      <c r="AL23" s="59">
        <v>0</v>
      </c>
      <c r="AM23" s="59">
        <v>0</v>
      </c>
      <c r="AN23" s="59">
        <v>0</v>
      </c>
      <c r="AO23" s="59">
        <v>0</v>
      </c>
      <c r="AP23" s="59">
        <v>0</v>
      </c>
      <c r="AQ23" s="59">
        <v>0</v>
      </c>
      <c r="AR23" s="59">
        <v>0</v>
      </c>
      <c r="AS23" s="59">
        <v>0</v>
      </c>
      <c r="AT23" s="59">
        <v>0</v>
      </c>
      <c r="AU23" s="59">
        <v>0</v>
      </c>
      <c r="AV23" s="59">
        <v>0</v>
      </c>
      <c r="AW23" s="59">
        <v>0</v>
      </c>
      <c r="AX23" s="59"/>
      <c r="AY23" s="59"/>
      <c r="AZ23" s="60">
        <f t="shared" si="4"/>
        <v>65560.273499999996</v>
      </c>
      <c r="BA23" s="46">
        <f t="shared" si="1"/>
        <v>0</v>
      </c>
      <c r="BB23" s="61">
        <f t="shared" si="5"/>
        <v>18793.322239999998</v>
      </c>
      <c r="BC23" s="62">
        <f t="shared" si="6"/>
        <v>65560.273499999996</v>
      </c>
      <c r="BE23" s="33" t="b">
        <f t="shared" si="2"/>
        <v>1</v>
      </c>
    </row>
    <row r="24" spans="2:58" s="33" customFormat="1" outlineLevel="1" x14ac:dyDescent="0.3">
      <c r="B24" s="34" t="s">
        <v>751</v>
      </c>
      <c r="C24" s="35">
        <v>10</v>
      </c>
      <c r="D24" s="36" t="s">
        <v>782</v>
      </c>
      <c r="E24" s="37" t="s">
        <v>29</v>
      </c>
      <c r="F24" s="38" t="s">
        <v>30</v>
      </c>
      <c r="G24" s="38" t="s">
        <v>153</v>
      </c>
      <c r="H24" s="38" t="s">
        <v>155</v>
      </c>
      <c r="I24" s="38" t="s">
        <v>9</v>
      </c>
      <c r="J24" s="39">
        <v>55899</v>
      </c>
      <c r="K24" s="40">
        <v>17888</v>
      </c>
      <c r="L24" s="40"/>
      <c r="M24" s="40"/>
      <c r="N24" s="41"/>
      <c r="O24" s="41"/>
      <c r="P24" s="41"/>
      <c r="Q24" s="41" t="s">
        <v>8</v>
      </c>
      <c r="R24" s="42">
        <v>2236</v>
      </c>
      <c r="S24" s="42">
        <v>6708</v>
      </c>
      <c r="T24" s="43">
        <f t="shared" si="3"/>
        <v>8944</v>
      </c>
      <c r="U24" s="181">
        <f t="shared" si="0"/>
        <v>0</v>
      </c>
      <c r="V24" s="44">
        <v>8944</v>
      </c>
      <c r="W24" s="44">
        <v>4472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/>
      <c r="AY24" s="44"/>
      <c r="AZ24" s="45">
        <f t="shared" si="4"/>
        <v>13416</v>
      </c>
      <c r="BA24" s="46">
        <f t="shared" si="1"/>
        <v>0</v>
      </c>
      <c r="BB24" s="47">
        <f t="shared" si="5"/>
        <v>0</v>
      </c>
      <c r="BC24" s="48">
        <f t="shared" si="6"/>
        <v>13416</v>
      </c>
      <c r="BE24" s="33" t="b">
        <f t="shared" si="2"/>
        <v>1</v>
      </c>
      <c r="BF24" s="49"/>
    </row>
    <row r="25" spans="2:58" outlineLevel="1" x14ac:dyDescent="0.3">
      <c r="B25" s="50" t="s">
        <v>751</v>
      </c>
      <c r="C25" s="51"/>
      <c r="D25" s="52" t="s">
        <v>783</v>
      </c>
      <c r="E25" s="53"/>
      <c r="F25" s="54"/>
      <c r="G25" s="54"/>
      <c r="H25" s="54"/>
      <c r="I25" s="54"/>
      <c r="J25" s="55"/>
      <c r="K25" s="55"/>
      <c r="L25" s="55" t="s">
        <v>151</v>
      </c>
      <c r="M25" s="55"/>
      <c r="N25" s="56">
        <f t="shared" si="7"/>
        <v>4.0570000000000004</v>
      </c>
      <c r="O25" s="56">
        <v>4.0570000000000004</v>
      </c>
      <c r="P25" s="56">
        <f>$P$4</f>
        <v>0</v>
      </c>
      <c r="Q25" s="56" t="s">
        <v>10</v>
      </c>
      <c r="R25" s="57">
        <v>275.70999999999998</v>
      </c>
      <c r="S25" s="57">
        <v>188.01</v>
      </c>
      <c r="T25" s="58">
        <f t="shared" si="3"/>
        <v>463.71999999999997</v>
      </c>
      <c r="U25" s="182">
        <f t="shared" si="0"/>
        <v>0.56712000000010221</v>
      </c>
      <c r="V25" s="59">
        <f>SUM(V24:$AW24)*$N25/100-80</f>
        <v>464.28712000000007</v>
      </c>
      <c r="W25" s="59">
        <f>SUM(W24:$AW24)*$N25/100</f>
        <v>181.42904000000001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  <c r="AD25" s="59">
        <v>0</v>
      </c>
      <c r="AE25" s="59">
        <v>0</v>
      </c>
      <c r="AF25" s="59">
        <v>0</v>
      </c>
      <c r="AG25" s="59">
        <v>0</v>
      </c>
      <c r="AH25" s="59">
        <v>0</v>
      </c>
      <c r="AI25" s="59">
        <v>0</v>
      </c>
      <c r="AJ25" s="59">
        <v>0</v>
      </c>
      <c r="AK25" s="59">
        <v>0</v>
      </c>
      <c r="AL25" s="59">
        <v>0</v>
      </c>
      <c r="AM25" s="59">
        <v>0</v>
      </c>
      <c r="AN25" s="59">
        <v>0</v>
      </c>
      <c r="AO25" s="59">
        <v>0</v>
      </c>
      <c r="AP25" s="59">
        <v>0</v>
      </c>
      <c r="AQ25" s="59">
        <v>0</v>
      </c>
      <c r="AR25" s="59">
        <v>0</v>
      </c>
      <c r="AS25" s="59">
        <v>0</v>
      </c>
      <c r="AT25" s="59">
        <v>0</v>
      </c>
      <c r="AU25" s="59">
        <v>0</v>
      </c>
      <c r="AV25" s="59">
        <v>0</v>
      </c>
      <c r="AW25" s="59">
        <v>0</v>
      </c>
      <c r="AX25" s="59"/>
      <c r="AY25" s="59"/>
      <c r="AZ25" s="60">
        <f t="shared" si="4"/>
        <v>645.71616000000006</v>
      </c>
      <c r="BA25" s="46">
        <f t="shared" si="1"/>
        <v>0</v>
      </c>
      <c r="BB25" s="61">
        <f t="shared" si="5"/>
        <v>0</v>
      </c>
      <c r="BC25" s="62">
        <f t="shared" si="6"/>
        <v>645.71616000000006</v>
      </c>
      <c r="BE25" s="33" t="b">
        <f t="shared" si="2"/>
        <v>1</v>
      </c>
    </row>
    <row r="26" spans="2:58" s="33" customFormat="1" outlineLevel="1" x14ac:dyDescent="0.3">
      <c r="B26" s="34" t="s">
        <v>751</v>
      </c>
      <c r="C26" s="35">
        <v>11</v>
      </c>
      <c r="D26" s="36" t="s">
        <v>786</v>
      </c>
      <c r="E26" s="37" t="s">
        <v>31</v>
      </c>
      <c r="F26" s="38" t="s">
        <v>32</v>
      </c>
      <c r="G26" s="38" t="s">
        <v>153</v>
      </c>
      <c r="H26" s="38" t="s">
        <v>152</v>
      </c>
      <c r="I26" s="38" t="s">
        <v>9</v>
      </c>
      <c r="J26" s="39">
        <v>49472</v>
      </c>
      <c r="K26" s="40">
        <v>14800</v>
      </c>
      <c r="L26" s="40"/>
      <c r="M26" s="40"/>
      <c r="N26" s="41"/>
      <c r="O26" s="41"/>
      <c r="P26" s="41"/>
      <c r="Q26" s="41" t="s">
        <v>8</v>
      </c>
      <c r="R26" s="42">
        <v>370</v>
      </c>
      <c r="S26" s="42">
        <v>1110</v>
      </c>
      <c r="T26" s="43">
        <f t="shared" si="3"/>
        <v>1480</v>
      </c>
      <c r="U26" s="181">
        <f t="shared" si="0"/>
        <v>0</v>
      </c>
      <c r="V26" s="44">
        <v>1480</v>
      </c>
      <c r="W26" s="44">
        <v>1480</v>
      </c>
      <c r="X26" s="44">
        <v>1480</v>
      </c>
      <c r="Y26" s="44">
        <v>1480</v>
      </c>
      <c r="Z26" s="44">
        <v>1480</v>
      </c>
      <c r="AA26" s="44">
        <v>1480</v>
      </c>
      <c r="AB26" s="44">
        <v>1480</v>
      </c>
      <c r="AC26" s="44">
        <v>1480</v>
      </c>
      <c r="AD26" s="44">
        <v>1480</v>
      </c>
      <c r="AE26" s="44">
        <v>740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/>
      <c r="AY26" s="44"/>
      <c r="AZ26" s="45">
        <f t="shared" si="4"/>
        <v>14060</v>
      </c>
      <c r="BA26" s="46">
        <f t="shared" si="1"/>
        <v>0</v>
      </c>
      <c r="BB26" s="47">
        <f t="shared" si="5"/>
        <v>3700</v>
      </c>
      <c r="BC26" s="48">
        <f t="shared" si="6"/>
        <v>14060</v>
      </c>
      <c r="BE26" s="33" t="b">
        <f t="shared" si="2"/>
        <v>1</v>
      </c>
      <c r="BF26" s="49"/>
    </row>
    <row r="27" spans="2:58" outlineLevel="1" x14ac:dyDescent="0.3">
      <c r="B27" s="50" t="s">
        <v>751</v>
      </c>
      <c r="C27" s="51"/>
      <c r="D27" s="52" t="s">
        <v>787</v>
      </c>
      <c r="E27" s="53"/>
      <c r="F27" s="54"/>
      <c r="G27" s="54"/>
      <c r="H27" s="54"/>
      <c r="I27" s="54"/>
      <c r="J27" s="55"/>
      <c r="K27" s="55"/>
      <c r="L27" s="55" t="s">
        <v>151</v>
      </c>
      <c r="M27" s="55"/>
      <c r="N27" s="56">
        <f t="shared" si="7"/>
        <v>4.0570000000000004</v>
      </c>
      <c r="O27" s="56">
        <v>4.0570000000000004</v>
      </c>
      <c r="P27" s="56">
        <f>$P$4</f>
        <v>0</v>
      </c>
      <c r="Q27" s="56" t="s">
        <v>10</v>
      </c>
      <c r="R27" s="57">
        <v>274.75</v>
      </c>
      <c r="S27" s="57">
        <v>258.45</v>
      </c>
      <c r="T27" s="58">
        <f t="shared" si="3"/>
        <v>533.20000000000005</v>
      </c>
      <c r="U27" s="182">
        <f t="shared" si="0"/>
        <v>0.21420000000000528</v>
      </c>
      <c r="V27" s="59">
        <f>SUM(V26:$AW26)*$N27/100-37</f>
        <v>533.41420000000005</v>
      </c>
      <c r="W27" s="59">
        <f>SUM(W26:$AW26)*$N27/100</f>
        <v>510.37060000000002</v>
      </c>
      <c r="X27" s="59">
        <f>SUM(X26:$AW26)*$N27/100</f>
        <v>450.32700000000006</v>
      </c>
      <c r="Y27" s="59">
        <f>SUM(Y26:$AW26)*$N27/100</f>
        <v>390.28340000000003</v>
      </c>
      <c r="Z27" s="59">
        <f>SUM(Z26:$AW26)*$N27/100</f>
        <v>330.23980000000006</v>
      </c>
      <c r="AA27" s="59">
        <f>SUM(AA26:$AW26)*$N27/100</f>
        <v>270.19620000000003</v>
      </c>
      <c r="AB27" s="59">
        <f>SUM(AB26:$AW26)*$N27/100</f>
        <v>210.15260000000001</v>
      </c>
      <c r="AC27" s="59">
        <f>SUM(AC26:$AW26)*$N27/100</f>
        <v>150.10900000000001</v>
      </c>
      <c r="AD27" s="59">
        <f>SUM(AD26:$AW26)*$N27/100</f>
        <v>90.065400000000011</v>
      </c>
      <c r="AE27" s="59">
        <f>SUM(AE26:$AW26)*$N27/100</f>
        <v>30.021800000000002</v>
      </c>
      <c r="AF27" s="59">
        <v>0</v>
      </c>
      <c r="AG27" s="59">
        <v>0</v>
      </c>
      <c r="AH27" s="59">
        <v>0</v>
      </c>
      <c r="AI27" s="59">
        <v>0</v>
      </c>
      <c r="AJ27" s="59">
        <v>0</v>
      </c>
      <c r="AK27" s="59">
        <v>0</v>
      </c>
      <c r="AL27" s="59">
        <v>0</v>
      </c>
      <c r="AM27" s="59">
        <v>0</v>
      </c>
      <c r="AN27" s="59">
        <v>0</v>
      </c>
      <c r="AO27" s="59">
        <v>0</v>
      </c>
      <c r="AP27" s="59">
        <v>0</v>
      </c>
      <c r="AQ27" s="59">
        <v>0</v>
      </c>
      <c r="AR27" s="59">
        <v>0</v>
      </c>
      <c r="AS27" s="59">
        <v>0</v>
      </c>
      <c r="AT27" s="59">
        <v>0</v>
      </c>
      <c r="AU27" s="59">
        <v>0</v>
      </c>
      <c r="AV27" s="59">
        <v>0</v>
      </c>
      <c r="AW27" s="59">
        <v>0</v>
      </c>
      <c r="AX27" s="59"/>
      <c r="AY27" s="59"/>
      <c r="AZ27" s="60">
        <f t="shared" si="4"/>
        <v>2965.18</v>
      </c>
      <c r="BA27" s="46">
        <f t="shared" si="1"/>
        <v>0</v>
      </c>
      <c r="BB27" s="61">
        <f t="shared" si="5"/>
        <v>270.19620000000003</v>
      </c>
      <c r="BC27" s="62">
        <f t="shared" si="6"/>
        <v>2965.18</v>
      </c>
      <c r="BE27" s="33" t="b">
        <f t="shared" si="2"/>
        <v>1</v>
      </c>
    </row>
    <row r="28" spans="2:58" s="33" customFormat="1" outlineLevel="1" x14ac:dyDescent="0.3">
      <c r="B28" s="34" t="s">
        <v>751</v>
      </c>
      <c r="C28" s="35">
        <v>12</v>
      </c>
      <c r="D28" s="36" t="s">
        <v>788</v>
      </c>
      <c r="E28" s="37" t="s">
        <v>33</v>
      </c>
      <c r="F28" s="38" t="s">
        <v>34</v>
      </c>
      <c r="G28" s="38" t="s">
        <v>153</v>
      </c>
      <c r="H28" s="38" t="s">
        <v>154</v>
      </c>
      <c r="I28" s="38" t="s">
        <v>9</v>
      </c>
      <c r="J28" s="39">
        <v>238897.15</v>
      </c>
      <c r="K28" s="40">
        <v>159000</v>
      </c>
      <c r="L28" s="40"/>
      <c r="M28" s="40"/>
      <c r="N28" s="41"/>
      <c r="O28" s="41"/>
      <c r="P28" s="41"/>
      <c r="Q28" s="41" t="s">
        <v>8</v>
      </c>
      <c r="R28" s="42">
        <v>2650</v>
      </c>
      <c r="S28" s="42">
        <v>7950</v>
      </c>
      <c r="T28" s="43">
        <f t="shared" si="3"/>
        <v>10600</v>
      </c>
      <c r="U28" s="181">
        <f t="shared" si="0"/>
        <v>0</v>
      </c>
      <c r="V28" s="44">
        <v>10600</v>
      </c>
      <c r="W28" s="44">
        <v>10600</v>
      </c>
      <c r="X28" s="44">
        <v>10600</v>
      </c>
      <c r="Y28" s="44">
        <v>10600</v>
      </c>
      <c r="Z28" s="44">
        <v>10600</v>
      </c>
      <c r="AA28" s="44">
        <v>10600</v>
      </c>
      <c r="AB28" s="44">
        <v>10600</v>
      </c>
      <c r="AC28" s="44">
        <v>10600</v>
      </c>
      <c r="AD28" s="44">
        <v>10600</v>
      </c>
      <c r="AE28" s="44">
        <v>10600</v>
      </c>
      <c r="AF28" s="44">
        <v>10600</v>
      </c>
      <c r="AG28" s="44">
        <v>10600</v>
      </c>
      <c r="AH28" s="44">
        <v>10600</v>
      </c>
      <c r="AI28" s="44">
        <v>10600</v>
      </c>
      <c r="AJ28" s="44">
        <v>5300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/>
      <c r="AY28" s="44"/>
      <c r="AZ28" s="45">
        <f t="shared" si="4"/>
        <v>153700</v>
      </c>
      <c r="BA28" s="46">
        <f t="shared" si="1"/>
        <v>0</v>
      </c>
      <c r="BB28" s="47">
        <f t="shared" si="5"/>
        <v>79500</v>
      </c>
      <c r="BC28" s="48">
        <f t="shared" si="6"/>
        <v>153700</v>
      </c>
      <c r="BE28" s="33" t="b">
        <f t="shared" si="2"/>
        <v>1</v>
      </c>
      <c r="BF28" s="49"/>
    </row>
    <row r="29" spans="2:58" outlineLevel="1" x14ac:dyDescent="0.3">
      <c r="B29" s="50" t="s">
        <v>751</v>
      </c>
      <c r="C29" s="51"/>
      <c r="D29" s="52" t="s">
        <v>789</v>
      </c>
      <c r="E29" s="53"/>
      <c r="F29" s="54"/>
      <c r="G29" s="54"/>
      <c r="H29" s="54"/>
      <c r="I29" s="54"/>
      <c r="J29" s="55"/>
      <c r="K29" s="55"/>
      <c r="L29" s="55" t="s">
        <v>151</v>
      </c>
      <c r="M29" s="55"/>
      <c r="N29" s="56">
        <f t="shared" si="7"/>
        <v>4.0570000000000004</v>
      </c>
      <c r="O29" s="56">
        <v>4.0570000000000004</v>
      </c>
      <c r="P29" s="56">
        <f>$P$4</f>
        <v>0</v>
      </c>
      <c r="Q29" s="56" t="s">
        <v>10</v>
      </c>
      <c r="R29" s="57">
        <v>2993.5</v>
      </c>
      <c r="S29" s="57">
        <v>2868.6499999999996</v>
      </c>
      <c r="T29" s="58">
        <f t="shared" si="3"/>
        <v>5862.15</v>
      </c>
      <c r="U29" s="182">
        <f t="shared" si="0"/>
        <v>0.45900000000074215</v>
      </c>
      <c r="V29" s="59">
        <f>SUM(V28:$AW28)*$N29/100-373</f>
        <v>5862.6090000000004</v>
      </c>
      <c r="W29" s="59">
        <f>SUM(W28:$AW28)*$N29/100</f>
        <v>5805.5670000000009</v>
      </c>
      <c r="X29" s="59">
        <f>SUM(X28:$AW28)*$N29/100</f>
        <v>5375.5249999999996</v>
      </c>
      <c r="Y29" s="59">
        <f>SUM(Y28:$AW28)*$N29/100</f>
        <v>4945.4830000000002</v>
      </c>
      <c r="Z29" s="59">
        <f>SUM(Z28:$AW28)*$N29/100</f>
        <v>4515.4410000000007</v>
      </c>
      <c r="AA29" s="59">
        <f>SUM(AA28:$AW28)*$N29/100</f>
        <v>4085.3990000000003</v>
      </c>
      <c r="AB29" s="59">
        <f>SUM(AB28:$AW28)*$N29/100</f>
        <v>3655.357</v>
      </c>
      <c r="AC29" s="59">
        <f>SUM(AC28:$AW28)*$N29/100</f>
        <v>3225.3150000000005</v>
      </c>
      <c r="AD29" s="59">
        <f>SUM(AD28:$AW28)*$N29/100</f>
        <v>2795.2730000000006</v>
      </c>
      <c r="AE29" s="59">
        <f>SUM(AE28:$AW28)*$N29/100</f>
        <v>2365.2310000000002</v>
      </c>
      <c r="AF29" s="59">
        <f>SUM(AF28:$AW28)*$N29/100</f>
        <v>1935.1890000000003</v>
      </c>
      <c r="AG29" s="59">
        <f>SUM(AG28:$AW28)*$N29/100</f>
        <v>1505.1470000000002</v>
      </c>
      <c r="AH29" s="59">
        <f>SUM(AH28:$AW28)*$N29/100</f>
        <v>1075.1050000000002</v>
      </c>
      <c r="AI29" s="59">
        <f>SUM(AI28:$AW28)*$N29/100</f>
        <v>645.06299999999999</v>
      </c>
      <c r="AJ29" s="59">
        <f>SUM(AJ28:$AW28)*$N29/100</f>
        <v>215.02100000000002</v>
      </c>
      <c r="AK29" s="59">
        <v>0</v>
      </c>
      <c r="AL29" s="59">
        <v>0</v>
      </c>
      <c r="AM29" s="59">
        <v>0</v>
      </c>
      <c r="AN29" s="59">
        <v>0</v>
      </c>
      <c r="AO29" s="59">
        <v>0</v>
      </c>
      <c r="AP29" s="59">
        <v>0</v>
      </c>
      <c r="AQ29" s="59">
        <v>0</v>
      </c>
      <c r="AR29" s="59">
        <v>0</v>
      </c>
      <c r="AS29" s="59">
        <v>0</v>
      </c>
      <c r="AT29" s="59">
        <v>0</v>
      </c>
      <c r="AU29" s="59">
        <v>0</v>
      </c>
      <c r="AV29" s="59">
        <v>0</v>
      </c>
      <c r="AW29" s="59">
        <v>0</v>
      </c>
      <c r="AX29" s="59"/>
      <c r="AY29" s="59"/>
      <c r="AZ29" s="60">
        <f t="shared" si="4"/>
        <v>48006.725000000006</v>
      </c>
      <c r="BA29" s="46">
        <f t="shared" si="1"/>
        <v>0</v>
      </c>
      <c r="BB29" s="61">
        <f t="shared" si="5"/>
        <v>13761.344000000003</v>
      </c>
      <c r="BC29" s="62">
        <f t="shared" si="6"/>
        <v>48006.725000000006</v>
      </c>
      <c r="BE29" s="33" t="b">
        <f t="shared" si="2"/>
        <v>1</v>
      </c>
    </row>
    <row r="30" spans="2:58" s="33" customFormat="1" outlineLevel="1" x14ac:dyDescent="0.3">
      <c r="B30" s="34" t="s">
        <v>751</v>
      </c>
      <c r="C30" s="35">
        <v>13</v>
      </c>
      <c r="D30" s="36" t="s">
        <v>813</v>
      </c>
      <c r="E30" s="37" t="s">
        <v>35</v>
      </c>
      <c r="F30" s="38" t="s">
        <v>36</v>
      </c>
      <c r="G30" s="38" t="s">
        <v>158</v>
      </c>
      <c r="H30" s="38" t="s">
        <v>157</v>
      </c>
      <c r="I30" s="38" t="s">
        <v>9</v>
      </c>
      <c r="J30" s="39">
        <v>34291</v>
      </c>
      <c r="K30" s="40">
        <v>17740</v>
      </c>
      <c r="L30" s="40"/>
      <c r="M30" s="40"/>
      <c r="N30" s="41"/>
      <c r="O30" s="41"/>
      <c r="P30" s="41"/>
      <c r="Q30" s="41" t="s">
        <v>8</v>
      </c>
      <c r="R30" s="42">
        <v>887</v>
      </c>
      <c r="S30" s="42">
        <v>2661</v>
      </c>
      <c r="T30" s="43">
        <f t="shared" si="3"/>
        <v>3548</v>
      </c>
      <c r="U30" s="181">
        <f t="shared" si="0"/>
        <v>0</v>
      </c>
      <c r="V30" s="44">
        <v>3548</v>
      </c>
      <c r="W30" s="44">
        <v>3548</v>
      </c>
      <c r="X30" s="44">
        <v>3548</v>
      </c>
      <c r="Y30" s="44">
        <v>3548</v>
      </c>
      <c r="Z30" s="44">
        <v>1774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/>
      <c r="AY30" s="44"/>
      <c r="AZ30" s="45">
        <f t="shared" si="4"/>
        <v>15966</v>
      </c>
      <c r="BA30" s="46">
        <f t="shared" si="1"/>
        <v>0</v>
      </c>
      <c r="BB30" s="47">
        <f t="shared" si="5"/>
        <v>0</v>
      </c>
      <c r="BC30" s="48">
        <f t="shared" si="6"/>
        <v>15966</v>
      </c>
      <c r="BE30" s="33" t="b">
        <f t="shared" si="2"/>
        <v>1</v>
      </c>
      <c r="BF30" s="49"/>
    </row>
    <row r="31" spans="2:58" outlineLevel="1" x14ac:dyDescent="0.3">
      <c r="B31" s="50" t="s">
        <v>751</v>
      </c>
      <c r="C31" s="51"/>
      <c r="D31" s="52" t="s">
        <v>814</v>
      </c>
      <c r="E31" s="53"/>
      <c r="F31" s="54"/>
      <c r="G31" s="54"/>
      <c r="H31" s="54"/>
      <c r="I31" s="54"/>
      <c r="J31" s="55"/>
      <c r="K31" s="55"/>
      <c r="L31" s="55" t="s">
        <v>156</v>
      </c>
      <c r="M31" s="55"/>
      <c r="N31" s="56">
        <f t="shared" si="7"/>
        <v>4.415</v>
      </c>
      <c r="O31" s="56">
        <v>4.415</v>
      </c>
      <c r="P31" s="56">
        <f>$P$4</f>
        <v>0</v>
      </c>
      <c r="Q31" s="56" t="s">
        <v>10</v>
      </c>
      <c r="R31" s="57">
        <v>345.01</v>
      </c>
      <c r="S31" s="57">
        <v>294.35000000000002</v>
      </c>
      <c r="T31" s="58">
        <f t="shared" si="3"/>
        <v>639.36</v>
      </c>
      <c r="U31" s="182">
        <f t="shared" si="0"/>
        <v>0.53890000000001237</v>
      </c>
      <c r="V31" s="59">
        <f>SUM(V30:$AW30)*$N31/100-65</f>
        <v>639.89890000000003</v>
      </c>
      <c r="W31" s="59">
        <f>SUM(W30:$AW30)*$N31/100</f>
        <v>548.25469999999996</v>
      </c>
      <c r="X31" s="59">
        <f>SUM(X30:$AW30)*$N31/100</f>
        <v>391.6105</v>
      </c>
      <c r="Y31" s="59">
        <f>SUM(Y30:$AW30)*$N31/100</f>
        <v>234.96630000000002</v>
      </c>
      <c r="Z31" s="59">
        <f>SUM(Z30:$AW30)*$N31/100</f>
        <v>78.322100000000006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  <c r="AG31" s="59">
        <v>0</v>
      </c>
      <c r="AH31" s="59">
        <v>0</v>
      </c>
      <c r="AI31" s="59">
        <v>0</v>
      </c>
      <c r="AJ31" s="59">
        <v>0</v>
      </c>
      <c r="AK31" s="59">
        <v>0</v>
      </c>
      <c r="AL31" s="59">
        <v>0</v>
      </c>
      <c r="AM31" s="59">
        <v>0</v>
      </c>
      <c r="AN31" s="59">
        <v>0</v>
      </c>
      <c r="AO31" s="59">
        <v>0</v>
      </c>
      <c r="AP31" s="59">
        <v>0</v>
      </c>
      <c r="AQ31" s="59">
        <v>0</v>
      </c>
      <c r="AR31" s="59">
        <v>0</v>
      </c>
      <c r="AS31" s="59">
        <v>0</v>
      </c>
      <c r="AT31" s="59">
        <v>0</v>
      </c>
      <c r="AU31" s="59">
        <v>0</v>
      </c>
      <c r="AV31" s="59">
        <v>0</v>
      </c>
      <c r="AW31" s="59">
        <v>0</v>
      </c>
      <c r="AX31" s="59"/>
      <c r="AY31" s="59"/>
      <c r="AZ31" s="60">
        <f t="shared" si="4"/>
        <v>1893.0525000000002</v>
      </c>
      <c r="BA31" s="46">
        <f t="shared" si="1"/>
        <v>0</v>
      </c>
      <c r="BB31" s="61">
        <f t="shared" si="5"/>
        <v>0</v>
      </c>
      <c r="BC31" s="62">
        <f t="shared" si="6"/>
        <v>1893.0525000000002</v>
      </c>
      <c r="BE31" s="33" t="b">
        <f t="shared" si="2"/>
        <v>1</v>
      </c>
    </row>
    <row r="32" spans="2:58" s="33" customFormat="1" outlineLevel="1" x14ac:dyDescent="0.3">
      <c r="B32" s="34" t="s">
        <v>751</v>
      </c>
      <c r="C32" s="35">
        <v>14</v>
      </c>
      <c r="D32" s="36" t="s">
        <v>815</v>
      </c>
      <c r="E32" s="37" t="s">
        <v>37</v>
      </c>
      <c r="F32" s="38" t="s">
        <v>38</v>
      </c>
      <c r="G32" s="38" t="s">
        <v>161</v>
      </c>
      <c r="H32" s="38" t="s">
        <v>160</v>
      </c>
      <c r="I32" s="38" t="s">
        <v>9</v>
      </c>
      <c r="J32" s="39">
        <v>2609698.31</v>
      </c>
      <c r="K32" s="40">
        <v>2374239.31</v>
      </c>
      <c r="L32" s="40"/>
      <c r="M32" s="40"/>
      <c r="N32" s="41"/>
      <c r="O32" s="41"/>
      <c r="P32" s="41"/>
      <c r="Q32" s="41" t="s">
        <v>8</v>
      </c>
      <c r="R32" s="42">
        <v>23550</v>
      </c>
      <c r="S32" s="42">
        <v>70650</v>
      </c>
      <c r="T32" s="43">
        <f t="shared" si="3"/>
        <v>94200</v>
      </c>
      <c r="U32" s="181">
        <f t="shared" si="0"/>
        <v>0</v>
      </c>
      <c r="V32" s="44">
        <v>94200</v>
      </c>
      <c r="W32" s="44">
        <v>94200</v>
      </c>
      <c r="X32" s="44">
        <v>94200</v>
      </c>
      <c r="Y32" s="44">
        <v>94200</v>
      </c>
      <c r="Z32" s="44">
        <v>94200</v>
      </c>
      <c r="AA32" s="44">
        <v>94200</v>
      </c>
      <c r="AB32" s="44">
        <v>94200</v>
      </c>
      <c r="AC32" s="44">
        <v>94200</v>
      </c>
      <c r="AD32" s="44">
        <v>94200</v>
      </c>
      <c r="AE32" s="44">
        <v>94200</v>
      </c>
      <c r="AF32" s="44">
        <v>94200</v>
      </c>
      <c r="AG32" s="44">
        <v>94200</v>
      </c>
      <c r="AH32" s="44">
        <v>94200</v>
      </c>
      <c r="AI32" s="44">
        <v>94200</v>
      </c>
      <c r="AJ32" s="44">
        <v>94200</v>
      </c>
      <c r="AK32" s="44">
        <v>94200</v>
      </c>
      <c r="AL32" s="44">
        <v>94200</v>
      </c>
      <c r="AM32" s="44">
        <v>94200</v>
      </c>
      <c r="AN32" s="44">
        <v>94200</v>
      </c>
      <c r="AO32" s="44">
        <v>94200</v>
      </c>
      <c r="AP32" s="44">
        <v>94200</v>
      </c>
      <c r="AQ32" s="44">
        <v>94200</v>
      </c>
      <c r="AR32" s="44">
        <v>94200</v>
      </c>
      <c r="AS32" s="44">
        <v>94200</v>
      </c>
      <c r="AT32" s="44">
        <v>66339.31</v>
      </c>
      <c r="AU32" s="44">
        <v>0</v>
      </c>
      <c r="AV32" s="44">
        <v>0</v>
      </c>
      <c r="AW32" s="44">
        <v>0</v>
      </c>
      <c r="AX32" s="44"/>
      <c r="AY32" s="44"/>
      <c r="AZ32" s="45">
        <f t="shared" si="4"/>
        <v>2327139.31</v>
      </c>
      <c r="BA32" s="46">
        <f t="shared" si="1"/>
        <v>0</v>
      </c>
      <c r="BB32" s="47">
        <f t="shared" si="5"/>
        <v>1667739.31</v>
      </c>
      <c r="BC32" s="48">
        <f t="shared" si="6"/>
        <v>2327139.31</v>
      </c>
      <c r="BE32" s="33" t="b">
        <f t="shared" si="2"/>
        <v>1</v>
      </c>
      <c r="BF32" s="49"/>
    </row>
    <row r="33" spans="2:58" outlineLevel="1" x14ac:dyDescent="0.3">
      <c r="B33" s="50" t="s">
        <v>751</v>
      </c>
      <c r="C33" s="51"/>
      <c r="D33" s="52" t="s">
        <v>816</v>
      </c>
      <c r="E33" s="53"/>
      <c r="F33" s="54"/>
      <c r="G33" s="54"/>
      <c r="H33" s="54"/>
      <c r="I33" s="54"/>
      <c r="J33" s="55"/>
      <c r="K33" s="55"/>
      <c r="L33" s="55" t="s">
        <v>159</v>
      </c>
      <c r="M33" s="55"/>
      <c r="N33" s="56">
        <f t="shared" si="7"/>
        <v>4.3639999999999999</v>
      </c>
      <c r="O33" s="56">
        <v>4.3639999999999999</v>
      </c>
      <c r="P33" s="56">
        <f>$P$4</f>
        <v>0</v>
      </c>
      <c r="Q33" s="56" t="s">
        <v>10</v>
      </c>
      <c r="R33" s="57">
        <v>48850.07</v>
      </c>
      <c r="S33" s="57">
        <v>46475.69</v>
      </c>
      <c r="T33" s="58">
        <f t="shared" si="3"/>
        <v>95325.760000000009</v>
      </c>
      <c r="U33" s="190">
        <f t="shared" si="0"/>
        <v>7000.5994883999811</v>
      </c>
      <c r="V33" s="59">
        <f>SUM(V32:$AW32)*$N33/100-6230+7000</f>
        <v>102326.35948839999</v>
      </c>
      <c r="W33" s="59">
        <f>SUM(W32:$AW32)*$N33/100</f>
        <v>97445.471488400013</v>
      </c>
      <c r="X33" s="59">
        <f>SUM(X32:$AW32)*$N33/100</f>
        <v>93334.583488400007</v>
      </c>
      <c r="Y33" s="59">
        <f>SUM(Y32:$AW32)*$N33/100</f>
        <v>89223.695488400001</v>
      </c>
      <c r="Z33" s="59">
        <f>SUM(Z32:$AW32)*$N33/100</f>
        <v>85112.807488400009</v>
      </c>
      <c r="AA33" s="59">
        <f>SUM(AA32:$AW32)*$N33/100</f>
        <v>81001.919488400003</v>
      </c>
      <c r="AB33" s="59">
        <f>SUM(AB32:$AW32)*$N33/100</f>
        <v>76891.031488399996</v>
      </c>
      <c r="AC33" s="59">
        <f>SUM(AC32:$AW32)*$N33/100</f>
        <v>72780.143488400005</v>
      </c>
      <c r="AD33" s="59">
        <f>SUM(AD32:$AW32)*$N33/100</f>
        <v>68669.255488399998</v>
      </c>
      <c r="AE33" s="59">
        <f>SUM(AE32:$AW32)*$N33/100</f>
        <v>64558.367488400007</v>
      </c>
      <c r="AF33" s="59">
        <f>SUM(AF32:$AW32)*$N33/100</f>
        <v>60447.4794884</v>
      </c>
      <c r="AG33" s="59">
        <f>SUM(AG32:$AW32)*$N33/100</f>
        <v>56336.591488400001</v>
      </c>
      <c r="AH33" s="59">
        <f>SUM(AH32:$AW32)*$N33/100</f>
        <v>52225.703488400002</v>
      </c>
      <c r="AI33" s="59">
        <f>SUM(AI32:$AW32)*$N33/100</f>
        <v>48114.815488400003</v>
      </c>
      <c r="AJ33" s="59">
        <f>SUM(AJ32:$AW32)*$N33/100</f>
        <v>44003.927488400004</v>
      </c>
      <c r="AK33" s="59">
        <f>SUM(AK32:$AW32)*$N33/100</f>
        <v>39893.039488400005</v>
      </c>
      <c r="AL33" s="59">
        <f>SUM(AL32:$AW32)*$N33/100</f>
        <v>35782.151488399999</v>
      </c>
      <c r="AM33" s="59">
        <f>SUM(AM32:$AW32)*$N33/100</f>
        <v>31671.2634884</v>
      </c>
      <c r="AN33" s="59">
        <f>SUM(AN32:$AW32)*$N33/100</f>
        <v>27560.375488400005</v>
      </c>
      <c r="AO33" s="59">
        <f>SUM(AO32:$AW32)*$N33/100</f>
        <v>23449.487488400002</v>
      </c>
      <c r="AP33" s="59">
        <f>SUM(AP32:$AW32)*$N33/100</f>
        <v>19338.599488399999</v>
      </c>
      <c r="AQ33" s="59">
        <f>SUM(AQ32:$AW32)*$N33/100</f>
        <v>15227.711488399998</v>
      </c>
      <c r="AR33" s="59">
        <f>SUM(AR32:$AW32)*$N33/100</f>
        <v>11116.823488399999</v>
      </c>
      <c r="AS33" s="59">
        <f>SUM(AS32:$AW32)*$N33/100</f>
        <v>7005.9354883999995</v>
      </c>
      <c r="AT33" s="59">
        <f>SUM(AT32:$AW32)*$N33/100</f>
        <v>2895.0474883999996</v>
      </c>
      <c r="AU33" s="59">
        <v>0</v>
      </c>
      <c r="AV33" s="59">
        <v>0</v>
      </c>
      <c r="AW33" s="59">
        <v>0</v>
      </c>
      <c r="AX33" s="59"/>
      <c r="AY33" s="59"/>
      <c r="AZ33" s="60">
        <f t="shared" si="4"/>
        <v>1306412.5872100003</v>
      </c>
      <c r="BA33" s="46">
        <f t="shared" si="1"/>
        <v>0</v>
      </c>
      <c r="BB33" s="61">
        <f t="shared" si="5"/>
        <v>681076.71879120008</v>
      </c>
      <c r="BC33" s="62">
        <f t="shared" si="6"/>
        <v>1306412.58721</v>
      </c>
      <c r="BE33" s="33" t="b">
        <f t="shared" si="2"/>
        <v>1</v>
      </c>
    </row>
    <row r="34" spans="2:58" s="33" customFormat="1" outlineLevel="1" x14ac:dyDescent="0.3">
      <c r="B34" s="34" t="s">
        <v>751</v>
      </c>
      <c r="C34" s="35">
        <v>15</v>
      </c>
      <c r="D34" s="36" t="s">
        <v>790</v>
      </c>
      <c r="E34" s="37" t="s">
        <v>39</v>
      </c>
      <c r="F34" s="38" t="s">
        <v>40</v>
      </c>
      <c r="G34" s="38" t="s">
        <v>161</v>
      </c>
      <c r="H34" s="38" t="s">
        <v>160</v>
      </c>
      <c r="I34" s="38" t="s">
        <v>9</v>
      </c>
      <c r="J34" s="39">
        <v>3496295</v>
      </c>
      <c r="K34" s="40">
        <v>3181399</v>
      </c>
      <c r="L34" s="40"/>
      <c r="M34" s="40"/>
      <c r="N34" s="41"/>
      <c r="O34" s="41"/>
      <c r="P34" s="41"/>
      <c r="Q34" s="41" t="s">
        <v>8</v>
      </c>
      <c r="R34" s="42">
        <v>31499</v>
      </c>
      <c r="S34" s="42">
        <v>94497</v>
      </c>
      <c r="T34" s="43">
        <f t="shared" si="3"/>
        <v>125996</v>
      </c>
      <c r="U34" s="181">
        <f t="shared" si="0"/>
        <v>0</v>
      </c>
      <c r="V34" s="44">
        <v>125996</v>
      </c>
      <c r="W34" s="44">
        <v>125996</v>
      </c>
      <c r="X34" s="44">
        <v>125996</v>
      </c>
      <c r="Y34" s="44">
        <v>125996</v>
      </c>
      <c r="Z34" s="44">
        <v>125996</v>
      </c>
      <c r="AA34" s="44">
        <v>125996</v>
      </c>
      <c r="AB34" s="44">
        <v>125996</v>
      </c>
      <c r="AC34" s="44">
        <v>125996</v>
      </c>
      <c r="AD34" s="44">
        <v>125996</v>
      </c>
      <c r="AE34" s="44">
        <v>125996</v>
      </c>
      <c r="AF34" s="44">
        <v>125996</v>
      </c>
      <c r="AG34" s="44">
        <v>125996</v>
      </c>
      <c r="AH34" s="44">
        <v>125996</v>
      </c>
      <c r="AI34" s="44">
        <v>125996</v>
      </c>
      <c r="AJ34" s="44">
        <v>125996</v>
      </c>
      <c r="AK34" s="44">
        <v>125996</v>
      </c>
      <c r="AL34" s="44">
        <v>125996</v>
      </c>
      <c r="AM34" s="44">
        <v>125996</v>
      </c>
      <c r="AN34" s="44">
        <v>125996</v>
      </c>
      <c r="AO34" s="44">
        <v>125996</v>
      </c>
      <c r="AP34" s="44">
        <v>125996</v>
      </c>
      <c r="AQ34" s="44">
        <v>125996</v>
      </c>
      <c r="AR34" s="44">
        <v>125996</v>
      </c>
      <c r="AS34" s="44">
        <v>125996</v>
      </c>
      <c r="AT34" s="44">
        <v>94497</v>
      </c>
      <c r="AU34" s="44">
        <v>0</v>
      </c>
      <c r="AV34" s="44">
        <v>0</v>
      </c>
      <c r="AW34" s="44">
        <v>0</v>
      </c>
      <c r="AX34" s="44"/>
      <c r="AY34" s="44"/>
      <c r="AZ34" s="45">
        <f t="shared" si="4"/>
        <v>3118401</v>
      </c>
      <c r="BA34" s="46">
        <f t="shared" si="1"/>
        <v>0</v>
      </c>
      <c r="BB34" s="47">
        <f t="shared" si="5"/>
        <v>2236429</v>
      </c>
      <c r="BC34" s="48">
        <f t="shared" si="6"/>
        <v>3118401</v>
      </c>
      <c r="BE34" s="33" t="b">
        <f t="shared" si="2"/>
        <v>1</v>
      </c>
      <c r="BF34" s="49"/>
    </row>
    <row r="35" spans="2:58" outlineLevel="1" x14ac:dyDescent="0.3">
      <c r="B35" s="50" t="s">
        <v>751</v>
      </c>
      <c r="C35" s="51"/>
      <c r="D35" s="52" t="s">
        <v>791</v>
      </c>
      <c r="E35" s="53"/>
      <c r="F35" s="54"/>
      <c r="G35" s="54"/>
      <c r="H35" s="54"/>
      <c r="I35" s="54"/>
      <c r="J35" s="55"/>
      <c r="K35" s="55"/>
      <c r="L35" s="55" t="s">
        <v>159</v>
      </c>
      <c r="M35" s="55"/>
      <c r="N35" s="56">
        <f t="shared" si="7"/>
        <v>4.3639999999999999</v>
      </c>
      <c r="O35" s="56">
        <v>4.3639999999999999</v>
      </c>
      <c r="P35" s="56">
        <f>$P$4</f>
        <v>0</v>
      </c>
      <c r="Q35" s="56" t="s">
        <v>10</v>
      </c>
      <c r="R35" s="57">
        <v>65459.38</v>
      </c>
      <c r="S35" s="57">
        <v>62280</v>
      </c>
      <c r="T35" s="58">
        <f t="shared" si="3"/>
        <v>127739.38</v>
      </c>
      <c r="U35" s="190">
        <f t="shared" si="0"/>
        <v>9000.6396399999794</v>
      </c>
      <c r="V35" s="59">
        <f>SUM(V34:$AW34)*$N35/100-8347+9000</f>
        <v>136740.01963999998</v>
      </c>
      <c r="W35" s="59">
        <f>SUM(W34:$AW34)*$N35/100</f>
        <v>130588.5542</v>
      </c>
      <c r="X35" s="59">
        <f>SUM(X34:$AW34)*$N35/100</f>
        <v>125090.08876</v>
      </c>
      <c r="Y35" s="59">
        <f>SUM(Y34:$AW34)*$N35/100</f>
        <v>119591.62332</v>
      </c>
      <c r="Z35" s="59">
        <f>SUM(Z34:$AW34)*$N35/100</f>
        <v>114093.15787999998</v>
      </c>
      <c r="AA35" s="59">
        <f>SUM(AA34:$AW34)*$N35/100</f>
        <v>108594.69243999998</v>
      </c>
      <c r="AB35" s="59">
        <f>SUM(AB34:$AW34)*$N35/100</f>
        <v>103096.227</v>
      </c>
      <c r="AC35" s="59">
        <f>SUM(AC34:$AW34)*$N35/100</f>
        <v>97597.761559999999</v>
      </c>
      <c r="AD35" s="59">
        <f>SUM(AD34:$AW34)*$N35/100</f>
        <v>92099.296119999999</v>
      </c>
      <c r="AE35" s="59">
        <f>SUM(AE34:$AW34)*$N35/100</f>
        <v>86600.830679999999</v>
      </c>
      <c r="AF35" s="59">
        <f>SUM(AF34:$AW34)*$N35/100</f>
        <v>81102.365239999999</v>
      </c>
      <c r="AG35" s="59">
        <f>SUM(AG34:$AW34)*$N35/100</f>
        <v>75603.899799999999</v>
      </c>
      <c r="AH35" s="59">
        <f>SUM(AH34:$AW34)*$N35/100</f>
        <v>70105.434359999999</v>
      </c>
      <c r="AI35" s="59">
        <f>SUM(AI34:$AW34)*$N35/100</f>
        <v>64606.968919999999</v>
      </c>
      <c r="AJ35" s="59">
        <f>SUM(AJ34:$AW34)*$N35/100</f>
        <v>59108.503479999999</v>
      </c>
      <c r="AK35" s="59">
        <f>SUM(AK34:$AW34)*$N35/100</f>
        <v>53610.038039999992</v>
      </c>
      <c r="AL35" s="59">
        <f>SUM(AL34:$AW34)*$N35/100</f>
        <v>48111.5726</v>
      </c>
      <c r="AM35" s="59">
        <f>SUM(AM34:$AW34)*$N35/100</f>
        <v>42613.10716</v>
      </c>
      <c r="AN35" s="59">
        <f>SUM(AN34:$AW34)*$N35/100</f>
        <v>37114.64172</v>
      </c>
      <c r="AO35" s="59">
        <f>SUM(AO34:$AW34)*$N35/100</f>
        <v>31616.17628</v>
      </c>
      <c r="AP35" s="59">
        <f>SUM(AP34:$AW34)*$N35/100</f>
        <v>26117.71084</v>
      </c>
      <c r="AQ35" s="59">
        <f>SUM(AQ34:$AW34)*$N35/100</f>
        <v>20619.2454</v>
      </c>
      <c r="AR35" s="59">
        <f>SUM(AR34:$AW34)*$N35/100</f>
        <v>15120.77996</v>
      </c>
      <c r="AS35" s="59">
        <f>SUM(AS34:$AW34)*$N35/100</f>
        <v>9622.3145199999999</v>
      </c>
      <c r="AT35" s="59">
        <f>SUM(AT34:$AW34)*$N35/100</f>
        <v>4123.84908</v>
      </c>
      <c r="AU35" s="59">
        <v>0</v>
      </c>
      <c r="AV35" s="59">
        <v>0</v>
      </c>
      <c r="AW35" s="59">
        <v>0</v>
      </c>
      <c r="AX35" s="59"/>
      <c r="AY35" s="59"/>
      <c r="AZ35" s="60">
        <f t="shared" si="4"/>
        <v>1753288.8589999997</v>
      </c>
      <c r="BA35" s="46">
        <f t="shared" si="1"/>
        <v>0</v>
      </c>
      <c r="BB35" s="61">
        <f t="shared" si="5"/>
        <v>915494.49575999985</v>
      </c>
      <c r="BC35" s="62">
        <f t="shared" si="6"/>
        <v>1753288.8589999997</v>
      </c>
      <c r="BE35" s="33" t="b">
        <f t="shared" si="2"/>
        <v>1</v>
      </c>
    </row>
    <row r="36" spans="2:58" s="33" customFormat="1" outlineLevel="1" x14ac:dyDescent="0.3">
      <c r="B36" s="34" t="s">
        <v>751</v>
      </c>
      <c r="C36" s="35">
        <v>16</v>
      </c>
      <c r="D36" s="36" t="s">
        <v>784</v>
      </c>
      <c r="E36" s="37" t="s">
        <v>41</v>
      </c>
      <c r="F36" s="38" t="s">
        <v>42</v>
      </c>
      <c r="G36" s="38" t="s">
        <v>163</v>
      </c>
      <c r="H36" s="38" t="s">
        <v>162</v>
      </c>
      <c r="I36" s="38" t="s">
        <v>9</v>
      </c>
      <c r="J36" s="39">
        <v>190122</v>
      </c>
      <c r="K36" s="40">
        <v>148712</v>
      </c>
      <c r="L36" s="40"/>
      <c r="M36" s="40"/>
      <c r="N36" s="41"/>
      <c r="O36" s="41">
        <v>1.482</v>
      </c>
      <c r="P36" s="41"/>
      <c r="Q36" s="41" t="s">
        <v>8</v>
      </c>
      <c r="R36" s="42">
        <v>2438</v>
      </c>
      <c r="S36" s="42">
        <v>7314</v>
      </c>
      <c r="T36" s="43">
        <f t="shared" si="3"/>
        <v>9752</v>
      </c>
      <c r="U36" s="181">
        <f t="shared" si="0"/>
        <v>0</v>
      </c>
      <c r="V36" s="44">
        <v>9752</v>
      </c>
      <c r="W36" s="44">
        <v>9752</v>
      </c>
      <c r="X36" s="44">
        <v>9752</v>
      </c>
      <c r="Y36" s="44">
        <v>9752</v>
      </c>
      <c r="Z36" s="44">
        <v>9752</v>
      </c>
      <c r="AA36" s="44">
        <v>9752</v>
      </c>
      <c r="AB36" s="44">
        <v>9752</v>
      </c>
      <c r="AC36" s="44">
        <v>9752</v>
      </c>
      <c r="AD36" s="44">
        <v>9752</v>
      </c>
      <c r="AE36" s="44">
        <v>9752</v>
      </c>
      <c r="AF36" s="44">
        <v>9752</v>
      </c>
      <c r="AG36" s="44">
        <v>9752</v>
      </c>
      <c r="AH36" s="44">
        <v>9752</v>
      </c>
      <c r="AI36" s="44">
        <v>9752</v>
      </c>
      <c r="AJ36" s="44">
        <v>7308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/>
      <c r="AY36" s="44"/>
      <c r="AZ36" s="45">
        <f t="shared" si="4"/>
        <v>143836</v>
      </c>
      <c r="BA36" s="46">
        <f t="shared" si="1"/>
        <v>0</v>
      </c>
      <c r="BB36" s="47">
        <f t="shared" si="5"/>
        <v>75572</v>
      </c>
      <c r="BC36" s="48">
        <f t="shared" si="6"/>
        <v>143836</v>
      </c>
      <c r="BE36" s="33" t="b">
        <f t="shared" si="2"/>
        <v>1</v>
      </c>
      <c r="BF36" s="49"/>
    </row>
    <row r="37" spans="2:58" outlineLevel="1" x14ac:dyDescent="0.3">
      <c r="B37" s="50" t="s">
        <v>751</v>
      </c>
      <c r="C37" s="51"/>
      <c r="D37" s="52" t="s">
        <v>817</v>
      </c>
      <c r="E37" s="53"/>
      <c r="F37" s="54"/>
      <c r="G37" s="54"/>
      <c r="H37" s="54"/>
      <c r="I37" s="54"/>
      <c r="J37" s="55"/>
      <c r="K37" s="55"/>
      <c r="L37" s="55" t="s">
        <v>723</v>
      </c>
      <c r="M37" s="55"/>
      <c r="N37" s="56">
        <f t="shared" si="7"/>
        <v>4.1500000000000004</v>
      </c>
      <c r="O37" s="64">
        <v>4.1500000000000004</v>
      </c>
      <c r="P37" s="56">
        <f>$P$4</f>
        <v>0</v>
      </c>
      <c r="Q37" s="56" t="s">
        <v>10</v>
      </c>
      <c r="R37" s="57">
        <v>3030.6400000000003</v>
      </c>
      <c r="S37" s="57">
        <v>2883.8900000000003</v>
      </c>
      <c r="T37" s="58">
        <f t="shared" si="3"/>
        <v>5914.5300000000007</v>
      </c>
      <c r="U37" s="182">
        <f t="shared" si="0"/>
        <v>0.66399999999975989</v>
      </c>
      <c r="V37" s="59">
        <f>SUM(V36:$AW36)*$N37/100-54</f>
        <v>5915.1940000000004</v>
      </c>
      <c r="W37" s="59">
        <f>SUM(W36:$AW36)*$N37/100</f>
        <v>5564.4860000000008</v>
      </c>
      <c r="X37" s="59">
        <f>SUM(X36:$AW36)*$N37/100</f>
        <v>5159.7780000000002</v>
      </c>
      <c r="Y37" s="59">
        <f>SUM(Y36:$AW36)*$N37/100</f>
        <v>4755.0700000000006</v>
      </c>
      <c r="Z37" s="59">
        <f>SUM(Z36:$AW36)*$N37/100</f>
        <v>4350.3620000000001</v>
      </c>
      <c r="AA37" s="59">
        <f>SUM(AA36:$AW36)*$N37/100</f>
        <v>3945.6540000000005</v>
      </c>
      <c r="AB37" s="59">
        <f>SUM(AB36:$AW36)*$N37/100</f>
        <v>3540.9460000000004</v>
      </c>
      <c r="AC37" s="59">
        <f>SUM(AC36:$AW36)*$N37/100</f>
        <v>3136.2380000000003</v>
      </c>
      <c r="AD37" s="59">
        <f>SUM(AD36:$AW36)*$N37/100</f>
        <v>2731.53</v>
      </c>
      <c r="AE37" s="59">
        <f>SUM(AE36:$AW36)*$N37/100</f>
        <v>2326.8220000000001</v>
      </c>
      <c r="AF37" s="59">
        <f>SUM(AF36:$AW36)*$N37/100</f>
        <v>1922.1140000000003</v>
      </c>
      <c r="AG37" s="59">
        <f>SUM(AG36:$AW36)*$N37/100</f>
        <v>1517.4059999999999</v>
      </c>
      <c r="AH37" s="59">
        <f>SUM(AH36:$AW36)*$N37/100</f>
        <v>1112.6980000000001</v>
      </c>
      <c r="AI37" s="59">
        <f>SUM(AI36:$AW36)*$N37/100</f>
        <v>707.99</v>
      </c>
      <c r="AJ37" s="59">
        <f>SUM(AJ36:$AW36)*$N37/100</f>
        <v>303.28200000000004</v>
      </c>
      <c r="AK37" s="59">
        <v>0</v>
      </c>
      <c r="AL37" s="59">
        <v>0</v>
      </c>
      <c r="AM37" s="59">
        <v>0</v>
      </c>
      <c r="AN37" s="59">
        <v>0</v>
      </c>
      <c r="AO37" s="59">
        <v>0</v>
      </c>
      <c r="AP37" s="59">
        <v>0</v>
      </c>
      <c r="AQ37" s="59">
        <v>0</v>
      </c>
      <c r="AR37" s="59">
        <v>0</v>
      </c>
      <c r="AS37" s="59">
        <v>0</v>
      </c>
      <c r="AT37" s="59">
        <v>0</v>
      </c>
      <c r="AU37" s="59">
        <v>0</v>
      </c>
      <c r="AV37" s="59">
        <v>0</v>
      </c>
      <c r="AW37" s="59">
        <v>0</v>
      </c>
      <c r="AX37" s="59"/>
      <c r="AY37" s="59"/>
      <c r="AZ37" s="60">
        <f t="shared" si="4"/>
        <v>46989.57</v>
      </c>
      <c r="BA37" s="46">
        <f t="shared" si="1"/>
        <v>0</v>
      </c>
      <c r="BB37" s="61">
        <f t="shared" si="5"/>
        <v>13758.08</v>
      </c>
      <c r="BC37" s="62">
        <f t="shared" si="6"/>
        <v>46989.570000000007</v>
      </c>
      <c r="BE37" s="33" t="b">
        <f t="shared" si="2"/>
        <v>1</v>
      </c>
    </row>
    <row r="38" spans="2:58" s="33" customFormat="1" outlineLevel="1" collapsed="1" x14ac:dyDescent="0.3">
      <c r="B38" s="34" t="s">
        <v>751</v>
      </c>
      <c r="C38" s="35">
        <v>17</v>
      </c>
      <c r="D38" s="36" t="s">
        <v>818</v>
      </c>
      <c r="E38" s="37" t="s">
        <v>43</v>
      </c>
      <c r="F38" s="38" t="s">
        <v>44</v>
      </c>
      <c r="G38" s="38" t="s">
        <v>164</v>
      </c>
      <c r="H38" s="38" t="s">
        <v>162</v>
      </c>
      <c r="I38" s="38" t="s">
        <v>9</v>
      </c>
      <c r="J38" s="39">
        <v>177076.43</v>
      </c>
      <c r="K38" s="40">
        <v>140300</v>
      </c>
      <c r="L38" s="40"/>
      <c r="M38" s="40"/>
      <c r="N38" s="41"/>
      <c r="O38" s="41">
        <v>1.903</v>
      </c>
      <c r="P38" s="41"/>
      <c r="Q38" s="41" t="s">
        <v>8</v>
      </c>
      <c r="R38" s="42">
        <v>2300</v>
      </c>
      <c r="S38" s="42">
        <v>6900</v>
      </c>
      <c r="T38" s="43">
        <f t="shared" si="3"/>
        <v>9200</v>
      </c>
      <c r="U38" s="181">
        <f t="shared" si="0"/>
        <v>0</v>
      </c>
      <c r="V38" s="44">
        <v>9200</v>
      </c>
      <c r="W38" s="44">
        <v>9200</v>
      </c>
      <c r="X38" s="44">
        <v>9200</v>
      </c>
      <c r="Y38" s="44">
        <v>9200</v>
      </c>
      <c r="Z38" s="44">
        <v>9200</v>
      </c>
      <c r="AA38" s="44">
        <v>9200</v>
      </c>
      <c r="AB38" s="44">
        <v>9200</v>
      </c>
      <c r="AC38" s="44">
        <v>9200</v>
      </c>
      <c r="AD38" s="44">
        <v>9200</v>
      </c>
      <c r="AE38" s="44">
        <v>9200</v>
      </c>
      <c r="AF38" s="44">
        <v>9200</v>
      </c>
      <c r="AG38" s="44">
        <v>9200</v>
      </c>
      <c r="AH38" s="44">
        <v>9200</v>
      </c>
      <c r="AI38" s="44">
        <v>9200</v>
      </c>
      <c r="AJ38" s="44">
        <v>6900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S38" s="44">
        <v>0</v>
      </c>
      <c r="AT38" s="44">
        <v>0</v>
      </c>
      <c r="AU38" s="44">
        <v>0</v>
      </c>
      <c r="AV38" s="44">
        <v>0</v>
      </c>
      <c r="AW38" s="44">
        <v>0</v>
      </c>
      <c r="AX38" s="44"/>
      <c r="AY38" s="44"/>
      <c r="AZ38" s="45">
        <f t="shared" si="4"/>
        <v>135700</v>
      </c>
      <c r="BA38" s="46">
        <f t="shared" si="1"/>
        <v>0</v>
      </c>
      <c r="BB38" s="47">
        <f t="shared" si="5"/>
        <v>71300</v>
      </c>
      <c r="BC38" s="48">
        <f t="shared" si="6"/>
        <v>135700</v>
      </c>
      <c r="BE38" s="33" t="b">
        <f t="shared" si="2"/>
        <v>1</v>
      </c>
      <c r="BF38" s="49"/>
    </row>
    <row r="39" spans="2:58" outlineLevel="1" x14ac:dyDescent="0.3">
      <c r="B39" s="50" t="s">
        <v>751</v>
      </c>
      <c r="C39" s="51"/>
      <c r="D39" s="52" t="s">
        <v>819</v>
      </c>
      <c r="E39" s="53"/>
      <c r="F39" s="54"/>
      <c r="G39" s="54"/>
      <c r="H39" s="54"/>
      <c r="I39" s="54"/>
      <c r="J39" s="55"/>
      <c r="K39" s="55"/>
      <c r="L39" s="55" t="s">
        <v>721</v>
      </c>
      <c r="M39" s="55"/>
      <c r="N39" s="56">
        <f t="shared" si="7"/>
        <v>4.1500000000000004</v>
      </c>
      <c r="O39" s="64">
        <v>4.1500000000000004</v>
      </c>
      <c r="P39" s="56">
        <f>$P$4</f>
        <v>0</v>
      </c>
      <c r="Q39" s="56" t="s">
        <v>10</v>
      </c>
      <c r="R39" s="57">
        <v>2851.59</v>
      </c>
      <c r="S39" s="57">
        <v>2730.17</v>
      </c>
      <c r="T39" s="58">
        <f t="shared" si="3"/>
        <v>5581.76</v>
      </c>
      <c r="U39" s="182">
        <f t="shared" si="0"/>
        <v>0.78999999999996362</v>
      </c>
      <c r="V39" s="59">
        <f>SUM(V38:$AW38)*$N39/100-49</f>
        <v>5582.55</v>
      </c>
      <c r="W39" s="59">
        <f>SUM(W38:$AW38)*$N39/100</f>
        <v>5249.75</v>
      </c>
      <c r="X39" s="59">
        <f>SUM(X38:$AW38)*$N39/100</f>
        <v>4867.9500000000007</v>
      </c>
      <c r="Y39" s="59">
        <f>SUM(Y38:$AW38)*$N39/100</f>
        <v>4486.1500000000005</v>
      </c>
      <c r="Z39" s="59">
        <f>SUM(Z38:$AW38)*$N39/100</f>
        <v>4104.3500000000004</v>
      </c>
      <c r="AA39" s="59">
        <f>SUM(AA38:$AW38)*$N39/100</f>
        <v>3722.5500000000006</v>
      </c>
      <c r="AB39" s="59">
        <f>SUM(AB38:$AW38)*$N39/100</f>
        <v>3340.75</v>
      </c>
      <c r="AC39" s="59">
        <f>SUM(AC38:$AW38)*$N39/100</f>
        <v>2958.95</v>
      </c>
      <c r="AD39" s="59">
        <f>SUM(AD38:$AW38)*$N39/100</f>
        <v>2577.15</v>
      </c>
      <c r="AE39" s="59">
        <f>SUM(AE38:$AW38)*$N39/100</f>
        <v>2195.3500000000004</v>
      </c>
      <c r="AF39" s="59">
        <f>SUM(AF38:$AW38)*$N39/100</f>
        <v>1813.5500000000002</v>
      </c>
      <c r="AG39" s="59">
        <f>SUM(AG38:$AW38)*$N39/100</f>
        <v>1431.75</v>
      </c>
      <c r="AH39" s="59">
        <f>SUM(AH38:$AW38)*$N39/100</f>
        <v>1049.95</v>
      </c>
      <c r="AI39" s="59">
        <f>SUM(AI38:$AW38)*$N39/100</f>
        <v>668.15</v>
      </c>
      <c r="AJ39" s="59">
        <f>SUM(AJ38:$AW38)*$N39/100</f>
        <v>286.35000000000002</v>
      </c>
      <c r="AK39" s="59">
        <v>0</v>
      </c>
      <c r="AL39" s="59">
        <v>0</v>
      </c>
      <c r="AM39" s="59">
        <v>0</v>
      </c>
      <c r="AN39" s="59">
        <v>0</v>
      </c>
      <c r="AO39" s="59">
        <v>0</v>
      </c>
      <c r="AP39" s="59">
        <v>0</v>
      </c>
      <c r="AQ39" s="59">
        <v>0</v>
      </c>
      <c r="AR39" s="59">
        <v>0</v>
      </c>
      <c r="AS39" s="59">
        <v>0</v>
      </c>
      <c r="AT39" s="59">
        <v>0</v>
      </c>
      <c r="AU39" s="59">
        <v>0</v>
      </c>
      <c r="AV39" s="59">
        <v>0</v>
      </c>
      <c r="AW39" s="59">
        <v>0</v>
      </c>
      <c r="AX39" s="59"/>
      <c r="AY39" s="59"/>
      <c r="AZ39" s="60">
        <f t="shared" si="4"/>
        <v>44335.25</v>
      </c>
      <c r="BA39" s="46">
        <f t="shared" si="1"/>
        <v>0</v>
      </c>
      <c r="BB39" s="61">
        <f t="shared" si="5"/>
        <v>12981.2</v>
      </c>
      <c r="BC39" s="62">
        <f t="shared" si="6"/>
        <v>44335.25</v>
      </c>
      <c r="BE39" s="33" t="b">
        <f t="shared" si="2"/>
        <v>1</v>
      </c>
    </row>
    <row r="40" spans="2:58" s="33" customFormat="1" outlineLevel="1" collapsed="1" x14ac:dyDescent="0.3">
      <c r="B40" s="34" t="s">
        <v>750</v>
      </c>
      <c r="C40" s="35">
        <v>18</v>
      </c>
      <c r="D40" s="36" t="s">
        <v>731</v>
      </c>
      <c r="E40" s="37" t="s">
        <v>45</v>
      </c>
      <c r="F40" s="38" t="s">
        <v>46</v>
      </c>
      <c r="G40" s="38" t="s">
        <v>164</v>
      </c>
      <c r="H40" s="38" t="s">
        <v>165</v>
      </c>
      <c r="I40" s="38" t="s">
        <v>9</v>
      </c>
      <c r="J40" s="39">
        <v>1174139.99</v>
      </c>
      <c r="K40" s="40">
        <v>830003.99</v>
      </c>
      <c r="L40" s="40"/>
      <c r="M40" s="40"/>
      <c r="N40" s="41"/>
      <c r="O40" s="41">
        <v>1.903</v>
      </c>
      <c r="P40" s="41"/>
      <c r="Q40" s="41" t="s">
        <v>8</v>
      </c>
      <c r="R40" s="42">
        <v>20244</v>
      </c>
      <c r="S40" s="42">
        <v>60732</v>
      </c>
      <c r="T40" s="43">
        <f t="shared" si="3"/>
        <v>80976</v>
      </c>
      <c r="U40" s="181">
        <f t="shared" si="0"/>
        <v>0</v>
      </c>
      <c r="V40" s="44">
        <v>80976</v>
      </c>
      <c r="W40" s="44">
        <v>80976</v>
      </c>
      <c r="X40" s="44">
        <v>80976</v>
      </c>
      <c r="Y40" s="44">
        <v>80976</v>
      </c>
      <c r="Z40" s="44">
        <v>80976</v>
      </c>
      <c r="AA40" s="44">
        <v>80976</v>
      </c>
      <c r="AB40" s="44">
        <v>80976</v>
      </c>
      <c r="AC40" s="44">
        <v>80976</v>
      </c>
      <c r="AD40" s="44">
        <v>80976</v>
      </c>
      <c r="AE40" s="44">
        <v>60731.990000000005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0</v>
      </c>
      <c r="AS40" s="44">
        <v>0</v>
      </c>
      <c r="AT40" s="44">
        <v>0</v>
      </c>
      <c r="AU40" s="44">
        <v>0</v>
      </c>
      <c r="AV40" s="44">
        <v>0</v>
      </c>
      <c r="AW40" s="44">
        <v>0</v>
      </c>
      <c r="AX40" s="44"/>
      <c r="AY40" s="44"/>
      <c r="AZ40" s="45">
        <f t="shared" si="4"/>
        <v>789515.99</v>
      </c>
      <c r="BA40" s="46">
        <f t="shared" si="1"/>
        <v>0</v>
      </c>
      <c r="BB40" s="47">
        <f t="shared" si="5"/>
        <v>222683.99</v>
      </c>
      <c r="BC40" s="48">
        <f t="shared" si="6"/>
        <v>789515.99</v>
      </c>
      <c r="BE40" s="33" t="b">
        <f t="shared" si="2"/>
        <v>1</v>
      </c>
      <c r="BF40" s="49"/>
    </row>
    <row r="41" spans="2:58" outlineLevel="1" x14ac:dyDescent="0.3">
      <c r="B41" s="50" t="s">
        <v>750</v>
      </c>
      <c r="C41" s="51"/>
      <c r="D41" s="52"/>
      <c r="E41" s="53"/>
      <c r="F41" s="54"/>
      <c r="G41" s="54"/>
      <c r="H41" s="54"/>
      <c r="I41" s="54"/>
      <c r="J41" s="55"/>
      <c r="K41" s="55"/>
      <c r="L41" s="55" t="s">
        <v>722</v>
      </c>
      <c r="M41" s="55"/>
      <c r="N41" s="56">
        <f t="shared" si="7"/>
        <v>4.1500000000000004</v>
      </c>
      <c r="O41" s="64">
        <v>4.1500000000000004</v>
      </c>
      <c r="P41" s="56">
        <f>$P$4</f>
        <v>0</v>
      </c>
      <c r="Q41" s="56" t="s">
        <v>10</v>
      </c>
      <c r="R41" s="57">
        <v>16644.02</v>
      </c>
      <c r="S41" s="57">
        <v>15662.71</v>
      </c>
      <c r="T41" s="58">
        <f t="shared" si="3"/>
        <v>32306.73</v>
      </c>
      <c r="U41" s="190">
        <f t="shared" si="0"/>
        <v>1000.1835850000025</v>
      </c>
      <c r="V41" s="59">
        <f>SUM(V40:$AW40)*$N41/100-458+1000</f>
        <v>33306.913585000002</v>
      </c>
      <c r="W41" s="59">
        <f>SUM(W40:$AW40)*$N41/100</f>
        <v>29404.409585000001</v>
      </c>
      <c r="X41" s="59">
        <f>SUM(X40:$AW40)*$N41/100</f>
        <v>26043.905585000004</v>
      </c>
      <c r="Y41" s="59">
        <f>SUM(Y40:$AW40)*$N41/100</f>
        <v>22683.401585000003</v>
      </c>
      <c r="Z41" s="59">
        <f>SUM(Z40:$AW40)*$N41/100</f>
        <v>19322.897585000002</v>
      </c>
      <c r="AA41" s="59">
        <f>SUM(AA40:$AW40)*$N41/100</f>
        <v>15962.393585000002</v>
      </c>
      <c r="AB41" s="59">
        <f>SUM(AB40:$AW40)*$N41/100</f>
        <v>12601.889585000003</v>
      </c>
      <c r="AC41" s="59">
        <f>SUM(AC40:$AW40)*$N41/100</f>
        <v>9241.385585</v>
      </c>
      <c r="AD41" s="59">
        <f>SUM(AD40:$AW40)*$N41/100</f>
        <v>5880.8815850000001</v>
      </c>
      <c r="AE41" s="59">
        <f>SUM(AE40:$AW40)*$N41/100</f>
        <v>2520.3775850000006</v>
      </c>
      <c r="AF41" s="59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v>0</v>
      </c>
      <c r="AM41" s="59">
        <v>0</v>
      </c>
      <c r="AN41" s="59">
        <v>0</v>
      </c>
      <c r="AO41" s="59">
        <v>0</v>
      </c>
      <c r="AP41" s="59">
        <v>0</v>
      </c>
      <c r="AQ41" s="59">
        <v>0</v>
      </c>
      <c r="AR41" s="59">
        <v>0</v>
      </c>
      <c r="AS41" s="59">
        <v>0</v>
      </c>
      <c r="AT41" s="59">
        <v>0</v>
      </c>
      <c r="AU41" s="59">
        <v>0</v>
      </c>
      <c r="AV41" s="59">
        <v>0</v>
      </c>
      <c r="AW41" s="59">
        <v>0</v>
      </c>
      <c r="AX41" s="59"/>
      <c r="AY41" s="59"/>
      <c r="AZ41" s="60">
        <f t="shared" si="4"/>
        <v>176968.45585000003</v>
      </c>
      <c r="BA41" s="46">
        <f t="shared" si="1"/>
        <v>0</v>
      </c>
      <c r="BB41" s="61">
        <f t="shared" si="5"/>
        <v>17642.644755000001</v>
      </c>
      <c r="BC41" s="62">
        <f t="shared" si="6"/>
        <v>176968.45585000003</v>
      </c>
      <c r="BE41" s="33" t="b">
        <f t="shared" si="2"/>
        <v>1</v>
      </c>
    </row>
    <row r="42" spans="2:58" s="33" customFormat="1" outlineLevel="1" collapsed="1" x14ac:dyDescent="0.3">
      <c r="B42" s="34" t="s">
        <v>750</v>
      </c>
      <c r="C42" s="35">
        <v>19</v>
      </c>
      <c r="D42" s="36" t="s">
        <v>728</v>
      </c>
      <c r="E42" s="37" t="s">
        <v>47</v>
      </c>
      <c r="F42" s="38" t="s">
        <v>48</v>
      </c>
      <c r="G42" s="38" t="s">
        <v>168</v>
      </c>
      <c r="H42" s="38" t="s">
        <v>167</v>
      </c>
      <c r="I42" s="38" t="s">
        <v>9</v>
      </c>
      <c r="J42" s="39">
        <v>388132.51</v>
      </c>
      <c r="K42" s="40">
        <v>204582</v>
      </c>
      <c r="L42" s="40"/>
      <c r="M42" s="40"/>
      <c r="N42" s="41"/>
      <c r="O42" s="41">
        <v>2.621</v>
      </c>
      <c r="P42" s="41"/>
      <c r="Q42" s="41" t="s">
        <v>8</v>
      </c>
      <c r="R42" s="42">
        <v>9742</v>
      </c>
      <c r="S42" s="42">
        <v>29226</v>
      </c>
      <c r="T42" s="43">
        <f t="shared" si="3"/>
        <v>38968</v>
      </c>
      <c r="U42" s="181">
        <f t="shared" si="0"/>
        <v>0</v>
      </c>
      <c r="V42" s="44">
        <v>38968</v>
      </c>
      <c r="W42" s="44">
        <v>38968</v>
      </c>
      <c r="X42" s="44">
        <v>38968</v>
      </c>
      <c r="Y42" s="44">
        <v>38968</v>
      </c>
      <c r="Z42" s="44">
        <v>29226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/>
      <c r="AY42" s="44"/>
      <c r="AZ42" s="45">
        <f t="shared" si="4"/>
        <v>185098</v>
      </c>
      <c r="BA42" s="46">
        <f t="shared" si="1"/>
        <v>0</v>
      </c>
      <c r="BB42" s="47">
        <f t="shared" si="5"/>
        <v>0</v>
      </c>
      <c r="BC42" s="48">
        <f t="shared" si="6"/>
        <v>185098</v>
      </c>
      <c r="BE42" s="33" t="b">
        <f t="shared" si="2"/>
        <v>1</v>
      </c>
      <c r="BF42" s="49"/>
    </row>
    <row r="43" spans="2:58" outlineLevel="1" x14ac:dyDescent="0.3">
      <c r="B43" s="50" t="s">
        <v>750</v>
      </c>
      <c r="C43" s="51"/>
      <c r="D43" s="52"/>
      <c r="E43" s="53"/>
      <c r="F43" s="54"/>
      <c r="G43" s="54"/>
      <c r="H43" s="54"/>
      <c r="I43" s="54"/>
      <c r="J43" s="55"/>
      <c r="K43" s="55"/>
      <c r="L43" s="55" t="s">
        <v>166</v>
      </c>
      <c r="M43" s="55"/>
      <c r="N43" s="56">
        <f t="shared" si="7"/>
        <v>4.1500000000000004</v>
      </c>
      <c r="O43" s="64">
        <v>4.1500000000000004</v>
      </c>
      <c r="P43" s="56">
        <f>$P$4</f>
        <v>0</v>
      </c>
      <c r="Q43" s="56" t="s">
        <v>10</v>
      </c>
      <c r="R43" s="57">
        <v>4012.04</v>
      </c>
      <c r="S43" s="57">
        <v>3614.29</v>
      </c>
      <c r="T43" s="58">
        <f t="shared" si="3"/>
        <v>7626.33</v>
      </c>
      <c r="U43" s="182">
        <f t="shared" si="0"/>
        <v>0.23700000000098953</v>
      </c>
      <c r="V43" s="59">
        <f>SUM(V42:$AW42)*$N43/100-55</f>
        <v>7626.5670000000009</v>
      </c>
      <c r="W43" s="59">
        <f>SUM(W42:$AW42)*$N43/100</f>
        <v>6064.3950000000004</v>
      </c>
      <c r="X43" s="59">
        <f>SUM(X42:$AW42)*$N43/100</f>
        <v>4447.2230000000009</v>
      </c>
      <c r="Y43" s="59">
        <f>SUM(Y42:$AW42)*$N43/100</f>
        <v>2830.0510000000004</v>
      </c>
      <c r="Z43" s="59">
        <f>SUM(Z42:$AW42)*$N43/100</f>
        <v>1212.8790000000001</v>
      </c>
      <c r="AA43" s="59">
        <v>0</v>
      </c>
      <c r="AB43" s="59">
        <v>0</v>
      </c>
      <c r="AC43" s="59">
        <v>0</v>
      </c>
      <c r="AD43" s="59">
        <v>0</v>
      </c>
      <c r="AE43" s="59">
        <v>0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v>0</v>
      </c>
      <c r="AM43" s="59">
        <v>0</v>
      </c>
      <c r="AN43" s="59">
        <v>0</v>
      </c>
      <c r="AO43" s="59">
        <v>0</v>
      </c>
      <c r="AP43" s="59">
        <v>0</v>
      </c>
      <c r="AQ43" s="59">
        <v>0</v>
      </c>
      <c r="AR43" s="59">
        <v>0</v>
      </c>
      <c r="AS43" s="59">
        <v>0</v>
      </c>
      <c r="AT43" s="59">
        <v>0</v>
      </c>
      <c r="AU43" s="59">
        <v>0</v>
      </c>
      <c r="AV43" s="59">
        <v>0</v>
      </c>
      <c r="AW43" s="59">
        <v>0</v>
      </c>
      <c r="AX43" s="59"/>
      <c r="AY43" s="59"/>
      <c r="AZ43" s="60">
        <f t="shared" si="4"/>
        <v>22181.115000000002</v>
      </c>
      <c r="BA43" s="46">
        <f t="shared" si="1"/>
        <v>0</v>
      </c>
      <c r="BB43" s="61">
        <f t="shared" si="5"/>
        <v>0</v>
      </c>
      <c r="BC43" s="62">
        <f t="shared" si="6"/>
        <v>22181.115000000002</v>
      </c>
      <c r="BE43" s="33" t="b">
        <f t="shared" si="2"/>
        <v>1</v>
      </c>
    </row>
    <row r="44" spans="2:58" s="33" customFormat="1" outlineLevel="1" x14ac:dyDescent="0.3">
      <c r="B44" s="34" t="s">
        <v>751</v>
      </c>
      <c r="C44" s="35">
        <v>20</v>
      </c>
      <c r="D44" s="36" t="s">
        <v>784</v>
      </c>
      <c r="E44" s="37" t="s">
        <v>49</v>
      </c>
      <c r="F44" s="38" t="s">
        <v>50</v>
      </c>
      <c r="G44" s="38" t="s">
        <v>171</v>
      </c>
      <c r="H44" s="38" t="s">
        <v>170</v>
      </c>
      <c r="I44" s="38" t="s">
        <v>9</v>
      </c>
      <c r="J44" s="39">
        <v>160577.24</v>
      </c>
      <c r="K44" s="40">
        <v>127658</v>
      </c>
      <c r="L44" s="40"/>
      <c r="M44" s="40"/>
      <c r="N44" s="41"/>
      <c r="O44" s="41">
        <v>2.964</v>
      </c>
      <c r="P44" s="41"/>
      <c r="Q44" s="41" t="s">
        <v>8</v>
      </c>
      <c r="R44" s="42">
        <v>2059</v>
      </c>
      <c r="S44" s="42">
        <v>6177</v>
      </c>
      <c r="T44" s="43">
        <f t="shared" si="3"/>
        <v>8236</v>
      </c>
      <c r="U44" s="181">
        <f t="shared" si="0"/>
        <v>0</v>
      </c>
      <c r="V44" s="44">
        <v>8236</v>
      </c>
      <c r="W44" s="44">
        <v>8236</v>
      </c>
      <c r="X44" s="44">
        <v>8236</v>
      </c>
      <c r="Y44" s="44">
        <v>8236</v>
      </c>
      <c r="Z44" s="44">
        <v>8236</v>
      </c>
      <c r="AA44" s="44">
        <v>8236</v>
      </c>
      <c r="AB44" s="44">
        <v>8236</v>
      </c>
      <c r="AC44" s="44">
        <v>8236</v>
      </c>
      <c r="AD44" s="44">
        <v>8236</v>
      </c>
      <c r="AE44" s="44">
        <v>8236</v>
      </c>
      <c r="AF44" s="44">
        <v>8236</v>
      </c>
      <c r="AG44" s="44">
        <v>8236</v>
      </c>
      <c r="AH44" s="44">
        <v>8236</v>
      </c>
      <c r="AI44" s="44">
        <v>8236</v>
      </c>
      <c r="AJ44" s="44">
        <v>8236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4"/>
      <c r="AY44" s="44"/>
      <c r="AZ44" s="45">
        <f t="shared" si="4"/>
        <v>123540</v>
      </c>
      <c r="BA44" s="46">
        <f t="shared" si="1"/>
        <v>0</v>
      </c>
      <c r="BB44" s="47">
        <f t="shared" si="5"/>
        <v>65888</v>
      </c>
      <c r="BC44" s="48">
        <f t="shared" si="6"/>
        <v>123540</v>
      </c>
      <c r="BE44" s="33" t="b">
        <f t="shared" si="2"/>
        <v>1</v>
      </c>
      <c r="BF44" s="49"/>
    </row>
    <row r="45" spans="2:58" outlineLevel="1" x14ac:dyDescent="0.3">
      <c r="B45" s="50" t="s">
        <v>751</v>
      </c>
      <c r="C45" s="51"/>
      <c r="D45" s="52" t="s">
        <v>820</v>
      </c>
      <c r="E45" s="53"/>
      <c r="F45" s="54"/>
      <c r="G45" s="54"/>
      <c r="H45" s="54"/>
      <c r="I45" s="54"/>
      <c r="J45" s="55"/>
      <c r="K45" s="55"/>
      <c r="L45" s="55" t="s">
        <v>169</v>
      </c>
      <c r="M45" s="55"/>
      <c r="N45" s="56">
        <f t="shared" si="7"/>
        <v>4.1500000000000004</v>
      </c>
      <c r="O45" s="64">
        <v>4.1500000000000004</v>
      </c>
      <c r="P45" s="56">
        <f>$P$4</f>
        <v>0</v>
      </c>
      <c r="Q45" s="56" t="s">
        <v>10</v>
      </c>
      <c r="R45" s="57">
        <v>2466.08</v>
      </c>
      <c r="S45" s="57">
        <v>2536.8999999999996</v>
      </c>
      <c r="T45" s="58">
        <f t="shared" si="3"/>
        <v>5002.9799999999996</v>
      </c>
      <c r="U45" s="182">
        <f t="shared" si="0"/>
        <v>0.93000000000120053</v>
      </c>
      <c r="V45" s="59">
        <f>SUM(V44:$AW44)*$N45/100-123</f>
        <v>5003.9100000000008</v>
      </c>
      <c r="W45" s="59">
        <f>SUM(W44:$AW44)*$N45/100</f>
        <v>4785.116</v>
      </c>
      <c r="X45" s="59">
        <f>SUM(X44:$AW44)*$N45/100</f>
        <v>4443.3220000000001</v>
      </c>
      <c r="Y45" s="59">
        <f>SUM(Y44:$AW44)*$N45/100</f>
        <v>4101.5280000000002</v>
      </c>
      <c r="Z45" s="59">
        <f>SUM(Z44:$AW44)*$N45/100</f>
        <v>3759.7340000000004</v>
      </c>
      <c r="AA45" s="59">
        <f>SUM(AA44:$AW44)*$N45/100</f>
        <v>3417.9400000000005</v>
      </c>
      <c r="AB45" s="59">
        <f>SUM(AB44:$AW44)*$N45/100</f>
        <v>3076.1460000000002</v>
      </c>
      <c r="AC45" s="59">
        <f>SUM(AC44:$AW44)*$N45/100</f>
        <v>2734.3520000000003</v>
      </c>
      <c r="AD45" s="59">
        <f>SUM(AD44:$AW44)*$N45/100</f>
        <v>2392.558</v>
      </c>
      <c r="AE45" s="59">
        <f>SUM(AE44:$AW44)*$N45/100</f>
        <v>2050.7640000000001</v>
      </c>
      <c r="AF45" s="59">
        <f>SUM(AF44:$AW44)*$N45/100</f>
        <v>1708.9700000000003</v>
      </c>
      <c r="AG45" s="59">
        <f>SUM(AG44:$AW44)*$N45/100</f>
        <v>1367.1760000000002</v>
      </c>
      <c r="AH45" s="59">
        <f>SUM(AH44:$AW44)*$N45/100</f>
        <v>1025.3820000000001</v>
      </c>
      <c r="AI45" s="59">
        <f>SUM(AI44:$AW44)*$N45/100</f>
        <v>683.58800000000008</v>
      </c>
      <c r="AJ45" s="59">
        <f>SUM(AJ44:$AW44)*$N45/100</f>
        <v>341.79400000000004</v>
      </c>
      <c r="AK45" s="59">
        <v>0</v>
      </c>
      <c r="AL45" s="59">
        <v>0</v>
      </c>
      <c r="AM45" s="59">
        <v>0</v>
      </c>
      <c r="AN45" s="59">
        <v>0</v>
      </c>
      <c r="AO45" s="59">
        <v>0</v>
      </c>
      <c r="AP45" s="59">
        <v>0</v>
      </c>
      <c r="AQ45" s="59">
        <v>0</v>
      </c>
      <c r="AR45" s="59">
        <v>0</v>
      </c>
      <c r="AS45" s="59">
        <v>0</v>
      </c>
      <c r="AT45" s="59">
        <v>0</v>
      </c>
      <c r="AU45" s="59">
        <v>0</v>
      </c>
      <c r="AV45" s="59">
        <v>0</v>
      </c>
      <c r="AW45" s="59">
        <v>0</v>
      </c>
      <c r="AX45" s="59"/>
      <c r="AY45" s="59"/>
      <c r="AZ45" s="60">
        <f t="shared" si="4"/>
        <v>40892.280000000006</v>
      </c>
      <c r="BA45" s="46">
        <f t="shared" si="1"/>
        <v>0</v>
      </c>
      <c r="BB45" s="61">
        <f t="shared" si="5"/>
        <v>12304.583999999999</v>
      </c>
      <c r="BC45" s="62">
        <f t="shared" si="6"/>
        <v>40892.28</v>
      </c>
      <c r="BE45" s="33" t="b">
        <f t="shared" si="2"/>
        <v>1</v>
      </c>
    </row>
    <row r="46" spans="2:58" s="33" customFormat="1" outlineLevel="1" x14ac:dyDescent="0.3">
      <c r="B46" s="34" t="s">
        <v>751</v>
      </c>
      <c r="C46" s="35">
        <v>21</v>
      </c>
      <c r="D46" s="36" t="s">
        <v>792</v>
      </c>
      <c r="E46" s="37" t="s">
        <v>51</v>
      </c>
      <c r="F46" s="38" t="s">
        <v>52</v>
      </c>
      <c r="G46" s="38" t="s">
        <v>174</v>
      </c>
      <c r="H46" s="38" t="s">
        <v>173</v>
      </c>
      <c r="I46" s="38" t="s">
        <v>9</v>
      </c>
      <c r="J46" s="39">
        <v>131127</v>
      </c>
      <c r="K46" s="40">
        <v>104284</v>
      </c>
      <c r="L46" s="40"/>
      <c r="M46" s="40"/>
      <c r="N46" s="41"/>
      <c r="O46" s="41">
        <v>2.9870000000000001</v>
      </c>
      <c r="P46" s="41"/>
      <c r="Q46" s="41" t="s">
        <v>8</v>
      </c>
      <c r="R46" s="42">
        <v>1682</v>
      </c>
      <c r="S46" s="42">
        <v>5046</v>
      </c>
      <c r="T46" s="43">
        <f t="shared" si="3"/>
        <v>6728</v>
      </c>
      <c r="U46" s="181">
        <f t="shared" si="0"/>
        <v>0</v>
      </c>
      <c r="V46" s="44">
        <v>6728</v>
      </c>
      <c r="W46" s="44">
        <v>6728</v>
      </c>
      <c r="X46" s="44">
        <v>6728</v>
      </c>
      <c r="Y46" s="44">
        <v>6728</v>
      </c>
      <c r="Z46" s="44">
        <v>6728</v>
      </c>
      <c r="AA46" s="44">
        <v>6728</v>
      </c>
      <c r="AB46" s="44">
        <v>6728</v>
      </c>
      <c r="AC46" s="44">
        <v>6728</v>
      </c>
      <c r="AD46" s="44">
        <v>6728</v>
      </c>
      <c r="AE46" s="44">
        <v>6728</v>
      </c>
      <c r="AF46" s="44">
        <v>6728</v>
      </c>
      <c r="AG46" s="44">
        <v>6728</v>
      </c>
      <c r="AH46" s="44">
        <v>6728</v>
      </c>
      <c r="AI46" s="44">
        <v>6728</v>
      </c>
      <c r="AJ46" s="44">
        <v>6728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4"/>
      <c r="AY46" s="44"/>
      <c r="AZ46" s="45">
        <f t="shared" si="4"/>
        <v>100920</v>
      </c>
      <c r="BA46" s="46">
        <f t="shared" si="1"/>
        <v>0</v>
      </c>
      <c r="BB46" s="47">
        <f t="shared" si="5"/>
        <v>53824</v>
      </c>
      <c r="BC46" s="48">
        <f t="shared" si="6"/>
        <v>100920</v>
      </c>
      <c r="BE46" s="33" t="b">
        <f t="shared" si="2"/>
        <v>1</v>
      </c>
      <c r="BF46" s="49"/>
    </row>
    <row r="47" spans="2:58" outlineLevel="1" x14ac:dyDescent="0.3">
      <c r="B47" s="50" t="s">
        <v>751</v>
      </c>
      <c r="C47" s="51"/>
      <c r="D47" s="52" t="s">
        <v>793</v>
      </c>
      <c r="E47" s="53"/>
      <c r="F47" s="54"/>
      <c r="G47" s="54"/>
      <c r="H47" s="54"/>
      <c r="I47" s="54"/>
      <c r="J47" s="55"/>
      <c r="K47" s="55"/>
      <c r="L47" s="55" t="s">
        <v>172</v>
      </c>
      <c r="M47" s="55"/>
      <c r="N47" s="56">
        <f t="shared" si="7"/>
        <v>4.1500000000000004</v>
      </c>
      <c r="O47" s="64">
        <v>4.1500000000000004</v>
      </c>
      <c r="P47" s="56">
        <f>$P$4</f>
        <v>0</v>
      </c>
      <c r="Q47" s="56" t="s">
        <v>10</v>
      </c>
      <c r="R47" s="57">
        <v>1999.8600000000001</v>
      </c>
      <c r="S47" s="57">
        <v>2075.8900000000003</v>
      </c>
      <c r="T47" s="58">
        <f t="shared" si="3"/>
        <v>4075.7500000000005</v>
      </c>
      <c r="U47" s="182">
        <f t="shared" si="0"/>
        <v>0.42999999999983629</v>
      </c>
      <c r="V47" s="59">
        <f>SUM(V46:$AW46)*$N47/100-112</f>
        <v>4076.1800000000003</v>
      </c>
      <c r="W47" s="59">
        <f>SUM(W46:$AW46)*$N47/100</f>
        <v>3908.9680000000003</v>
      </c>
      <c r="X47" s="59">
        <f>SUM(X46:$AW46)*$N47/100</f>
        <v>3629.7560000000003</v>
      </c>
      <c r="Y47" s="59">
        <f>SUM(Y46:$AW46)*$N47/100</f>
        <v>3350.5440000000003</v>
      </c>
      <c r="Z47" s="59">
        <f>SUM(Z46:$AW46)*$N47/100</f>
        <v>3071.3320000000003</v>
      </c>
      <c r="AA47" s="59">
        <f>SUM(AA46:$AW46)*$N47/100</f>
        <v>2792.12</v>
      </c>
      <c r="AB47" s="59">
        <f>SUM(AB46:$AW46)*$N47/100</f>
        <v>2512.9080000000004</v>
      </c>
      <c r="AC47" s="59">
        <f>SUM(AC46:$AW46)*$N47/100</f>
        <v>2233.6959999999999</v>
      </c>
      <c r="AD47" s="59">
        <f>SUM(AD46:$AW46)*$N47/100</f>
        <v>1954.4840000000002</v>
      </c>
      <c r="AE47" s="59">
        <f>SUM(AE46:$AW46)*$N47/100</f>
        <v>1675.2720000000002</v>
      </c>
      <c r="AF47" s="59">
        <f>SUM(AF46:$AW46)*$N47/100</f>
        <v>1396.06</v>
      </c>
      <c r="AG47" s="59">
        <f>SUM(AG46:$AW46)*$N47/100</f>
        <v>1116.848</v>
      </c>
      <c r="AH47" s="59">
        <f>SUM(AH46:$AW46)*$N47/100</f>
        <v>837.63600000000008</v>
      </c>
      <c r="AI47" s="59">
        <f>SUM(AI46:$AW46)*$N47/100</f>
        <v>558.42399999999998</v>
      </c>
      <c r="AJ47" s="59">
        <f>SUM(AJ46:$AW46)*$N47/100</f>
        <v>279.21199999999999</v>
      </c>
      <c r="AK47" s="59">
        <v>0</v>
      </c>
      <c r="AL47" s="59">
        <v>0</v>
      </c>
      <c r="AM47" s="59">
        <v>0</v>
      </c>
      <c r="AN47" s="59">
        <v>0</v>
      </c>
      <c r="AO47" s="59">
        <v>0</v>
      </c>
      <c r="AP47" s="59">
        <v>0</v>
      </c>
      <c r="AQ47" s="59">
        <v>0</v>
      </c>
      <c r="AR47" s="59">
        <v>0</v>
      </c>
      <c r="AS47" s="59">
        <v>0</v>
      </c>
      <c r="AT47" s="59">
        <v>0</v>
      </c>
      <c r="AU47" s="59">
        <v>0</v>
      </c>
      <c r="AV47" s="59">
        <v>0</v>
      </c>
      <c r="AW47" s="59">
        <v>0</v>
      </c>
      <c r="AX47" s="59"/>
      <c r="AY47" s="59"/>
      <c r="AZ47" s="60">
        <f t="shared" si="4"/>
        <v>33393.440000000002</v>
      </c>
      <c r="BA47" s="46">
        <f t="shared" si="1"/>
        <v>0</v>
      </c>
      <c r="BB47" s="61">
        <f t="shared" si="5"/>
        <v>10051.632000000001</v>
      </c>
      <c r="BC47" s="62">
        <f t="shared" si="6"/>
        <v>33393.440000000002</v>
      </c>
      <c r="BE47" s="33" t="b">
        <f t="shared" si="2"/>
        <v>1</v>
      </c>
    </row>
    <row r="48" spans="2:58" s="33" customFormat="1" outlineLevel="1" x14ac:dyDescent="0.3">
      <c r="B48" s="34" t="s">
        <v>751</v>
      </c>
      <c r="C48" s="35">
        <v>22</v>
      </c>
      <c r="D48" s="36" t="s">
        <v>821</v>
      </c>
      <c r="E48" s="37" t="s">
        <v>53</v>
      </c>
      <c r="F48" s="38" t="s">
        <v>54</v>
      </c>
      <c r="G48" s="38" t="s">
        <v>176</v>
      </c>
      <c r="H48" s="38" t="s">
        <v>177</v>
      </c>
      <c r="I48" s="38" t="s">
        <v>9</v>
      </c>
      <c r="J48" s="39">
        <v>5678344.2000000002</v>
      </c>
      <c r="K48" s="40">
        <v>3249664</v>
      </c>
      <c r="L48" s="40"/>
      <c r="M48" s="40"/>
      <c r="N48" s="41"/>
      <c r="O48" s="41"/>
      <c r="P48" s="41"/>
      <c r="Q48" s="41" t="s">
        <v>8</v>
      </c>
      <c r="R48" s="42">
        <v>98829</v>
      </c>
      <c r="S48" s="42">
        <v>296487</v>
      </c>
      <c r="T48" s="43">
        <f t="shared" si="3"/>
        <v>395316</v>
      </c>
      <c r="U48" s="181">
        <f t="shared" si="0"/>
        <v>0</v>
      </c>
      <c r="V48" s="44">
        <v>395316</v>
      </c>
      <c r="W48" s="44">
        <v>363420</v>
      </c>
      <c r="X48" s="44">
        <v>344336</v>
      </c>
      <c r="Y48" s="44">
        <v>314856</v>
      </c>
      <c r="Z48" s="44">
        <v>305080</v>
      </c>
      <c r="AA48" s="44">
        <v>279984</v>
      </c>
      <c r="AB48" s="44">
        <v>252100</v>
      </c>
      <c r="AC48" s="44">
        <v>243352</v>
      </c>
      <c r="AD48" s="44">
        <v>243352</v>
      </c>
      <c r="AE48" s="44">
        <v>243352</v>
      </c>
      <c r="AF48" s="44">
        <v>33356</v>
      </c>
      <c r="AG48" s="44">
        <v>13680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4"/>
      <c r="AY48" s="44"/>
      <c r="AZ48" s="45">
        <f t="shared" si="4"/>
        <v>3032184</v>
      </c>
      <c r="BA48" s="46">
        <f t="shared" si="1"/>
        <v>0</v>
      </c>
      <c r="BB48" s="47">
        <f t="shared" si="5"/>
        <v>777092</v>
      </c>
      <c r="BC48" s="48">
        <f t="shared" si="6"/>
        <v>3032184</v>
      </c>
      <c r="BE48" s="33" t="b">
        <f t="shared" si="2"/>
        <v>1</v>
      </c>
      <c r="BF48" s="49"/>
    </row>
    <row r="49" spans="1:58" outlineLevel="1" x14ac:dyDescent="0.3">
      <c r="B49" s="50" t="s">
        <v>751</v>
      </c>
      <c r="C49" s="51"/>
      <c r="D49" s="52" t="s">
        <v>822</v>
      </c>
      <c r="E49" s="53"/>
      <c r="F49" s="54"/>
      <c r="G49" s="54"/>
      <c r="H49" s="54"/>
      <c r="I49" s="54"/>
      <c r="J49" s="55"/>
      <c r="K49" s="55"/>
      <c r="L49" s="55" t="s">
        <v>175</v>
      </c>
      <c r="M49" s="55"/>
      <c r="N49" s="56">
        <f t="shared" si="7"/>
        <v>3.875</v>
      </c>
      <c r="O49" s="56">
        <v>3.875</v>
      </c>
      <c r="P49" s="56">
        <f>$P$4</f>
        <v>0</v>
      </c>
      <c r="Q49" s="56" t="s">
        <v>10</v>
      </c>
      <c r="R49" s="57">
        <v>57164.31</v>
      </c>
      <c r="S49" s="57">
        <v>55590.19</v>
      </c>
      <c r="T49" s="58">
        <f t="shared" si="3"/>
        <v>112754.5</v>
      </c>
      <c r="U49" s="185">
        <f t="shared" si="0"/>
        <v>0.63000000000465661</v>
      </c>
      <c r="V49" s="59">
        <f>SUM(V48:$AW48)*$N49/100-4742</f>
        <v>112755.13</v>
      </c>
      <c r="W49" s="59">
        <f>SUM(W48:$AW48)*$N49/100</f>
        <v>102178.63499999999</v>
      </c>
      <c r="X49" s="59">
        <f>SUM(X48:$AW48)*$N49/100</f>
        <v>88096.11</v>
      </c>
      <c r="Y49" s="59">
        <f>SUM(Y48:$AW48)*$N49/100</f>
        <v>74753.09</v>
      </c>
      <c r="Z49" s="59">
        <f>SUM(Z48:$AW48)*$N49/100</f>
        <v>62552.42</v>
      </c>
      <c r="AA49" s="59">
        <f>SUM(AA48:$AW48)*$N49/100</f>
        <v>50730.57</v>
      </c>
      <c r="AB49" s="59">
        <f>SUM(AB48:$AW48)*$N49/100</f>
        <v>39881.19</v>
      </c>
      <c r="AC49" s="59">
        <f>SUM(AC48:$AW48)*$N49/100</f>
        <v>30112.314999999999</v>
      </c>
      <c r="AD49" s="59">
        <f>SUM(AD48:$AW48)*$N49/100</f>
        <v>20682.424999999999</v>
      </c>
      <c r="AE49" s="59">
        <f>SUM(AE48:$AW48)*$N49/100</f>
        <v>11252.535</v>
      </c>
      <c r="AF49" s="59">
        <f>SUM(AF48:$AW48)*$N49/100</f>
        <v>1822.645</v>
      </c>
      <c r="AG49" s="59">
        <f>SUM(AG48:$AW48)*$N49/100</f>
        <v>530.1</v>
      </c>
      <c r="AH49" s="59">
        <v>0</v>
      </c>
      <c r="AI49" s="59">
        <v>0</v>
      </c>
      <c r="AJ49" s="59">
        <v>0</v>
      </c>
      <c r="AK49" s="59">
        <v>0</v>
      </c>
      <c r="AL49" s="59">
        <v>0</v>
      </c>
      <c r="AM49" s="59">
        <v>0</v>
      </c>
      <c r="AN49" s="59">
        <v>0</v>
      </c>
      <c r="AO49" s="59">
        <v>0</v>
      </c>
      <c r="AP49" s="59">
        <v>0</v>
      </c>
      <c r="AQ49" s="59">
        <v>0</v>
      </c>
      <c r="AR49" s="59">
        <v>0</v>
      </c>
      <c r="AS49" s="59">
        <v>0</v>
      </c>
      <c r="AT49" s="59">
        <v>0</v>
      </c>
      <c r="AU49" s="59">
        <v>0</v>
      </c>
      <c r="AV49" s="59">
        <v>0</v>
      </c>
      <c r="AW49" s="59">
        <v>0</v>
      </c>
      <c r="AX49" s="59"/>
      <c r="AY49" s="59"/>
      <c r="AZ49" s="60">
        <f t="shared" si="4"/>
        <v>595347.16500000004</v>
      </c>
      <c r="BA49" s="46">
        <f t="shared" si="1"/>
        <v>0</v>
      </c>
      <c r="BB49" s="61">
        <f t="shared" si="5"/>
        <v>64400.01999999999</v>
      </c>
      <c r="BC49" s="62">
        <f t="shared" si="6"/>
        <v>595347.16500000004</v>
      </c>
      <c r="BE49" s="33" t="b">
        <f t="shared" si="2"/>
        <v>1</v>
      </c>
    </row>
    <row r="50" spans="1:58" s="33" customFormat="1" outlineLevel="1" x14ac:dyDescent="0.3">
      <c r="B50" s="34" t="s">
        <v>751</v>
      </c>
      <c r="C50" s="35">
        <v>23</v>
      </c>
      <c r="D50" s="36" t="s">
        <v>823</v>
      </c>
      <c r="E50" s="37" t="s">
        <v>55</v>
      </c>
      <c r="F50" s="38" t="s">
        <v>56</v>
      </c>
      <c r="G50" s="38" t="s">
        <v>180</v>
      </c>
      <c r="H50" s="38" t="s">
        <v>179</v>
      </c>
      <c r="I50" s="38" t="s">
        <v>9</v>
      </c>
      <c r="J50" s="39">
        <v>117517</v>
      </c>
      <c r="K50" s="40">
        <v>11109</v>
      </c>
      <c r="L50" s="40"/>
      <c r="M50" s="40"/>
      <c r="N50" s="41"/>
      <c r="O50" s="41"/>
      <c r="P50" s="41"/>
      <c r="Q50" s="41" t="s">
        <v>8</v>
      </c>
      <c r="R50" s="42">
        <v>483</v>
      </c>
      <c r="S50" s="42">
        <v>1449</v>
      </c>
      <c r="T50" s="43">
        <f t="shared" si="3"/>
        <v>1932</v>
      </c>
      <c r="U50" s="184">
        <f t="shared" si="0"/>
        <v>0</v>
      </c>
      <c r="V50" s="44">
        <v>1932</v>
      </c>
      <c r="W50" s="44">
        <v>1932</v>
      </c>
      <c r="X50" s="44">
        <v>1932</v>
      </c>
      <c r="Y50" s="44">
        <v>1932</v>
      </c>
      <c r="Z50" s="44">
        <v>1932</v>
      </c>
      <c r="AA50" s="44">
        <v>483</v>
      </c>
      <c r="AB50" s="44">
        <v>0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4"/>
      <c r="AY50" s="44"/>
      <c r="AZ50" s="45">
        <f t="shared" si="4"/>
        <v>10143</v>
      </c>
      <c r="BA50" s="46">
        <f t="shared" si="1"/>
        <v>0</v>
      </c>
      <c r="BB50" s="47">
        <f t="shared" si="5"/>
        <v>0</v>
      </c>
      <c r="BC50" s="48">
        <f t="shared" si="6"/>
        <v>10143</v>
      </c>
      <c r="BE50" s="33" t="b">
        <f t="shared" si="2"/>
        <v>1</v>
      </c>
      <c r="BF50" s="49"/>
    </row>
    <row r="51" spans="1:58" outlineLevel="1" x14ac:dyDescent="0.3">
      <c r="B51" s="50" t="s">
        <v>751</v>
      </c>
      <c r="C51" s="51"/>
      <c r="D51" s="52" t="s">
        <v>824</v>
      </c>
      <c r="E51" s="53"/>
      <c r="F51" s="54"/>
      <c r="G51" s="54"/>
      <c r="H51" s="54"/>
      <c r="I51" s="54"/>
      <c r="J51" s="55"/>
      <c r="K51" s="55"/>
      <c r="L51" s="55" t="s">
        <v>178</v>
      </c>
      <c r="M51" s="55"/>
      <c r="N51" s="56">
        <f t="shared" si="7"/>
        <v>4.0709999999999997</v>
      </c>
      <c r="O51" s="56">
        <v>4.0709999999999997</v>
      </c>
      <c r="P51" s="56">
        <f>$P$4</f>
        <v>0</v>
      </c>
      <c r="Q51" s="56" t="s">
        <v>10</v>
      </c>
      <c r="R51" s="57">
        <v>200.39</v>
      </c>
      <c r="S51" s="57">
        <v>181.03</v>
      </c>
      <c r="T51" s="58">
        <f t="shared" si="3"/>
        <v>381.41999999999996</v>
      </c>
      <c r="U51" s="185">
        <f t="shared" si="0"/>
        <v>0.50153000000000247</v>
      </c>
      <c r="V51" s="59">
        <f>SUM(V50:$AW50)*$N51/100-31</f>
        <v>381.92152999999996</v>
      </c>
      <c r="W51" s="59">
        <f>SUM(W50:$AW50)*$N51/100</f>
        <v>334.26981000000001</v>
      </c>
      <c r="X51" s="59">
        <f>SUM(X50:$AW50)*$N51/100</f>
        <v>255.61808999999997</v>
      </c>
      <c r="Y51" s="59">
        <f>SUM(Y50:$AW50)*$N51/100</f>
        <v>176.96636999999998</v>
      </c>
      <c r="Z51" s="59">
        <f>SUM(Z50:$AW50)*$N51/100</f>
        <v>98.31465</v>
      </c>
      <c r="AA51" s="59">
        <f>SUM(AA50:$AW50)*$N51/100</f>
        <v>19.662929999999999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v>0</v>
      </c>
      <c r="AM51" s="59">
        <v>0</v>
      </c>
      <c r="AN51" s="59">
        <v>0</v>
      </c>
      <c r="AO51" s="59">
        <v>0</v>
      </c>
      <c r="AP51" s="59">
        <v>0</v>
      </c>
      <c r="AQ51" s="59">
        <v>0</v>
      </c>
      <c r="AR51" s="59">
        <v>0</v>
      </c>
      <c r="AS51" s="59">
        <v>0</v>
      </c>
      <c r="AT51" s="59">
        <v>0</v>
      </c>
      <c r="AU51" s="59">
        <v>0</v>
      </c>
      <c r="AV51" s="59">
        <v>0</v>
      </c>
      <c r="AW51" s="59">
        <v>0</v>
      </c>
      <c r="AX51" s="59"/>
      <c r="AY51" s="59"/>
      <c r="AZ51" s="60">
        <f t="shared" si="4"/>
        <v>1266.7533799999999</v>
      </c>
      <c r="BA51" s="46">
        <f t="shared" si="1"/>
        <v>0</v>
      </c>
      <c r="BB51" s="61">
        <f t="shared" si="5"/>
        <v>0</v>
      </c>
      <c r="BC51" s="62">
        <f t="shared" si="6"/>
        <v>1266.7533799999999</v>
      </c>
      <c r="BE51" s="33" t="b">
        <f t="shared" si="2"/>
        <v>1</v>
      </c>
    </row>
    <row r="52" spans="1:58" s="33" customFormat="1" outlineLevel="1" x14ac:dyDescent="0.3">
      <c r="B52" s="34" t="s">
        <v>751</v>
      </c>
      <c r="C52" s="35">
        <v>24</v>
      </c>
      <c r="D52" s="36" t="s">
        <v>858</v>
      </c>
      <c r="E52" s="37" t="s">
        <v>57</v>
      </c>
      <c r="F52" s="38" t="s">
        <v>58</v>
      </c>
      <c r="G52" s="38" t="s">
        <v>183</v>
      </c>
      <c r="H52" s="38" t="s">
        <v>182</v>
      </c>
      <c r="I52" s="38" t="s">
        <v>9</v>
      </c>
      <c r="J52" s="39">
        <v>2227434</v>
      </c>
      <c r="K52" s="40">
        <v>1831440</v>
      </c>
      <c r="L52" s="40"/>
      <c r="M52" s="40"/>
      <c r="N52" s="41"/>
      <c r="O52" s="41"/>
      <c r="P52" s="41"/>
      <c r="Q52" s="41" t="s">
        <v>8</v>
      </c>
      <c r="R52" s="42">
        <v>17610</v>
      </c>
      <c r="S52" s="42">
        <v>52830</v>
      </c>
      <c r="T52" s="43">
        <f t="shared" si="3"/>
        <v>70440</v>
      </c>
      <c r="U52" s="184">
        <f t="shared" si="0"/>
        <v>0</v>
      </c>
      <c r="V52" s="44">
        <v>70440</v>
      </c>
      <c r="W52" s="44">
        <v>70440</v>
      </c>
      <c r="X52" s="44">
        <v>70440</v>
      </c>
      <c r="Y52" s="44">
        <v>70440</v>
      </c>
      <c r="Z52" s="44">
        <v>70440</v>
      </c>
      <c r="AA52" s="44">
        <v>70440</v>
      </c>
      <c r="AB52" s="44">
        <v>70440</v>
      </c>
      <c r="AC52" s="44">
        <v>70440</v>
      </c>
      <c r="AD52" s="44">
        <v>70440</v>
      </c>
      <c r="AE52" s="44">
        <v>70440</v>
      </c>
      <c r="AF52" s="44">
        <v>70440</v>
      </c>
      <c r="AG52" s="44">
        <v>70440</v>
      </c>
      <c r="AH52" s="44">
        <v>70440</v>
      </c>
      <c r="AI52" s="44">
        <v>70440</v>
      </c>
      <c r="AJ52" s="44">
        <v>70440</v>
      </c>
      <c r="AK52" s="44">
        <v>70440</v>
      </c>
      <c r="AL52" s="44">
        <v>70440</v>
      </c>
      <c r="AM52" s="44">
        <v>70440</v>
      </c>
      <c r="AN52" s="44">
        <v>70440</v>
      </c>
      <c r="AO52" s="44">
        <v>70440</v>
      </c>
      <c r="AP52" s="44">
        <v>70440</v>
      </c>
      <c r="AQ52" s="44">
        <v>70440</v>
      </c>
      <c r="AR52" s="44">
        <v>70440</v>
      </c>
      <c r="AS52" s="44">
        <v>70440</v>
      </c>
      <c r="AT52" s="44">
        <v>70440</v>
      </c>
      <c r="AU52" s="44">
        <v>35220</v>
      </c>
      <c r="AV52" s="44">
        <v>0</v>
      </c>
      <c r="AW52" s="44">
        <v>0</v>
      </c>
      <c r="AX52" s="44"/>
      <c r="AY52" s="44"/>
      <c r="AZ52" s="45">
        <f t="shared" si="4"/>
        <v>1796220</v>
      </c>
      <c r="BA52" s="46">
        <f t="shared" si="1"/>
        <v>0</v>
      </c>
      <c r="BB52" s="47">
        <f t="shared" si="5"/>
        <v>1303140</v>
      </c>
      <c r="BC52" s="48">
        <f t="shared" si="6"/>
        <v>1796220</v>
      </c>
      <c r="BE52" s="33" t="b">
        <f t="shared" si="2"/>
        <v>1</v>
      </c>
      <c r="BF52" s="49"/>
    </row>
    <row r="53" spans="1:58" outlineLevel="1" x14ac:dyDescent="0.3">
      <c r="B53" s="50" t="s">
        <v>751</v>
      </c>
      <c r="C53" s="51"/>
      <c r="D53" s="52" t="s">
        <v>859</v>
      </c>
      <c r="E53" s="53"/>
      <c r="F53" s="54"/>
      <c r="G53" s="54"/>
      <c r="H53" s="54"/>
      <c r="I53" s="54"/>
      <c r="J53" s="55"/>
      <c r="K53" s="55"/>
      <c r="L53" s="55" t="s">
        <v>181</v>
      </c>
      <c r="M53" s="55"/>
      <c r="N53" s="56">
        <f t="shared" si="7"/>
        <v>4.1890000000000001</v>
      </c>
      <c r="O53" s="56">
        <v>4.1890000000000001</v>
      </c>
      <c r="P53" s="56">
        <f>$P$4</f>
        <v>0</v>
      </c>
      <c r="Q53" s="56" t="s">
        <v>10</v>
      </c>
      <c r="R53" s="57">
        <v>36097.19</v>
      </c>
      <c r="S53" s="57">
        <v>34248.94</v>
      </c>
      <c r="T53" s="58">
        <f t="shared" si="3"/>
        <v>70346.13</v>
      </c>
      <c r="U53" s="185">
        <f t="shared" si="0"/>
        <v>0.52580000000307336</v>
      </c>
      <c r="V53" s="59">
        <f>SUM(V52:$AW52)*$N53/100-4897</f>
        <v>70346.655800000008</v>
      </c>
      <c r="W53" s="59">
        <f>SUM(W52:$AW52)*$N53/100</f>
        <v>72292.924199999994</v>
      </c>
      <c r="X53" s="59">
        <f>SUM(X52:$AW52)*$N53/100</f>
        <v>69342.192599999995</v>
      </c>
      <c r="Y53" s="59">
        <f>SUM(Y52:$AW52)*$N53/100</f>
        <v>66391.460999999996</v>
      </c>
      <c r="Z53" s="59">
        <f>SUM(Z52:$AW52)*$N53/100</f>
        <v>63440.729400000004</v>
      </c>
      <c r="AA53" s="59">
        <f>SUM(AA52:$AW52)*$N53/100</f>
        <v>60489.997800000005</v>
      </c>
      <c r="AB53" s="59">
        <f>SUM(AB52:$AW52)*$N53/100</f>
        <v>57539.266199999998</v>
      </c>
      <c r="AC53" s="59">
        <f>SUM(AC52:$AW52)*$N53/100</f>
        <v>54588.534599999999</v>
      </c>
      <c r="AD53" s="59">
        <f>SUM(AD52:$AW52)*$N53/100</f>
        <v>51637.803</v>
      </c>
      <c r="AE53" s="59">
        <f>SUM(AE52:$AW52)*$N53/100</f>
        <v>48687.071399999993</v>
      </c>
      <c r="AF53" s="59">
        <f>SUM(AF52:$AW52)*$N53/100</f>
        <v>45736.339800000002</v>
      </c>
      <c r="AG53" s="59">
        <f>SUM(AG52:$AW52)*$N53/100</f>
        <v>42785.608200000002</v>
      </c>
      <c r="AH53" s="59">
        <f>SUM(AH52:$AW52)*$N53/100</f>
        <v>39834.876600000003</v>
      </c>
      <c r="AI53" s="59">
        <f>SUM(AI52:$AW52)*$N53/100</f>
        <v>36884.144999999997</v>
      </c>
      <c r="AJ53" s="59">
        <f>SUM(AJ52:$AW52)*$N53/100</f>
        <v>33933.413399999998</v>
      </c>
      <c r="AK53" s="59">
        <f>SUM(AK52:$AW52)*$N53/100</f>
        <v>30982.681800000002</v>
      </c>
      <c r="AL53" s="59">
        <f>SUM(AL52:$AW52)*$N53/100</f>
        <v>28031.950199999999</v>
      </c>
      <c r="AM53" s="59">
        <f>SUM(AM52:$AW52)*$N53/100</f>
        <v>25081.2186</v>
      </c>
      <c r="AN53" s="59">
        <f>SUM(AN52:$AW52)*$N53/100</f>
        <v>22130.487000000001</v>
      </c>
      <c r="AO53" s="59">
        <f>SUM(AO52:$AW52)*$N53/100</f>
        <v>19179.755400000002</v>
      </c>
      <c r="AP53" s="59">
        <f>SUM(AP52:$AW52)*$N53/100</f>
        <v>16229.023800000001</v>
      </c>
      <c r="AQ53" s="59">
        <f>SUM(AQ52:$AW52)*$N53/100</f>
        <v>13278.2922</v>
      </c>
      <c r="AR53" s="59">
        <f>SUM(AR52:$AW52)*$N53/100</f>
        <v>10327.560600000001</v>
      </c>
      <c r="AS53" s="59">
        <f>SUM(AS52:$AW52)*$N53/100</f>
        <v>7376.8290000000006</v>
      </c>
      <c r="AT53" s="59">
        <f>SUM(AT52:$AW52)*$N53/100</f>
        <v>4426.0973999999997</v>
      </c>
      <c r="AU53" s="59">
        <f>SUM(AU52:$AW52)*$N53/100</f>
        <v>1475.3658000000003</v>
      </c>
      <c r="AV53" s="59">
        <v>0</v>
      </c>
      <c r="AW53" s="59">
        <v>0</v>
      </c>
      <c r="AX53" s="59"/>
      <c r="AY53" s="59"/>
      <c r="AZ53" s="60">
        <f t="shared" si="4"/>
        <v>992450.28079999995</v>
      </c>
      <c r="BA53" s="46">
        <f t="shared" si="1"/>
        <v>0</v>
      </c>
      <c r="BB53" s="61">
        <f t="shared" si="5"/>
        <v>532607.05380000023</v>
      </c>
      <c r="BC53" s="62">
        <f t="shared" si="6"/>
        <v>992450.2808000003</v>
      </c>
      <c r="BE53" s="33" t="b">
        <f t="shared" si="2"/>
        <v>1</v>
      </c>
    </row>
    <row r="54" spans="1:58" s="33" customFormat="1" outlineLevel="1" x14ac:dyDescent="0.3">
      <c r="B54" s="34" t="s">
        <v>750</v>
      </c>
      <c r="C54" s="35">
        <v>25</v>
      </c>
      <c r="D54" s="36" t="s">
        <v>730</v>
      </c>
      <c r="E54" s="37" t="s">
        <v>59</v>
      </c>
      <c r="F54" s="38" t="s">
        <v>60</v>
      </c>
      <c r="G54" s="38" t="s">
        <v>186</v>
      </c>
      <c r="H54" s="38" t="s">
        <v>185</v>
      </c>
      <c r="I54" s="38" t="s">
        <v>9</v>
      </c>
      <c r="J54" s="39">
        <v>531484</v>
      </c>
      <c r="K54" s="40">
        <v>412380</v>
      </c>
      <c r="L54" s="40"/>
      <c r="M54" s="40"/>
      <c r="N54" s="41"/>
      <c r="O54" s="41">
        <v>2.4700000000000002</v>
      </c>
      <c r="P54" s="41"/>
      <c r="Q54" s="41" t="s">
        <v>8</v>
      </c>
      <c r="R54" s="42">
        <v>9164</v>
      </c>
      <c r="S54" s="42">
        <v>27492</v>
      </c>
      <c r="T54" s="43">
        <f t="shared" si="3"/>
        <v>36656</v>
      </c>
      <c r="U54" s="181">
        <f t="shared" si="0"/>
        <v>0</v>
      </c>
      <c r="V54" s="44">
        <v>36656</v>
      </c>
      <c r="W54" s="44">
        <v>36656</v>
      </c>
      <c r="X54" s="44">
        <v>36656</v>
      </c>
      <c r="Y54" s="44">
        <v>36656</v>
      </c>
      <c r="Z54" s="44">
        <v>36656</v>
      </c>
      <c r="AA54" s="44">
        <v>36656</v>
      </c>
      <c r="AB54" s="44">
        <v>36656</v>
      </c>
      <c r="AC54" s="44">
        <v>36656</v>
      </c>
      <c r="AD54" s="44">
        <v>36656</v>
      </c>
      <c r="AE54" s="44">
        <v>36656</v>
      </c>
      <c r="AF54" s="44">
        <v>27492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4"/>
      <c r="AY54" s="44"/>
      <c r="AZ54" s="45">
        <f t="shared" si="4"/>
        <v>394052</v>
      </c>
      <c r="BA54" s="46">
        <f t="shared" si="1"/>
        <v>0</v>
      </c>
      <c r="BB54" s="47">
        <f t="shared" si="5"/>
        <v>137460</v>
      </c>
      <c r="BC54" s="48">
        <f t="shared" si="6"/>
        <v>394052</v>
      </c>
      <c r="BE54" s="33" t="b">
        <f t="shared" si="2"/>
        <v>1</v>
      </c>
      <c r="BF54" s="49"/>
    </row>
    <row r="55" spans="1:58" outlineLevel="1" x14ac:dyDescent="0.3">
      <c r="B55" s="50" t="s">
        <v>750</v>
      </c>
      <c r="C55" s="51"/>
      <c r="D55" s="52"/>
      <c r="E55" s="53"/>
      <c r="F55" s="54"/>
      <c r="G55" s="54"/>
      <c r="H55" s="54"/>
      <c r="I55" s="54"/>
      <c r="J55" s="55"/>
      <c r="K55" s="55"/>
      <c r="L55" s="55" t="s">
        <v>184</v>
      </c>
      <c r="M55" s="55"/>
      <c r="N55" s="56">
        <f t="shared" si="7"/>
        <v>4.1500000000000004</v>
      </c>
      <c r="O55" s="64">
        <v>4.1500000000000004</v>
      </c>
      <c r="P55" s="56">
        <f>$P$4</f>
        <v>0</v>
      </c>
      <c r="Q55" s="56" t="s">
        <v>10</v>
      </c>
      <c r="R55" s="57">
        <v>8365.61</v>
      </c>
      <c r="S55" s="57">
        <v>8110.8899999999994</v>
      </c>
      <c r="T55" s="58">
        <f t="shared" si="3"/>
        <v>16476.5</v>
      </c>
      <c r="U55" s="182">
        <f t="shared" si="0"/>
        <v>0.65800000000308501</v>
      </c>
      <c r="V55" s="59">
        <f>SUM(V54:$AW54)*$N55/100+124</f>
        <v>16477.158000000003</v>
      </c>
      <c r="W55" s="59">
        <f>SUM(W54:$AW54)*$N55/100</f>
        <v>14831.934000000001</v>
      </c>
      <c r="X55" s="59">
        <f>SUM(X54:$AW54)*$N55/100</f>
        <v>13310.71</v>
      </c>
      <c r="Y55" s="59">
        <f>SUM(Y54:$AW54)*$N55/100</f>
        <v>11789.486000000001</v>
      </c>
      <c r="Z55" s="59">
        <f>SUM(Z54:$AW54)*$N55/100</f>
        <v>10268.262000000001</v>
      </c>
      <c r="AA55" s="59">
        <f>SUM(AA54:$AW54)*$N55/100</f>
        <v>8747.0380000000005</v>
      </c>
      <c r="AB55" s="59">
        <f>SUM(AB54:$AW54)*$N55/100</f>
        <v>7225.8140000000003</v>
      </c>
      <c r="AC55" s="59">
        <f>SUM(AC54:$AW54)*$N55/100</f>
        <v>5704.59</v>
      </c>
      <c r="AD55" s="59">
        <f>SUM(AD54:$AW54)*$N55/100</f>
        <v>4183.366</v>
      </c>
      <c r="AE55" s="59">
        <f>SUM(AE54:$AW54)*$N55/100</f>
        <v>2662.1420000000003</v>
      </c>
      <c r="AF55" s="59">
        <f>SUM(AF54:$AW54)*$N55/100</f>
        <v>1140.9180000000001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v>0</v>
      </c>
      <c r="AM55" s="59">
        <v>0</v>
      </c>
      <c r="AN55" s="59">
        <v>0</v>
      </c>
      <c r="AO55" s="59">
        <v>0</v>
      </c>
      <c r="AP55" s="59">
        <v>0</v>
      </c>
      <c r="AQ55" s="59">
        <v>0</v>
      </c>
      <c r="AR55" s="59">
        <v>0</v>
      </c>
      <c r="AS55" s="59">
        <v>0</v>
      </c>
      <c r="AT55" s="59">
        <v>0</v>
      </c>
      <c r="AU55" s="59">
        <v>0</v>
      </c>
      <c r="AV55" s="59">
        <v>0</v>
      </c>
      <c r="AW55" s="59">
        <v>0</v>
      </c>
      <c r="AX55" s="59"/>
      <c r="AY55" s="59"/>
      <c r="AZ55" s="60">
        <f t="shared" si="4"/>
        <v>96341.418000000005</v>
      </c>
      <c r="BA55" s="46">
        <f t="shared" si="1"/>
        <v>0</v>
      </c>
      <c r="BB55" s="61">
        <f t="shared" si="5"/>
        <v>13691.016</v>
      </c>
      <c r="BC55" s="62">
        <f t="shared" si="6"/>
        <v>96341.418000000005</v>
      </c>
      <c r="BE55" s="33" t="b">
        <f t="shared" si="2"/>
        <v>1</v>
      </c>
    </row>
    <row r="56" spans="1:58" s="33" customFormat="1" outlineLevel="1" x14ac:dyDescent="0.3">
      <c r="B56" s="34" t="s">
        <v>751</v>
      </c>
      <c r="C56" s="35">
        <v>26</v>
      </c>
      <c r="D56" s="36" t="s">
        <v>738</v>
      </c>
      <c r="E56" s="37" t="s">
        <v>61</v>
      </c>
      <c r="F56" s="38" t="s">
        <v>62</v>
      </c>
      <c r="G56" s="38" t="s">
        <v>189</v>
      </c>
      <c r="H56" s="38" t="s">
        <v>188</v>
      </c>
      <c r="I56" s="38" t="s">
        <v>9</v>
      </c>
      <c r="J56" s="39">
        <v>583938.46</v>
      </c>
      <c r="K56" s="40">
        <v>520872</v>
      </c>
      <c r="L56" s="40"/>
      <c r="M56" s="40"/>
      <c r="N56" s="41"/>
      <c r="O56" s="41">
        <v>2.8109999999999999</v>
      </c>
      <c r="P56" s="41"/>
      <c r="Q56" s="41" t="s">
        <v>8</v>
      </c>
      <c r="R56" s="42">
        <v>7892</v>
      </c>
      <c r="S56" s="42">
        <v>23676</v>
      </c>
      <c r="T56" s="43">
        <f t="shared" si="3"/>
        <v>31568</v>
      </c>
      <c r="U56" s="181">
        <f t="shared" si="0"/>
        <v>0</v>
      </c>
      <c r="V56" s="44">
        <v>31568</v>
      </c>
      <c r="W56" s="44">
        <v>31568</v>
      </c>
      <c r="X56" s="44">
        <v>31568</v>
      </c>
      <c r="Y56" s="44">
        <v>31568</v>
      </c>
      <c r="Z56" s="44">
        <v>31568</v>
      </c>
      <c r="AA56" s="44">
        <v>31568</v>
      </c>
      <c r="AB56" s="44">
        <v>31568</v>
      </c>
      <c r="AC56" s="44">
        <v>31568</v>
      </c>
      <c r="AD56" s="44">
        <v>31568</v>
      </c>
      <c r="AE56" s="44">
        <v>31568</v>
      </c>
      <c r="AF56" s="44">
        <v>31568</v>
      </c>
      <c r="AG56" s="44">
        <v>31568</v>
      </c>
      <c r="AH56" s="44">
        <v>31568</v>
      </c>
      <c r="AI56" s="44">
        <v>31568</v>
      </c>
      <c r="AJ56" s="44">
        <v>31568</v>
      </c>
      <c r="AK56" s="44">
        <v>31568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4"/>
      <c r="AY56" s="44"/>
      <c r="AZ56" s="45">
        <f t="shared" si="4"/>
        <v>505088</v>
      </c>
      <c r="BA56" s="46">
        <f t="shared" si="1"/>
        <v>0</v>
      </c>
      <c r="BB56" s="47">
        <f t="shared" si="5"/>
        <v>284112</v>
      </c>
      <c r="BC56" s="48">
        <f t="shared" si="6"/>
        <v>505088</v>
      </c>
      <c r="BE56" s="33" t="b">
        <f t="shared" si="2"/>
        <v>1</v>
      </c>
      <c r="BF56" s="49"/>
    </row>
    <row r="57" spans="1:58" outlineLevel="1" x14ac:dyDescent="0.3">
      <c r="B57" s="50" t="s">
        <v>751</v>
      </c>
      <c r="C57" s="51"/>
      <c r="D57" s="52"/>
      <c r="E57" s="53"/>
      <c r="F57" s="54"/>
      <c r="G57" s="54"/>
      <c r="H57" s="54"/>
      <c r="I57" s="54"/>
      <c r="J57" s="55"/>
      <c r="K57" s="55"/>
      <c r="L57" s="55" t="s">
        <v>187</v>
      </c>
      <c r="M57" s="55"/>
      <c r="N57" s="56">
        <f t="shared" si="7"/>
        <v>4.1500000000000004</v>
      </c>
      <c r="O57" s="64">
        <v>4.1500000000000004</v>
      </c>
      <c r="P57" s="56">
        <f>$P$4</f>
        <v>0</v>
      </c>
      <c r="Q57" s="56" t="s">
        <v>10</v>
      </c>
      <c r="R57" s="57">
        <v>9365.89</v>
      </c>
      <c r="S57" s="57">
        <v>10244.91</v>
      </c>
      <c r="T57" s="58">
        <f t="shared" si="3"/>
        <v>19610.8</v>
      </c>
      <c r="U57" s="190">
        <f t="shared" si="0"/>
        <v>2000.3520000000026</v>
      </c>
      <c r="V57" s="59">
        <f>SUM(V56:$AW56)*$N57/100-1350+2000</f>
        <v>21611.152000000002</v>
      </c>
      <c r="W57" s="59">
        <f>SUM(W56:$AW56)*$N57/100</f>
        <v>19651.080000000002</v>
      </c>
      <c r="X57" s="59">
        <f>SUM(X56:$AW56)*$N57/100</f>
        <v>18341.008000000002</v>
      </c>
      <c r="Y57" s="59">
        <f>SUM(Y56:$AW56)*$N57/100</f>
        <v>17030.936000000002</v>
      </c>
      <c r="Z57" s="59">
        <f>SUM(Z56:$AW56)*$N57/100</f>
        <v>15720.864000000001</v>
      </c>
      <c r="AA57" s="59">
        <f>SUM(AA56:$AW56)*$N57/100</f>
        <v>14410.792000000001</v>
      </c>
      <c r="AB57" s="59">
        <f>SUM(AB56:$AW56)*$N57/100</f>
        <v>13100.72</v>
      </c>
      <c r="AC57" s="59">
        <f>SUM(AC56:$AW56)*$N57/100</f>
        <v>11790.648000000001</v>
      </c>
      <c r="AD57" s="59">
        <f>SUM(AD56:$AW56)*$N57/100</f>
        <v>10480.576000000001</v>
      </c>
      <c r="AE57" s="59">
        <f>SUM(AE56:$AW56)*$N57/100</f>
        <v>9170.5040000000008</v>
      </c>
      <c r="AF57" s="59">
        <f>SUM(AF56:$AW56)*$N57/100</f>
        <v>7860.4320000000007</v>
      </c>
      <c r="AG57" s="59">
        <f>SUM(AG56:$AW56)*$N57/100</f>
        <v>6550.36</v>
      </c>
      <c r="AH57" s="59">
        <f>SUM(AH56:$AW56)*$N57/100</f>
        <v>5240.2880000000005</v>
      </c>
      <c r="AI57" s="59">
        <f>SUM(AI56:$AW56)*$N57/100</f>
        <v>3930.2160000000003</v>
      </c>
      <c r="AJ57" s="59">
        <f>SUM(AJ56:$AW56)*$N57/100</f>
        <v>2620.1440000000002</v>
      </c>
      <c r="AK57" s="59">
        <f>SUM(AK56:$AW56)*$N57/100</f>
        <v>1310.0720000000001</v>
      </c>
      <c r="AL57" s="59">
        <v>0</v>
      </c>
      <c r="AM57" s="59">
        <v>0</v>
      </c>
      <c r="AN57" s="59">
        <v>0</v>
      </c>
      <c r="AO57" s="59">
        <v>0</v>
      </c>
      <c r="AP57" s="59">
        <v>0</v>
      </c>
      <c r="AQ57" s="59">
        <v>0</v>
      </c>
      <c r="AR57" s="59">
        <v>0</v>
      </c>
      <c r="AS57" s="59">
        <v>0</v>
      </c>
      <c r="AT57" s="59">
        <v>0</v>
      </c>
      <c r="AU57" s="59">
        <v>0</v>
      </c>
      <c r="AV57" s="59">
        <v>0</v>
      </c>
      <c r="AW57" s="59">
        <v>0</v>
      </c>
      <c r="AX57" s="59"/>
      <c r="AY57" s="59"/>
      <c r="AZ57" s="60">
        <f t="shared" si="4"/>
        <v>178819.79200000002</v>
      </c>
      <c r="BA57" s="46">
        <f t="shared" si="1"/>
        <v>0</v>
      </c>
      <c r="BB57" s="61">
        <f t="shared" si="5"/>
        <v>58953.240000000005</v>
      </c>
      <c r="BC57" s="62">
        <f t="shared" si="6"/>
        <v>178819.79200000002</v>
      </c>
      <c r="BE57" s="33" t="b">
        <f t="shared" si="2"/>
        <v>1</v>
      </c>
    </row>
    <row r="58" spans="1:58" s="33" customFormat="1" outlineLevel="1" x14ac:dyDescent="0.3">
      <c r="B58" s="34" t="s">
        <v>750</v>
      </c>
      <c r="C58" s="35">
        <v>27</v>
      </c>
      <c r="D58" s="36" t="s">
        <v>726</v>
      </c>
      <c r="E58" s="37" t="s">
        <v>63</v>
      </c>
      <c r="F58" s="38" t="s">
        <v>64</v>
      </c>
      <c r="G58" s="38" t="s">
        <v>192</v>
      </c>
      <c r="H58" s="38" t="s">
        <v>191</v>
      </c>
      <c r="I58" s="38" t="s">
        <v>9</v>
      </c>
      <c r="J58" s="39">
        <v>2556845.52</v>
      </c>
      <c r="K58" s="40">
        <v>2388377.52</v>
      </c>
      <c r="L58" s="40"/>
      <c r="M58" s="40"/>
      <c r="N58" s="41"/>
      <c r="O58" s="41"/>
      <c r="P58" s="41"/>
      <c r="Q58" s="41" t="s">
        <v>8</v>
      </c>
      <c r="R58" s="42">
        <v>24079</v>
      </c>
      <c r="S58" s="42">
        <v>72237</v>
      </c>
      <c r="T58" s="43">
        <f>SUM(R58:S58)</f>
        <v>96316</v>
      </c>
      <c r="U58" s="181">
        <f t="shared" si="0"/>
        <v>0</v>
      </c>
      <c r="V58" s="44">
        <v>96316</v>
      </c>
      <c r="W58" s="44">
        <v>96316</v>
      </c>
      <c r="X58" s="44">
        <v>96316</v>
      </c>
      <c r="Y58" s="44">
        <v>96316</v>
      </c>
      <c r="Z58" s="44">
        <v>96316</v>
      </c>
      <c r="AA58" s="44">
        <v>96316</v>
      </c>
      <c r="AB58" s="44">
        <v>96316</v>
      </c>
      <c r="AC58" s="44">
        <v>96316</v>
      </c>
      <c r="AD58" s="44">
        <v>96316</v>
      </c>
      <c r="AE58" s="44">
        <v>96316</v>
      </c>
      <c r="AF58" s="44">
        <v>96316</v>
      </c>
      <c r="AG58" s="44">
        <v>96316</v>
      </c>
      <c r="AH58" s="44">
        <v>96316</v>
      </c>
      <c r="AI58" s="44">
        <v>96316</v>
      </c>
      <c r="AJ58" s="44">
        <v>96316</v>
      </c>
      <c r="AK58" s="44">
        <v>96316</v>
      </c>
      <c r="AL58" s="44">
        <v>96316</v>
      </c>
      <c r="AM58" s="44">
        <v>96316</v>
      </c>
      <c r="AN58" s="44">
        <v>96316</v>
      </c>
      <c r="AO58" s="44">
        <v>96316</v>
      </c>
      <c r="AP58" s="44">
        <v>96316</v>
      </c>
      <c r="AQ58" s="44">
        <v>96316</v>
      </c>
      <c r="AR58" s="44">
        <v>96316</v>
      </c>
      <c r="AS58" s="44">
        <v>96316</v>
      </c>
      <c r="AT58" s="44">
        <v>28635.52</v>
      </c>
      <c r="AU58" s="44">
        <v>0</v>
      </c>
      <c r="AV58" s="44">
        <v>0</v>
      </c>
      <c r="AW58" s="44">
        <v>0</v>
      </c>
      <c r="AX58" s="44"/>
      <c r="AY58" s="44"/>
      <c r="AZ58" s="45">
        <f t="shared" si="4"/>
        <v>2340219.52</v>
      </c>
      <c r="BA58" s="46">
        <f t="shared" si="1"/>
        <v>0</v>
      </c>
      <c r="BB58" s="47">
        <f t="shared" si="5"/>
        <v>1666007.52</v>
      </c>
      <c r="BC58" s="48">
        <f t="shared" si="6"/>
        <v>2340219.52</v>
      </c>
      <c r="BE58" s="33" t="b">
        <f t="shared" si="2"/>
        <v>1</v>
      </c>
      <c r="BF58" s="49"/>
    </row>
    <row r="59" spans="1:58" outlineLevel="1" x14ac:dyDescent="0.3">
      <c r="B59" s="50" t="s">
        <v>750</v>
      </c>
      <c r="C59" s="51"/>
      <c r="D59" s="52"/>
      <c r="E59" s="53"/>
      <c r="F59" s="54"/>
      <c r="G59" s="54"/>
      <c r="H59" s="54"/>
      <c r="I59" s="54"/>
      <c r="J59" s="55"/>
      <c r="K59" s="55"/>
      <c r="L59" s="55" t="s">
        <v>190</v>
      </c>
      <c r="M59" s="55"/>
      <c r="N59" s="56">
        <f t="shared" si="7"/>
        <v>6.0229999999999997</v>
      </c>
      <c r="O59" s="56">
        <v>6.0229999999999997</v>
      </c>
      <c r="P59" s="56">
        <f>$P$4</f>
        <v>0</v>
      </c>
      <c r="Q59" s="56" t="s">
        <v>10</v>
      </c>
      <c r="R59" s="57">
        <v>71924.25</v>
      </c>
      <c r="S59" s="57">
        <v>68910.05</v>
      </c>
      <c r="T59" s="58">
        <f t="shared" si="3"/>
        <v>140834.29999999999</v>
      </c>
      <c r="U59" s="182">
        <f t="shared" si="0"/>
        <v>0.12168959999689832</v>
      </c>
      <c r="V59" s="59">
        <f>SUM(V58:$AW58)*$N59/100-117</f>
        <v>140834.42168959999</v>
      </c>
      <c r="W59" s="59">
        <f>SUM(W58:$AW58)*$N59/100</f>
        <v>135150.30900959999</v>
      </c>
      <c r="X59" s="59">
        <f>SUM(X58:$AW58)*$N59/100</f>
        <v>129349.19632959999</v>
      </c>
      <c r="Y59" s="59">
        <f>SUM(Y58:$AW58)*$N59/100</f>
        <v>123548.0836496</v>
      </c>
      <c r="Z59" s="59">
        <f>SUM(Z58:$AW58)*$N59/100</f>
        <v>117746.97096959999</v>
      </c>
      <c r="AA59" s="59">
        <f>SUM(AA58:$AW58)*$N59/100</f>
        <v>111945.8582896</v>
      </c>
      <c r="AB59" s="59">
        <f>SUM(AB58:$AW58)*$N59/100</f>
        <v>106144.74560960001</v>
      </c>
      <c r="AC59" s="59">
        <f>SUM(AC58:$AW58)*$N59/100</f>
        <v>100343.63292959999</v>
      </c>
      <c r="AD59" s="59">
        <f>SUM(AD58:$AW58)*$N59/100</f>
        <v>94542.520249599998</v>
      </c>
      <c r="AE59" s="59">
        <f>SUM(AE58:$AW58)*$N59/100</f>
        <v>88741.407569599993</v>
      </c>
      <c r="AF59" s="59">
        <f>SUM(AF58:$AW58)*$N59/100</f>
        <v>82940.294889600002</v>
      </c>
      <c r="AG59" s="59">
        <f>SUM(AG58:$AW58)*$N59/100</f>
        <v>77139.182209599996</v>
      </c>
      <c r="AH59" s="59">
        <f>SUM(AH58:$AW58)*$N59/100</f>
        <v>71338.06952959999</v>
      </c>
      <c r="AI59" s="59">
        <f>SUM(AI58:$AW58)*$N59/100</f>
        <v>65536.956849599999</v>
      </c>
      <c r="AJ59" s="59">
        <f>SUM(AJ58:$AW58)*$N59/100</f>
        <v>59735.844169600001</v>
      </c>
      <c r="AK59" s="59">
        <f>SUM(AK58:$AW58)*$N59/100</f>
        <v>53934.731489600003</v>
      </c>
      <c r="AL59" s="59">
        <f>SUM(AL58:$AW58)*$N59/100</f>
        <v>48133.618809599997</v>
      </c>
      <c r="AM59" s="59">
        <f>SUM(AM58:$AW58)*$N59/100</f>
        <v>42332.506129599999</v>
      </c>
      <c r="AN59" s="59">
        <f>SUM(AN58:$AW58)*$N59/100</f>
        <v>36531.3934496</v>
      </c>
      <c r="AO59" s="59">
        <f>SUM(AO58:$AW58)*$N59/100</f>
        <v>30730.280769599998</v>
      </c>
      <c r="AP59" s="59">
        <f>SUM(AP58:$AW58)*$N59/100</f>
        <v>24929.1680896</v>
      </c>
      <c r="AQ59" s="59">
        <f>SUM(AQ58:$AW58)*$N59/100</f>
        <v>19128.055409599998</v>
      </c>
      <c r="AR59" s="59">
        <f>SUM(AR58:$AW58)*$N59/100</f>
        <v>13326.942729599999</v>
      </c>
      <c r="AS59" s="59">
        <f>SUM(AS58:$AW58)*$N59/100</f>
        <v>7525.8300495999993</v>
      </c>
      <c r="AT59" s="59">
        <f>SUM(AT58:$AW58)*$N59/100</f>
        <v>1724.7173695999998</v>
      </c>
      <c r="AU59" s="59">
        <v>0</v>
      </c>
      <c r="AV59" s="59">
        <v>0</v>
      </c>
      <c r="AW59" s="59">
        <v>0</v>
      </c>
      <c r="AX59" s="59"/>
      <c r="AY59" s="59"/>
      <c r="AZ59" s="60">
        <f t="shared" si="4"/>
        <v>1783334.7382399999</v>
      </c>
      <c r="BA59" s="46">
        <f t="shared" si="1"/>
        <v>0</v>
      </c>
      <c r="BB59" s="61">
        <f t="shared" si="5"/>
        <v>918615.15269280004</v>
      </c>
      <c r="BC59" s="62">
        <f t="shared" si="6"/>
        <v>1783334.7382399999</v>
      </c>
      <c r="BE59" s="33" t="b">
        <f t="shared" si="2"/>
        <v>1</v>
      </c>
    </row>
    <row r="60" spans="1:58" s="33" customFormat="1" outlineLevel="1" x14ac:dyDescent="0.3">
      <c r="B60" s="34" t="s">
        <v>750</v>
      </c>
      <c r="C60" s="35">
        <v>28</v>
      </c>
      <c r="D60" s="36" t="s">
        <v>729</v>
      </c>
      <c r="E60" s="37" t="s">
        <v>65</v>
      </c>
      <c r="F60" s="38" t="s">
        <v>66</v>
      </c>
      <c r="G60" s="38" t="s">
        <v>195</v>
      </c>
      <c r="H60" s="38" t="s">
        <v>194</v>
      </c>
      <c r="I60" s="38" t="s">
        <v>9</v>
      </c>
      <c r="J60" s="39">
        <v>1410783</v>
      </c>
      <c r="K60" s="40">
        <v>1059408</v>
      </c>
      <c r="L60" s="40"/>
      <c r="M60" s="40"/>
      <c r="N60" s="41"/>
      <c r="O60" s="41">
        <v>1.589</v>
      </c>
      <c r="P60" s="41"/>
      <c r="Q60" s="41" t="s">
        <v>8</v>
      </c>
      <c r="R60" s="42">
        <v>22071</v>
      </c>
      <c r="S60" s="42">
        <v>66213</v>
      </c>
      <c r="T60" s="43">
        <f t="shared" si="3"/>
        <v>88284</v>
      </c>
      <c r="U60" s="181">
        <f t="shared" si="0"/>
        <v>0</v>
      </c>
      <c r="V60" s="44">
        <v>88284</v>
      </c>
      <c r="W60" s="44">
        <v>88284</v>
      </c>
      <c r="X60" s="44">
        <v>88284</v>
      </c>
      <c r="Y60" s="44">
        <v>88284</v>
      </c>
      <c r="Z60" s="44">
        <v>88284</v>
      </c>
      <c r="AA60" s="44">
        <v>88284</v>
      </c>
      <c r="AB60" s="44">
        <v>88284</v>
      </c>
      <c r="AC60" s="44">
        <v>88284</v>
      </c>
      <c r="AD60" s="44">
        <v>88284</v>
      </c>
      <c r="AE60" s="44">
        <v>88284</v>
      </c>
      <c r="AF60" s="44">
        <v>88284</v>
      </c>
      <c r="AG60" s="44">
        <v>44142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4"/>
      <c r="AY60" s="44"/>
      <c r="AZ60" s="45">
        <f t="shared" si="4"/>
        <v>1015266</v>
      </c>
      <c r="BA60" s="46">
        <f t="shared" si="1"/>
        <v>0</v>
      </c>
      <c r="BB60" s="47">
        <f t="shared" si="5"/>
        <v>397278</v>
      </c>
      <c r="BC60" s="48">
        <f t="shared" si="6"/>
        <v>1015266</v>
      </c>
      <c r="BE60" s="33" t="b">
        <f t="shared" si="2"/>
        <v>1</v>
      </c>
      <c r="BF60" s="49"/>
    </row>
    <row r="61" spans="1:58" outlineLevel="1" x14ac:dyDescent="0.3">
      <c r="B61" s="50" t="s">
        <v>750</v>
      </c>
      <c r="C61" s="51"/>
      <c r="D61" s="52"/>
      <c r="E61" s="53"/>
      <c r="F61" s="54"/>
      <c r="G61" s="54"/>
      <c r="H61" s="54"/>
      <c r="I61" s="54"/>
      <c r="J61" s="55"/>
      <c r="K61" s="55"/>
      <c r="L61" s="55" t="s">
        <v>193</v>
      </c>
      <c r="M61" s="55"/>
      <c r="N61" s="56">
        <f t="shared" si="7"/>
        <v>5</v>
      </c>
      <c r="O61" s="64">
        <v>5</v>
      </c>
      <c r="P61" s="56">
        <f>$P$4</f>
        <v>0</v>
      </c>
      <c r="Q61" s="56" t="s">
        <v>10</v>
      </c>
      <c r="R61" s="57">
        <v>25810.21</v>
      </c>
      <c r="S61" s="57">
        <v>23344.36</v>
      </c>
      <c r="T61" s="58">
        <f t="shared" si="3"/>
        <v>49154.57</v>
      </c>
      <c r="U61" s="190">
        <f t="shared" si="0"/>
        <v>2000.7300000000032</v>
      </c>
      <c r="V61" s="59">
        <f>SUM(V60:$AW60)*$N61/100-1608+2000</f>
        <v>51155.3</v>
      </c>
      <c r="W61" s="59">
        <f>SUM(W60:$AW60)*$N61/100</f>
        <v>46349.1</v>
      </c>
      <c r="X61" s="59">
        <f>SUM(X60:$AW60)*$N61/100</f>
        <v>41934.9</v>
      </c>
      <c r="Y61" s="59">
        <f>SUM(Y60:$AW60)*$N61/100</f>
        <v>37520.699999999997</v>
      </c>
      <c r="Z61" s="59">
        <f>SUM(Z60:$AW60)*$N61/100</f>
        <v>33106.5</v>
      </c>
      <c r="AA61" s="59">
        <f>SUM(AA60:$AW60)*$N61/100</f>
        <v>28692.3</v>
      </c>
      <c r="AB61" s="59">
        <f>SUM(AB60:$AW60)*$N61/100</f>
        <v>24278.1</v>
      </c>
      <c r="AC61" s="59">
        <f>SUM(AC60:$AW60)*$N61/100</f>
        <v>19863.900000000001</v>
      </c>
      <c r="AD61" s="59">
        <f>SUM(AD60:$AW60)*$N61/100</f>
        <v>15449.7</v>
      </c>
      <c r="AE61" s="59">
        <f>SUM(AE60:$AW60)*$N61/100</f>
        <v>11035.5</v>
      </c>
      <c r="AF61" s="59">
        <f>SUM(AF60:$AW60)*$N61/100</f>
        <v>6621.3</v>
      </c>
      <c r="AG61" s="59">
        <f>SUM(AG60:$AW60)*$N61/100</f>
        <v>2207.1</v>
      </c>
      <c r="AH61" s="59">
        <v>0</v>
      </c>
      <c r="AI61" s="59">
        <v>0</v>
      </c>
      <c r="AJ61" s="59">
        <v>0</v>
      </c>
      <c r="AK61" s="59">
        <v>0</v>
      </c>
      <c r="AL61" s="59">
        <v>0</v>
      </c>
      <c r="AM61" s="59">
        <v>0</v>
      </c>
      <c r="AN61" s="59">
        <v>0</v>
      </c>
      <c r="AO61" s="59">
        <v>0</v>
      </c>
      <c r="AP61" s="59">
        <v>0</v>
      </c>
      <c r="AQ61" s="59">
        <v>0</v>
      </c>
      <c r="AR61" s="59">
        <v>0</v>
      </c>
      <c r="AS61" s="59">
        <v>0</v>
      </c>
      <c r="AT61" s="59">
        <v>0</v>
      </c>
      <c r="AU61" s="59">
        <v>0</v>
      </c>
      <c r="AV61" s="59">
        <v>0</v>
      </c>
      <c r="AW61" s="59">
        <v>0</v>
      </c>
      <c r="AX61" s="59"/>
      <c r="AY61" s="59"/>
      <c r="AZ61" s="60">
        <f t="shared" si="4"/>
        <v>318214.39999999997</v>
      </c>
      <c r="BA61" s="46">
        <f t="shared" si="1"/>
        <v>0</v>
      </c>
      <c r="BB61" s="61">
        <f t="shared" si="5"/>
        <v>55177.500000000007</v>
      </c>
      <c r="BC61" s="62">
        <f t="shared" si="6"/>
        <v>318214.39999999997</v>
      </c>
      <c r="BE61" s="33" t="b">
        <f t="shared" si="2"/>
        <v>1</v>
      </c>
    </row>
    <row r="62" spans="1:58" s="33" customFormat="1" outlineLevel="1" x14ac:dyDescent="0.3">
      <c r="A62" s="33" t="s">
        <v>781</v>
      </c>
      <c r="B62" s="34" t="s">
        <v>751</v>
      </c>
      <c r="C62" s="35">
        <v>29</v>
      </c>
      <c r="D62" s="36" t="s">
        <v>825</v>
      </c>
      <c r="E62" s="37" t="s">
        <v>67</v>
      </c>
      <c r="F62" s="38" t="s">
        <v>68</v>
      </c>
      <c r="G62" s="38" t="s">
        <v>198</v>
      </c>
      <c r="H62" s="38" t="s">
        <v>197</v>
      </c>
      <c r="I62" s="38" t="s">
        <v>9</v>
      </c>
      <c r="J62" s="39">
        <v>824810</v>
      </c>
      <c r="K62" s="40">
        <v>809979</v>
      </c>
      <c r="L62" s="40"/>
      <c r="M62" s="40"/>
      <c r="N62" s="41"/>
      <c r="O62" s="41">
        <v>3.4710000000000001</v>
      </c>
      <c r="P62" s="41"/>
      <c r="Q62" s="41" t="s">
        <v>8</v>
      </c>
      <c r="R62" s="42">
        <v>7431</v>
      </c>
      <c r="S62" s="42">
        <v>22293</v>
      </c>
      <c r="T62" s="43">
        <f t="shared" si="3"/>
        <v>29724</v>
      </c>
      <c r="U62" s="181">
        <f t="shared" si="0"/>
        <v>0</v>
      </c>
      <c r="V62" s="44">
        <v>29724</v>
      </c>
      <c r="W62" s="44">
        <v>29724</v>
      </c>
      <c r="X62" s="44">
        <v>29724</v>
      </c>
      <c r="Y62" s="44">
        <v>29724</v>
      </c>
      <c r="Z62" s="44">
        <v>29724</v>
      </c>
      <c r="AA62" s="44">
        <v>29724</v>
      </c>
      <c r="AB62" s="44">
        <v>29724</v>
      </c>
      <c r="AC62" s="44">
        <v>29724</v>
      </c>
      <c r="AD62" s="44">
        <v>29724</v>
      </c>
      <c r="AE62" s="44">
        <v>29724</v>
      </c>
      <c r="AF62" s="44">
        <v>29724</v>
      </c>
      <c r="AG62" s="44">
        <v>29724</v>
      </c>
      <c r="AH62" s="44">
        <v>29724</v>
      </c>
      <c r="AI62" s="44">
        <v>29724</v>
      </c>
      <c r="AJ62" s="44">
        <v>29724</v>
      </c>
      <c r="AK62" s="44">
        <v>29724</v>
      </c>
      <c r="AL62" s="44">
        <v>29724</v>
      </c>
      <c r="AM62" s="44">
        <v>29724</v>
      </c>
      <c r="AN62" s="44">
        <v>29724</v>
      </c>
      <c r="AO62" s="44">
        <v>29724</v>
      </c>
      <c r="AP62" s="44">
        <v>29724</v>
      </c>
      <c r="AQ62" s="44">
        <v>29724</v>
      </c>
      <c r="AR62" s="44">
        <v>29724</v>
      </c>
      <c r="AS62" s="44">
        <v>29724</v>
      </c>
      <c r="AT62" s="44">
        <v>29724</v>
      </c>
      <c r="AU62" s="44">
        <v>29724</v>
      </c>
      <c r="AV62" s="44">
        <v>22293</v>
      </c>
      <c r="AW62" s="44">
        <v>0</v>
      </c>
      <c r="AX62" s="44"/>
      <c r="AY62" s="44"/>
      <c r="AZ62" s="45">
        <f t="shared" si="4"/>
        <v>795117</v>
      </c>
      <c r="BA62" s="46">
        <f t="shared" si="1"/>
        <v>0</v>
      </c>
      <c r="BB62" s="47">
        <f t="shared" si="5"/>
        <v>587049</v>
      </c>
      <c r="BC62" s="48">
        <f t="shared" si="6"/>
        <v>795117</v>
      </c>
      <c r="BE62" s="33" t="b">
        <f t="shared" si="2"/>
        <v>1</v>
      </c>
      <c r="BF62" s="49"/>
    </row>
    <row r="63" spans="1:58" outlineLevel="1" x14ac:dyDescent="0.3">
      <c r="A63" s="33" t="s">
        <v>781</v>
      </c>
      <c r="B63" s="50" t="s">
        <v>751</v>
      </c>
      <c r="C63" s="51"/>
      <c r="D63" s="52" t="s">
        <v>826</v>
      </c>
      <c r="E63" s="53"/>
      <c r="F63" s="54"/>
      <c r="G63" s="54"/>
      <c r="H63" s="54"/>
      <c r="I63" s="54"/>
      <c r="J63" s="55"/>
      <c r="K63" s="55"/>
      <c r="L63" s="55" t="s">
        <v>196</v>
      </c>
      <c r="M63" s="55"/>
      <c r="N63" s="56">
        <f t="shared" si="7"/>
        <v>5.0999999999999996</v>
      </c>
      <c r="O63" s="64">
        <v>5.0999999999999996</v>
      </c>
      <c r="P63" s="56">
        <f>$P$4</f>
        <v>0</v>
      </c>
      <c r="Q63" s="56" t="s">
        <v>10</v>
      </c>
      <c r="R63" s="57">
        <v>20859.400000000001</v>
      </c>
      <c r="S63" s="57">
        <v>20471.919999999998</v>
      </c>
      <c r="T63" s="58">
        <f t="shared" si="3"/>
        <v>41331.32</v>
      </c>
      <c r="U63" s="190">
        <f t="shared" si="0"/>
        <v>1000.6469999999972</v>
      </c>
      <c r="V63" s="59">
        <f>SUM(V62:$AW62)*$N63/100+781+1000</f>
        <v>42331.966999999997</v>
      </c>
      <c r="W63" s="59">
        <f>SUM(W62:$AW62)*$N63/100</f>
        <v>39035.042999999998</v>
      </c>
      <c r="X63" s="59">
        <f>SUM(X62:$AW62)*$N63/100</f>
        <v>37519.118999999999</v>
      </c>
      <c r="Y63" s="59">
        <f>SUM(Y62:$AW62)*$N63/100</f>
        <v>36003.194999999992</v>
      </c>
      <c r="Z63" s="59">
        <f>SUM(Z62:$AW62)*$N63/100</f>
        <v>34487.270999999993</v>
      </c>
      <c r="AA63" s="59">
        <f>SUM(AA62:$AW62)*$N63/100</f>
        <v>32971.346999999994</v>
      </c>
      <c r="AB63" s="59">
        <f>SUM(AB62:$AW62)*$N63/100</f>
        <v>31455.422999999999</v>
      </c>
      <c r="AC63" s="59">
        <f>SUM(AC62:$AW62)*$N63/100</f>
        <v>29939.499</v>
      </c>
      <c r="AD63" s="59">
        <f>SUM(AD62:$AW62)*$N63/100</f>
        <v>28423.575000000001</v>
      </c>
      <c r="AE63" s="59">
        <f>SUM(AE62:$AW62)*$N63/100</f>
        <v>26907.650999999998</v>
      </c>
      <c r="AF63" s="59">
        <f>SUM(AF62:$AW62)*$N63/100</f>
        <v>25391.726999999999</v>
      </c>
      <c r="AG63" s="59">
        <f>SUM(AG62:$AW62)*$N63/100</f>
        <v>23875.803</v>
      </c>
      <c r="AH63" s="59">
        <f>SUM(AH62:$AW62)*$N63/100</f>
        <v>22359.879000000001</v>
      </c>
      <c r="AI63" s="59">
        <f>SUM(AI62:$AW62)*$N63/100</f>
        <v>20843.954999999998</v>
      </c>
      <c r="AJ63" s="59">
        <f>SUM(AJ62:$AW62)*$N63/100</f>
        <v>19328.030999999999</v>
      </c>
      <c r="AK63" s="59">
        <f>SUM(AK62:$AW62)*$N63/100</f>
        <v>17812.107</v>
      </c>
      <c r="AL63" s="59">
        <f>SUM(AL62:$AW62)*$N63/100</f>
        <v>16296.182999999997</v>
      </c>
      <c r="AM63" s="59">
        <f>SUM(AM62:$AW62)*$N63/100</f>
        <v>14780.258999999998</v>
      </c>
      <c r="AN63" s="59">
        <f>SUM(AN62:$AW62)*$N63/100</f>
        <v>13264.334999999999</v>
      </c>
      <c r="AO63" s="59">
        <f>SUM(AO62:$AW62)*$N63/100</f>
        <v>11748.410999999998</v>
      </c>
      <c r="AP63" s="59">
        <f>SUM(AP62:$AW62)*$N63/100</f>
        <v>10232.486999999999</v>
      </c>
      <c r="AQ63" s="59">
        <f>SUM(AQ62:$AW62)*$N63/100</f>
        <v>8716.5630000000001</v>
      </c>
      <c r="AR63" s="59">
        <f>SUM(AR62:$AW62)*$N63/100</f>
        <v>7200.6389999999992</v>
      </c>
      <c r="AS63" s="59">
        <f>SUM(AS62:$AW62)*$N63/100</f>
        <v>5684.7150000000001</v>
      </c>
      <c r="AT63" s="59">
        <f>SUM(AT62:$AW62)*$N63/100</f>
        <v>4168.7910000000002</v>
      </c>
      <c r="AU63" s="59">
        <f>SUM(AU62:$AW62)*$N63/100</f>
        <v>2652.8669999999997</v>
      </c>
      <c r="AV63" s="59">
        <f>SUM(AV62:$AW62)*$N63/100</f>
        <v>1136.943</v>
      </c>
      <c r="AW63" s="59">
        <v>0</v>
      </c>
      <c r="AX63" s="59"/>
      <c r="AY63" s="59"/>
      <c r="AZ63" s="60">
        <f t="shared" si="4"/>
        <v>564567.78499999992</v>
      </c>
      <c r="BA63" s="46">
        <f t="shared" si="1"/>
        <v>0</v>
      </c>
      <c r="BB63" s="61">
        <f t="shared" si="5"/>
        <v>310764.42000000016</v>
      </c>
      <c r="BC63" s="62">
        <f t="shared" si="6"/>
        <v>564567.78500000015</v>
      </c>
      <c r="BE63" s="33" t="b">
        <f t="shared" si="2"/>
        <v>1</v>
      </c>
    </row>
    <row r="64" spans="1:58" s="33" customFormat="1" outlineLevel="1" x14ac:dyDescent="0.3">
      <c r="B64" s="34" t="s">
        <v>751</v>
      </c>
      <c r="C64" s="35">
        <v>30</v>
      </c>
      <c r="D64" s="36" t="s">
        <v>794</v>
      </c>
      <c r="E64" s="37" t="s">
        <v>69</v>
      </c>
      <c r="F64" s="38" t="s">
        <v>70</v>
      </c>
      <c r="G64" s="38" t="s">
        <v>198</v>
      </c>
      <c r="H64" s="38" t="s">
        <v>199</v>
      </c>
      <c r="I64" s="38" t="s">
        <v>9</v>
      </c>
      <c r="J64" s="39">
        <v>347420.04</v>
      </c>
      <c r="K64" s="40">
        <v>319308.03999999998</v>
      </c>
      <c r="L64" s="40"/>
      <c r="M64" s="40"/>
      <c r="N64" s="41"/>
      <c r="O64" s="41">
        <v>3.2429999999999999</v>
      </c>
      <c r="P64" s="41"/>
      <c r="Q64" s="41" t="s">
        <v>8</v>
      </c>
      <c r="R64" s="42">
        <v>4697</v>
      </c>
      <c r="S64" s="42">
        <v>14091</v>
      </c>
      <c r="T64" s="43">
        <f t="shared" si="3"/>
        <v>18788</v>
      </c>
      <c r="U64" s="181">
        <f t="shared" si="0"/>
        <v>0</v>
      </c>
      <c r="V64" s="44">
        <v>18788</v>
      </c>
      <c r="W64" s="44">
        <v>18788</v>
      </c>
      <c r="X64" s="44">
        <v>18788</v>
      </c>
      <c r="Y64" s="44">
        <v>18788</v>
      </c>
      <c r="Z64" s="44">
        <v>18788</v>
      </c>
      <c r="AA64" s="44">
        <v>18788</v>
      </c>
      <c r="AB64" s="44">
        <v>18788</v>
      </c>
      <c r="AC64" s="44">
        <v>18788</v>
      </c>
      <c r="AD64" s="44">
        <v>18788</v>
      </c>
      <c r="AE64" s="44">
        <v>18788</v>
      </c>
      <c r="AF64" s="44">
        <v>18788</v>
      </c>
      <c r="AG64" s="44">
        <v>18788</v>
      </c>
      <c r="AH64" s="44">
        <v>18788</v>
      </c>
      <c r="AI64" s="44">
        <v>18788</v>
      </c>
      <c r="AJ64" s="44">
        <v>18788</v>
      </c>
      <c r="AK64" s="44">
        <v>18788</v>
      </c>
      <c r="AL64" s="44">
        <v>9306.0400000000009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S64" s="44">
        <v>0</v>
      </c>
      <c r="AT64" s="44">
        <v>0</v>
      </c>
      <c r="AU64" s="44">
        <v>0</v>
      </c>
      <c r="AV64" s="44">
        <v>0</v>
      </c>
      <c r="AW64" s="44">
        <v>0</v>
      </c>
      <c r="AX64" s="44"/>
      <c r="AY64" s="44"/>
      <c r="AZ64" s="45">
        <f t="shared" si="4"/>
        <v>309914.03999999998</v>
      </c>
      <c r="BA64" s="46">
        <f t="shared" si="1"/>
        <v>0</v>
      </c>
      <c r="BB64" s="47">
        <f t="shared" si="5"/>
        <v>178398.04</v>
      </c>
      <c r="BC64" s="48">
        <f t="shared" si="6"/>
        <v>309914.04000000004</v>
      </c>
      <c r="BE64" s="33" t="b">
        <f t="shared" si="2"/>
        <v>1</v>
      </c>
      <c r="BF64" s="49"/>
    </row>
    <row r="65" spans="2:58" outlineLevel="1" x14ac:dyDescent="0.3">
      <c r="B65" s="50" t="s">
        <v>751</v>
      </c>
      <c r="C65" s="51"/>
      <c r="D65" s="52" t="s">
        <v>795</v>
      </c>
      <c r="E65" s="53"/>
      <c r="F65" s="54"/>
      <c r="G65" s="54"/>
      <c r="H65" s="54"/>
      <c r="I65" s="54"/>
      <c r="J65" s="55"/>
      <c r="K65" s="55"/>
      <c r="L65" s="55" t="s">
        <v>196</v>
      </c>
      <c r="M65" s="55"/>
      <c r="N65" s="56">
        <f t="shared" si="7"/>
        <v>5</v>
      </c>
      <c r="O65" s="64">
        <v>5</v>
      </c>
      <c r="P65" s="56">
        <f>$P$4</f>
        <v>0</v>
      </c>
      <c r="Q65" s="56" t="s">
        <v>10</v>
      </c>
      <c r="R65" s="57">
        <v>7786.68</v>
      </c>
      <c r="S65" s="57">
        <v>7552.62</v>
      </c>
      <c r="T65" s="58">
        <f t="shared" si="3"/>
        <v>15339.3</v>
      </c>
      <c r="U65" s="182">
        <f t="shared" si="0"/>
        <v>0.40200000000004366</v>
      </c>
      <c r="V65" s="59">
        <f>SUM(V64:$AW64)*$N65/100-156</f>
        <v>15339.701999999999</v>
      </c>
      <c r="W65" s="59">
        <f>SUM(W64:$AW64)*$N65/100</f>
        <v>14556.302</v>
      </c>
      <c r="X65" s="59">
        <f>SUM(X64:$AW64)*$N65/100</f>
        <v>13616.902</v>
      </c>
      <c r="Y65" s="59">
        <f>SUM(Y64:$AW64)*$N65/100</f>
        <v>12677.502</v>
      </c>
      <c r="Z65" s="59">
        <f>SUM(Z64:$AW64)*$N65/100</f>
        <v>11738.101999999999</v>
      </c>
      <c r="AA65" s="59">
        <f>SUM(AA64:$AW64)*$N65/100</f>
        <v>10798.701999999999</v>
      </c>
      <c r="AB65" s="59">
        <f>SUM(AB64:$AW64)*$N65/100</f>
        <v>9859.3020000000015</v>
      </c>
      <c r="AC65" s="59">
        <f>SUM(AC64:$AW64)*$N65/100</f>
        <v>8919.902</v>
      </c>
      <c r="AD65" s="59">
        <f>SUM(AD64:$AW64)*$N65/100</f>
        <v>7980.5020000000004</v>
      </c>
      <c r="AE65" s="59">
        <f>SUM(AE64:$AW64)*$N65/100</f>
        <v>7041.1020000000008</v>
      </c>
      <c r="AF65" s="59">
        <f>SUM(AF64:$AW64)*$N65/100</f>
        <v>6101.7020000000011</v>
      </c>
      <c r="AG65" s="59">
        <f>SUM(AG64:$AW64)*$N65/100</f>
        <v>5162.3020000000006</v>
      </c>
      <c r="AH65" s="59">
        <f>SUM(AH64:$AW64)*$N65/100</f>
        <v>4222.902000000001</v>
      </c>
      <c r="AI65" s="59">
        <f>SUM(AI64:$AW64)*$N65/100</f>
        <v>3283.5020000000009</v>
      </c>
      <c r="AJ65" s="59">
        <f>SUM(AJ64:$AW64)*$N65/100</f>
        <v>2344.1020000000003</v>
      </c>
      <c r="AK65" s="59">
        <f>SUM(AK64:$AW64)*$N65/100</f>
        <v>1404.7020000000002</v>
      </c>
      <c r="AL65" s="59">
        <f>SUM(AL64:$AW64)*$N65/100</f>
        <v>465.30200000000002</v>
      </c>
      <c r="AM65" s="59">
        <v>0</v>
      </c>
      <c r="AN65" s="59">
        <v>0</v>
      </c>
      <c r="AO65" s="59">
        <v>0</v>
      </c>
      <c r="AP65" s="59">
        <v>0</v>
      </c>
      <c r="AQ65" s="59">
        <v>0</v>
      </c>
      <c r="AR65" s="59">
        <v>0</v>
      </c>
      <c r="AS65" s="59">
        <v>0</v>
      </c>
      <c r="AT65" s="59">
        <v>0</v>
      </c>
      <c r="AU65" s="59">
        <v>0</v>
      </c>
      <c r="AV65" s="59">
        <v>0</v>
      </c>
      <c r="AW65" s="59">
        <v>0</v>
      </c>
      <c r="AX65" s="59"/>
      <c r="AY65" s="59"/>
      <c r="AZ65" s="60">
        <f t="shared" si="4"/>
        <v>135512.53400000001</v>
      </c>
      <c r="BA65" s="46">
        <f t="shared" si="1"/>
        <v>0</v>
      </c>
      <c r="BB65" s="61">
        <f t="shared" si="5"/>
        <v>46926.020000000004</v>
      </c>
      <c r="BC65" s="62">
        <f t="shared" si="6"/>
        <v>135512.53400000001</v>
      </c>
      <c r="BE65" s="33" t="b">
        <f t="shared" si="2"/>
        <v>1</v>
      </c>
    </row>
    <row r="66" spans="2:58" s="33" customFormat="1" outlineLevel="1" x14ac:dyDescent="0.3">
      <c r="B66" s="34" t="s">
        <v>750</v>
      </c>
      <c r="C66" s="35">
        <v>31</v>
      </c>
      <c r="D66" s="36" t="s">
        <v>736</v>
      </c>
      <c r="E66" s="37" t="s">
        <v>71</v>
      </c>
      <c r="F66" s="38" t="s">
        <v>72</v>
      </c>
      <c r="G66" s="38" t="s">
        <v>201</v>
      </c>
      <c r="H66" s="38" t="s">
        <v>200</v>
      </c>
      <c r="I66" s="38" t="s">
        <v>9</v>
      </c>
      <c r="J66" s="39">
        <v>53218</v>
      </c>
      <c r="K66" s="40">
        <v>25209</v>
      </c>
      <c r="L66" s="40"/>
      <c r="M66" s="40"/>
      <c r="N66" s="41"/>
      <c r="O66" s="41"/>
      <c r="P66" s="41"/>
      <c r="Q66" s="41" t="s">
        <v>8</v>
      </c>
      <c r="R66" s="42">
        <v>2801</v>
      </c>
      <c r="S66" s="42">
        <v>8403</v>
      </c>
      <c r="T66" s="43">
        <f t="shared" si="3"/>
        <v>11204</v>
      </c>
      <c r="U66" s="181">
        <f t="shared" si="0"/>
        <v>0</v>
      </c>
      <c r="V66" s="44">
        <v>11204</v>
      </c>
      <c r="W66" s="44">
        <v>8403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/>
      <c r="AY66" s="44"/>
      <c r="AZ66" s="45">
        <f t="shared" si="4"/>
        <v>19607</v>
      </c>
      <c r="BA66" s="46">
        <f t="shared" si="1"/>
        <v>0</v>
      </c>
      <c r="BB66" s="47">
        <f t="shared" si="5"/>
        <v>0</v>
      </c>
      <c r="BC66" s="48">
        <f t="shared" si="6"/>
        <v>19607</v>
      </c>
      <c r="BE66" s="33" t="b">
        <f t="shared" si="2"/>
        <v>1</v>
      </c>
      <c r="BF66" s="49"/>
    </row>
    <row r="67" spans="2:58" outlineLevel="1" x14ac:dyDescent="0.3">
      <c r="B67" s="50" t="s">
        <v>750</v>
      </c>
      <c r="C67" s="51"/>
      <c r="D67" s="52"/>
      <c r="E67" s="53"/>
      <c r="F67" s="54"/>
      <c r="G67" s="54"/>
      <c r="H67" s="54"/>
      <c r="I67" s="54"/>
      <c r="J67" s="55"/>
      <c r="K67" s="55"/>
      <c r="L67" s="55">
        <v>0</v>
      </c>
      <c r="M67" s="55" t="s">
        <v>748</v>
      </c>
      <c r="N67" s="56">
        <f t="shared" si="7"/>
        <v>0.25</v>
      </c>
      <c r="O67" s="56">
        <v>0.25</v>
      </c>
      <c r="P67" s="56">
        <f>$P$4</f>
        <v>0</v>
      </c>
      <c r="Q67" s="56" t="s">
        <v>10</v>
      </c>
      <c r="R67" s="57">
        <v>26.240000000000002</v>
      </c>
      <c r="S67" s="57">
        <v>19.149999999999999</v>
      </c>
      <c r="T67" s="58">
        <f t="shared" si="3"/>
        <v>45.39</v>
      </c>
      <c r="U67" s="182">
        <f t="shared" si="0"/>
        <v>0.62749999999999773</v>
      </c>
      <c r="V67" s="59">
        <f>SUM(V66:$AW66)*$N67/100-3</f>
        <v>46.017499999999998</v>
      </c>
      <c r="W67" s="59">
        <f>SUM(W66:$AW66)*$N67/100</f>
        <v>21.0075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v>0</v>
      </c>
      <c r="AM67" s="59">
        <v>0</v>
      </c>
      <c r="AN67" s="59">
        <v>0</v>
      </c>
      <c r="AO67" s="59">
        <v>0</v>
      </c>
      <c r="AP67" s="59">
        <v>0</v>
      </c>
      <c r="AQ67" s="59">
        <v>0</v>
      </c>
      <c r="AR67" s="59">
        <v>0</v>
      </c>
      <c r="AS67" s="59">
        <v>0</v>
      </c>
      <c r="AT67" s="59">
        <v>0</v>
      </c>
      <c r="AU67" s="59">
        <v>0</v>
      </c>
      <c r="AV67" s="59">
        <v>0</v>
      </c>
      <c r="AW67" s="59">
        <v>0</v>
      </c>
      <c r="AX67" s="59"/>
      <c r="AY67" s="59"/>
      <c r="AZ67" s="60">
        <f t="shared" si="4"/>
        <v>67.025000000000006</v>
      </c>
      <c r="BA67" s="46">
        <f t="shared" si="1"/>
        <v>0</v>
      </c>
      <c r="BB67" s="61">
        <f t="shared" si="5"/>
        <v>0</v>
      </c>
      <c r="BC67" s="62">
        <f t="shared" si="6"/>
        <v>67.025000000000006</v>
      </c>
      <c r="BE67" s="33" t="b">
        <f t="shared" si="2"/>
        <v>1</v>
      </c>
    </row>
    <row r="68" spans="2:58" s="33" customFormat="1" outlineLevel="1" x14ac:dyDescent="0.3">
      <c r="B68" s="34" t="s">
        <v>750</v>
      </c>
      <c r="C68" s="35">
        <v>32</v>
      </c>
      <c r="D68" s="36" t="s">
        <v>732</v>
      </c>
      <c r="E68" s="37" t="s">
        <v>73</v>
      </c>
      <c r="F68" s="38" t="s">
        <v>74</v>
      </c>
      <c r="G68" s="38" t="s">
        <v>201</v>
      </c>
      <c r="H68" s="38" t="s">
        <v>200</v>
      </c>
      <c r="I68" s="38" t="s">
        <v>9</v>
      </c>
      <c r="J68" s="39">
        <v>46991.33</v>
      </c>
      <c r="K68" s="40">
        <v>22264.33</v>
      </c>
      <c r="L68" s="40"/>
      <c r="M68" s="40"/>
      <c r="N68" s="41"/>
      <c r="O68" s="41"/>
      <c r="P68" s="41"/>
      <c r="Q68" s="41" t="s">
        <v>8</v>
      </c>
      <c r="R68" s="42">
        <v>2474</v>
      </c>
      <c r="S68" s="42">
        <v>7422</v>
      </c>
      <c r="T68" s="43">
        <f t="shared" si="3"/>
        <v>9896</v>
      </c>
      <c r="U68" s="181">
        <f t="shared" si="0"/>
        <v>0</v>
      </c>
      <c r="V68" s="44">
        <v>9896</v>
      </c>
      <c r="W68" s="44">
        <v>7420.33</v>
      </c>
      <c r="X68" s="44">
        <v>0</v>
      </c>
      <c r="Y68" s="44">
        <v>0</v>
      </c>
      <c r="Z68" s="44">
        <v>0</v>
      </c>
      <c r="AA68" s="44">
        <v>0</v>
      </c>
      <c r="AB68" s="44">
        <v>0</v>
      </c>
      <c r="AC68" s="44">
        <v>0</v>
      </c>
      <c r="AD68" s="44">
        <v>0</v>
      </c>
      <c r="AE68" s="44">
        <v>0</v>
      </c>
      <c r="AF68" s="44">
        <v>0</v>
      </c>
      <c r="AG68" s="44">
        <v>0</v>
      </c>
      <c r="AH68" s="44">
        <v>0</v>
      </c>
      <c r="AI68" s="44">
        <v>0</v>
      </c>
      <c r="AJ68" s="44">
        <v>0</v>
      </c>
      <c r="AK68" s="44">
        <v>0</v>
      </c>
      <c r="AL68" s="44">
        <v>0</v>
      </c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0</v>
      </c>
      <c r="AS68" s="44">
        <v>0</v>
      </c>
      <c r="AT68" s="44">
        <v>0</v>
      </c>
      <c r="AU68" s="44">
        <v>0</v>
      </c>
      <c r="AV68" s="44">
        <v>0</v>
      </c>
      <c r="AW68" s="44">
        <v>0</v>
      </c>
      <c r="AX68" s="44"/>
      <c r="AY68" s="44"/>
      <c r="AZ68" s="45">
        <f t="shared" si="4"/>
        <v>17316.330000000002</v>
      </c>
      <c r="BA68" s="46">
        <f t="shared" si="1"/>
        <v>0</v>
      </c>
      <c r="BB68" s="47">
        <f t="shared" si="5"/>
        <v>0</v>
      </c>
      <c r="BC68" s="48">
        <f t="shared" si="6"/>
        <v>17316.330000000002</v>
      </c>
      <c r="BE68" s="33" t="b">
        <f t="shared" si="2"/>
        <v>1</v>
      </c>
      <c r="BF68" s="49"/>
    </row>
    <row r="69" spans="2:58" outlineLevel="1" x14ac:dyDescent="0.3">
      <c r="B69" s="50" t="s">
        <v>750</v>
      </c>
      <c r="C69" s="51"/>
      <c r="D69" s="52"/>
      <c r="E69" s="53"/>
      <c r="F69" s="54"/>
      <c r="G69" s="54"/>
      <c r="H69" s="54"/>
      <c r="I69" s="54"/>
      <c r="J69" s="55"/>
      <c r="K69" s="55"/>
      <c r="L69" s="55">
        <v>0</v>
      </c>
      <c r="M69" s="55" t="s">
        <v>748</v>
      </c>
      <c r="N69" s="56">
        <f t="shared" si="7"/>
        <v>0.25</v>
      </c>
      <c r="O69" s="56">
        <v>0.25</v>
      </c>
      <c r="P69" s="56">
        <f>$P$4</f>
        <v>0</v>
      </c>
      <c r="Q69" s="56" t="s">
        <v>10</v>
      </c>
      <c r="R69" s="57">
        <v>23.17</v>
      </c>
      <c r="S69" s="57">
        <v>16.91</v>
      </c>
      <c r="T69" s="58">
        <f t="shared" si="3"/>
        <v>40.08</v>
      </c>
      <c r="U69" s="182">
        <f t="shared" si="0"/>
        <v>0.21082500000000692</v>
      </c>
      <c r="V69" s="59">
        <f>SUM(V68:$AW68)*$N69/100-3</f>
        <v>40.290825000000005</v>
      </c>
      <c r="W69" s="59">
        <f>SUM(W68:$AW68)*$N69/100</f>
        <v>18.550825</v>
      </c>
      <c r="X69" s="59">
        <v>0</v>
      </c>
      <c r="Y69" s="59">
        <v>0</v>
      </c>
      <c r="Z69" s="59">
        <v>0</v>
      </c>
      <c r="AA69" s="59">
        <v>0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  <c r="AG69" s="59">
        <v>0</v>
      </c>
      <c r="AH69" s="59">
        <v>0</v>
      </c>
      <c r="AI69" s="59">
        <v>0</v>
      </c>
      <c r="AJ69" s="59">
        <v>0</v>
      </c>
      <c r="AK69" s="59">
        <v>0</v>
      </c>
      <c r="AL69" s="59">
        <v>0</v>
      </c>
      <c r="AM69" s="59">
        <v>0</v>
      </c>
      <c r="AN69" s="59">
        <v>0</v>
      </c>
      <c r="AO69" s="59">
        <v>0</v>
      </c>
      <c r="AP69" s="59">
        <v>0</v>
      </c>
      <c r="AQ69" s="59">
        <v>0</v>
      </c>
      <c r="AR69" s="59">
        <v>0</v>
      </c>
      <c r="AS69" s="59">
        <v>0</v>
      </c>
      <c r="AT69" s="59">
        <v>0</v>
      </c>
      <c r="AU69" s="59">
        <v>0</v>
      </c>
      <c r="AV69" s="59">
        <v>0</v>
      </c>
      <c r="AW69" s="59">
        <v>0</v>
      </c>
      <c r="AX69" s="59"/>
      <c r="AY69" s="59"/>
      <c r="AZ69" s="60">
        <f t="shared" si="4"/>
        <v>58.841650000000001</v>
      </c>
      <c r="BA69" s="46">
        <f t="shared" si="1"/>
        <v>0</v>
      </c>
      <c r="BB69" s="61">
        <f t="shared" si="5"/>
        <v>0</v>
      </c>
      <c r="BC69" s="62">
        <f t="shared" si="6"/>
        <v>58.841650000000001</v>
      </c>
      <c r="BE69" s="33" t="b">
        <f t="shared" si="2"/>
        <v>1</v>
      </c>
    </row>
    <row r="70" spans="2:58" s="33" customFormat="1" outlineLevel="1" x14ac:dyDescent="0.3">
      <c r="B70" s="34" t="s">
        <v>751</v>
      </c>
      <c r="C70" s="35">
        <v>33</v>
      </c>
      <c r="D70" s="36" t="s">
        <v>739</v>
      </c>
      <c r="E70" s="37" t="s">
        <v>75</v>
      </c>
      <c r="F70" s="38" t="s">
        <v>76</v>
      </c>
      <c r="G70" s="38" t="s">
        <v>204</v>
      </c>
      <c r="H70" s="38" t="s">
        <v>203</v>
      </c>
      <c r="I70" s="38" t="s">
        <v>9</v>
      </c>
      <c r="J70" s="39">
        <v>9703992</v>
      </c>
      <c r="K70" s="40">
        <v>9485777.9199999999</v>
      </c>
      <c r="L70" s="40"/>
      <c r="M70" s="40"/>
      <c r="N70" s="41"/>
      <c r="O70" s="41">
        <v>4.1559999999999997</v>
      </c>
      <c r="P70" s="41"/>
      <c r="Q70" s="41" t="s">
        <v>8</v>
      </c>
      <c r="R70" s="42">
        <v>85877</v>
      </c>
      <c r="S70" s="42">
        <v>257631</v>
      </c>
      <c r="T70" s="43">
        <f t="shared" si="3"/>
        <v>343508</v>
      </c>
      <c r="U70" s="181">
        <f t="shared" si="0"/>
        <v>0</v>
      </c>
      <c r="V70" s="44">
        <v>343508</v>
      </c>
      <c r="W70" s="44">
        <v>343508</v>
      </c>
      <c r="X70" s="44">
        <v>343508</v>
      </c>
      <c r="Y70" s="44">
        <v>343508</v>
      </c>
      <c r="Z70" s="44">
        <v>343508</v>
      </c>
      <c r="AA70" s="44">
        <v>343508</v>
      </c>
      <c r="AB70" s="44">
        <v>343508</v>
      </c>
      <c r="AC70" s="44">
        <v>343508</v>
      </c>
      <c r="AD70" s="44">
        <v>343508</v>
      </c>
      <c r="AE70" s="44">
        <v>343508</v>
      </c>
      <c r="AF70" s="44">
        <v>343508</v>
      </c>
      <c r="AG70" s="44">
        <v>343508</v>
      </c>
      <c r="AH70" s="44">
        <v>343508</v>
      </c>
      <c r="AI70" s="44">
        <v>343508</v>
      </c>
      <c r="AJ70" s="44">
        <v>343508</v>
      </c>
      <c r="AK70" s="44">
        <v>343508</v>
      </c>
      <c r="AL70" s="44">
        <v>343508</v>
      </c>
      <c r="AM70" s="44">
        <v>343508</v>
      </c>
      <c r="AN70" s="44">
        <v>343508</v>
      </c>
      <c r="AO70" s="44">
        <v>343508</v>
      </c>
      <c r="AP70" s="44">
        <v>343508</v>
      </c>
      <c r="AQ70" s="44">
        <v>343508</v>
      </c>
      <c r="AR70" s="44">
        <v>343508</v>
      </c>
      <c r="AS70" s="44">
        <v>343508</v>
      </c>
      <c r="AT70" s="44">
        <v>343508</v>
      </c>
      <c r="AU70" s="44">
        <v>343508</v>
      </c>
      <c r="AV70" s="44">
        <v>343508</v>
      </c>
      <c r="AW70" s="44">
        <v>39307.919999999998</v>
      </c>
      <c r="AX70" s="44"/>
      <c r="AY70" s="44"/>
      <c r="AZ70" s="45">
        <f t="shared" si="4"/>
        <v>9314023.9199999999</v>
      </c>
      <c r="BA70" s="46">
        <f t="shared" si="1"/>
        <v>0</v>
      </c>
      <c r="BB70" s="47">
        <f t="shared" si="5"/>
        <v>6909467.9199999999</v>
      </c>
      <c r="BC70" s="48">
        <f t="shared" si="6"/>
        <v>9314023.9199999999</v>
      </c>
      <c r="BE70" s="33" t="b">
        <f t="shared" si="2"/>
        <v>1</v>
      </c>
      <c r="BF70" s="49"/>
    </row>
    <row r="71" spans="2:58" outlineLevel="1" x14ac:dyDescent="0.3">
      <c r="B71" s="50" t="s">
        <v>751</v>
      </c>
      <c r="C71" s="51"/>
      <c r="D71" s="52"/>
      <c r="E71" s="53"/>
      <c r="F71" s="54"/>
      <c r="G71" s="54"/>
      <c r="H71" s="54"/>
      <c r="I71" s="54"/>
      <c r="J71" s="55"/>
      <c r="K71" s="55"/>
      <c r="L71" s="55" t="s">
        <v>202</v>
      </c>
      <c r="M71" s="55"/>
      <c r="N71" s="56">
        <f t="shared" si="7"/>
        <v>4.75</v>
      </c>
      <c r="O71" s="64">
        <v>4.75</v>
      </c>
      <c r="P71" s="56">
        <f>$P$4</f>
        <v>0</v>
      </c>
      <c r="Q71" s="56" t="s">
        <v>10</v>
      </c>
      <c r="R71" s="57">
        <v>202542.41</v>
      </c>
      <c r="S71" s="57">
        <v>207771.4</v>
      </c>
      <c r="T71" s="58">
        <f t="shared" si="3"/>
        <v>410313.81</v>
      </c>
      <c r="U71" s="185">
        <f t="shared" ref="U71:U134" si="10">V71-T71</f>
        <v>0.32619999995222315</v>
      </c>
      <c r="V71" s="59">
        <f>SUM(V70:$AW70)*$N71/100-32102</f>
        <v>410314.13619999995</v>
      </c>
      <c r="W71" s="59">
        <f>SUM(W70:$AW70)*$N71/100</f>
        <v>426099.50619999995</v>
      </c>
      <c r="X71" s="59">
        <f>SUM(X70:$AW70)*$N71/100</f>
        <v>409782.8762</v>
      </c>
      <c r="Y71" s="59">
        <f>SUM(Y70:$AW70)*$N71/100</f>
        <v>393466.24619999999</v>
      </c>
      <c r="Z71" s="59">
        <f>SUM(Z70:$AW70)*$N71/100</f>
        <v>377149.61619999999</v>
      </c>
      <c r="AA71" s="59">
        <f>SUM(AA70:$AW70)*$N71/100</f>
        <v>360832.98619999998</v>
      </c>
      <c r="AB71" s="59">
        <f>SUM(AB70:$AW70)*$N71/100</f>
        <v>344516.35619999998</v>
      </c>
      <c r="AC71" s="59">
        <f>SUM(AC70:$AW70)*$N71/100</f>
        <v>328199.72620000003</v>
      </c>
      <c r="AD71" s="59">
        <f>SUM(AD70:$AW70)*$N71/100</f>
        <v>311883.09620000003</v>
      </c>
      <c r="AE71" s="59">
        <f>SUM(AE70:$AW70)*$N71/100</f>
        <v>295566.46620000002</v>
      </c>
      <c r="AF71" s="59">
        <f>SUM(AF70:$AW70)*$N71/100</f>
        <v>279249.83620000002</v>
      </c>
      <c r="AG71" s="59">
        <f>SUM(AG70:$AW70)*$N71/100</f>
        <v>262933.20620000002</v>
      </c>
      <c r="AH71" s="59">
        <f>SUM(AH70:$AW70)*$N71/100</f>
        <v>246616.57620000001</v>
      </c>
      <c r="AI71" s="59">
        <f>SUM(AI70:$AW70)*$N71/100</f>
        <v>230299.94620000001</v>
      </c>
      <c r="AJ71" s="59">
        <f>SUM(AJ70:$AW70)*$N71/100</f>
        <v>213983.3162</v>
      </c>
      <c r="AK71" s="59">
        <f>SUM(AK70:$AW70)*$N71/100</f>
        <v>197666.6862</v>
      </c>
      <c r="AL71" s="59">
        <f>SUM(AL70:$AW70)*$N71/100</f>
        <v>181350.05620000002</v>
      </c>
      <c r="AM71" s="59">
        <f>SUM(AM70:$AW70)*$N71/100</f>
        <v>165033.42619999999</v>
      </c>
      <c r="AN71" s="59">
        <f>SUM(AN70:$AW70)*$N71/100</f>
        <v>148716.79619999998</v>
      </c>
      <c r="AO71" s="59">
        <f>SUM(AO70:$AW70)*$N71/100</f>
        <v>132400.16619999998</v>
      </c>
      <c r="AP71" s="59">
        <f>SUM(AP70:$AW70)*$N71/100</f>
        <v>116083.53619999999</v>
      </c>
      <c r="AQ71" s="59">
        <f>SUM(AQ70:$AW70)*$N71/100</f>
        <v>99766.906199999998</v>
      </c>
      <c r="AR71" s="59">
        <f>SUM(AR70:$AW70)*$N71/100</f>
        <v>83450.276199999993</v>
      </c>
      <c r="AS71" s="59">
        <f>SUM(AS70:$AW70)*$N71/100</f>
        <v>67133.646199999988</v>
      </c>
      <c r="AT71" s="59">
        <f>SUM(AT70:$AW70)*$N71/100</f>
        <v>50817.016199999991</v>
      </c>
      <c r="AU71" s="59">
        <f>SUM(AU70:$AW70)*$N71/100</f>
        <v>34500.386200000001</v>
      </c>
      <c r="AV71" s="59">
        <f>SUM(AV70:$AW70)*$N71/100</f>
        <v>18183.7562</v>
      </c>
      <c r="AW71" s="59">
        <f>SUM(AW70:$AW70)*$N71/100</f>
        <v>1867.1261999999999</v>
      </c>
      <c r="AX71" s="59"/>
      <c r="AY71" s="59"/>
      <c r="AZ71" s="60">
        <f t="shared" si="4"/>
        <v>6187863.6736000003</v>
      </c>
      <c r="BA71" s="46">
        <f t="shared" si="1"/>
        <v>0</v>
      </c>
      <c r="BB71" s="61">
        <f t="shared" si="5"/>
        <v>3465701.9502000008</v>
      </c>
      <c r="BC71" s="62">
        <f t="shared" si="6"/>
        <v>6187863.6736000003</v>
      </c>
      <c r="BE71" s="33" t="b">
        <f t="shared" si="2"/>
        <v>1</v>
      </c>
    </row>
    <row r="72" spans="2:58" s="33" customFormat="1" outlineLevel="1" x14ac:dyDescent="0.3">
      <c r="B72" s="34" t="s">
        <v>751</v>
      </c>
      <c r="C72" s="35">
        <v>34</v>
      </c>
      <c r="D72" s="36" t="s">
        <v>740</v>
      </c>
      <c r="E72" s="37" t="s">
        <v>77</v>
      </c>
      <c r="F72" s="38" t="s">
        <v>78</v>
      </c>
      <c r="G72" s="38" t="s">
        <v>204</v>
      </c>
      <c r="H72" s="38" t="s">
        <v>205</v>
      </c>
      <c r="I72" s="38" t="s">
        <v>9</v>
      </c>
      <c r="J72" s="39">
        <v>43430</v>
      </c>
      <c r="K72" s="40">
        <v>6572</v>
      </c>
      <c r="L72" s="40"/>
      <c r="M72" s="40"/>
      <c r="N72" s="41"/>
      <c r="O72" s="41"/>
      <c r="P72" s="41"/>
      <c r="Q72" s="41" t="s">
        <v>8</v>
      </c>
      <c r="R72" s="42">
        <v>212</v>
      </c>
      <c r="S72" s="42">
        <v>636</v>
      </c>
      <c r="T72" s="43">
        <f t="shared" ref="T72:T125" si="11">SUM(R72:S72)</f>
        <v>848</v>
      </c>
      <c r="U72" s="181">
        <f t="shared" si="10"/>
        <v>0</v>
      </c>
      <c r="V72" s="44">
        <v>848</v>
      </c>
      <c r="W72" s="44">
        <v>848</v>
      </c>
      <c r="X72" s="44">
        <v>848</v>
      </c>
      <c r="Y72" s="44">
        <v>848</v>
      </c>
      <c r="Z72" s="44">
        <v>848</v>
      </c>
      <c r="AA72" s="44">
        <v>848</v>
      </c>
      <c r="AB72" s="44">
        <v>848</v>
      </c>
      <c r="AC72" s="44">
        <v>212</v>
      </c>
      <c r="AD72" s="44">
        <v>0</v>
      </c>
      <c r="AE72" s="44">
        <v>0</v>
      </c>
      <c r="AF72" s="44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  <c r="AL72" s="44">
        <v>0</v>
      </c>
      <c r="AM72" s="44">
        <v>0</v>
      </c>
      <c r="AN72" s="44">
        <v>0</v>
      </c>
      <c r="AO72" s="44">
        <v>0</v>
      </c>
      <c r="AP72" s="44">
        <v>0</v>
      </c>
      <c r="AQ72" s="44">
        <v>0</v>
      </c>
      <c r="AR72" s="44">
        <v>0</v>
      </c>
      <c r="AS72" s="44">
        <v>0</v>
      </c>
      <c r="AT72" s="44">
        <v>0</v>
      </c>
      <c r="AU72" s="44">
        <v>0</v>
      </c>
      <c r="AV72" s="44">
        <v>0</v>
      </c>
      <c r="AW72" s="44">
        <v>0</v>
      </c>
      <c r="AX72" s="44"/>
      <c r="AY72" s="44"/>
      <c r="AZ72" s="45">
        <f t="shared" ref="AZ72:AZ135" si="12">SUM(V72:AY72)</f>
        <v>6148</v>
      </c>
      <c r="BA72" s="46">
        <f t="shared" si="1"/>
        <v>0</v>
      </c>
      <c r="BB72" s="47">
        <f t="shared" ref="BB72:BB135" si="13">SUM(AC72:AY72)</f>
        <v>212</v>
      </c>
      <c r="BC72" s="48">
        <f t="shared" si="6"/>
        <v>6148</v>
      </c>
      <c r="BE72" s="33" t="b">
        <f t="shared" si="2"/>
        <v>1</v>
      </c>
      <c r="BF72" s="49"/>
    </row>
    <row r="73" spans="2:58" outlineLevel="1" x14ac:dyDescent="0.3">
      <c r="B73" s="50" t="s">
        <v>751</v>
      </c>
      <c r="C73" s="51"/>
      <c r="D73" s="52"/>
      <c r="E73" s="53"/>
      <c r="F73" s="54"/>
      <c r="G73" s="54"/>
      <c r="H73" s="54"/>
      <c r="I73" s="54"/>
      <c r="J73" s="55"/>
      <c r="K73" s="55"/>
      <c r="L73" s="55">
        <v>0</v>
      </c>
      <c r="M73" s="55" t="s">
        <v>748</v>
      </c>
      <c r="N73" s="56">
        <f t="shared" ref="N73:N127" si="14">SUM(O73:P73)</f>
        <v>0.25</v>
      </c>
      <c r="O73" s="56">
        <v>0.25</v>
      </c>
      <c r="P73" s="56">
        <f>$P$4</f>
        <v>0</v>
      </c>
      <c r="Q73" s="56" t="s">
        <v>10</v>
      </c>
      <c r="R73" s="57">
        <v>7.9</v>
      </c>
      <c r="S73" s="57">
        <v>7.3800000000000008</v>
      </c>
      <c r="T73" s="58">
        <f t="shared" si="11"/>
        <v>15.280000000000001</v>
      </c>
      <c r="U73" s="182">
        <f t="shared" si="10"/>
        <v>8.9999999999998082E-2</v>
      </c>
      <c r="V73" s="59">
        <f>SUM(V72:$AW72)*$N73/100</f>
        <v>15.37</v>
      </c>
      <c r="W73" s="59">
        <f>SUM(W72:$AW72)*$N73/100</f>
        <v>13.25</v>
      </c>
      <c r="X73" s="59">
        <f>SUM(X72:$AW72)*$N73/100</f>
        <v>11.13</v>
      </c>
      <c r="Y73" s="59">
        <f>SUM(Y72:$AW72)*$N73/100</f>
        <v>9.01</v>
      </c>
      <c r="Z73" s="59">
        <f>SUM(Z72:$AW72)*$N73/100</f>
        <v>6.89</v>
      </c>
      <c r="AA73" s="59">
        <f>SUM(AA72:$AW72)*$N73/100</f>
        <v>4.7699999999999996</v>
      </c>
      <c r="AB73" s="59">
        <f>SUM(AB72:$AW72)*$N73/100</f>
        <v>2.65</v>
      </c>
      <c r="AC73" s="59">
        <f>SUM(AC72:$AW72)*$N73/100</f>
        <v>0.53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v>0</v>
      </c>
      <c r="AM73" s="59">
        <v>0</v>
      </c>
      <c r="AN73" s="59">
        <v>0</v>
      </c>
      <c r="AO73" s="59">
        <v>0</v>
      </c>
      <c r="AP73" s="59"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/>
      <c r="AY73" s="59"/>
      <c r="AZ73" s="60">
        <f t="shared" si="12"/>
        <v>63.6</v>
      </c>
      <c r="BA73" s="46">
        <f t="shared" ref="BA73:BA138" si="15">AZ73-SUM(V73:AY73)</f>
        <v>0</v>
      </c>
      <c r="BB73" s="61">
        <f t="shared" si="13"/>
        <v>0.53</v>
      </c>
      <c r="BC73" s="62">
        <f t="shared" si="6"/>
        <v>63.6</v>
      </c>
      <c r="BE73" s="33" t="b">
        <f t="shared" ref="BE73:BE138" si="16">AZ73=BC73</f>
        <v>1</v>
      </c>
    </row>
    <row r="74" spans="2:58" s="33" customFormat="1" outlineLevel="1" x14ac:dyDescent="0.3">
      <c r="B74" s="34" t="s">
        <v>751</v>
      </c>
      <c r="C74" s="35">
        <v>35</v>
      </c>
      <c r="D74" s="36" t="s">
        <v>828</v>
      </c>
      <c r="E74" s="37" t="s">
        <v>79</v>
      </c>
      <c r="F74" s="38" t="s">
        <v>80</v>
      </c>
      <c r="G74" s="38" t="s">
        <v>208</v>
      </c>
      <c r="H74" s="38" t="s">
        <v>207</v>
      </c>
      <c r="I74" s="38" t="s">
        <v>9</v>
      </c>
      <c r="J74" s="39">
        <v>400000</v>
      </c>
      <c r="K74" s="40">
        <v>379509</v>
      </c>
      <c r="L74" s="40"/>
      <c r="M74" s="40"/>
      <c r="N74" s="41"/>
      <c r="O74" s="41">
        <v>4.242</v>
      </c>
      <c r="P74" s="41"/>
      <c r="Q74" s="41" t="s">
        <v>8</v>
      </c>
      <c r="R74" s="42">
        <v>3419</v>
      </c>
      <c r="S74" s="42">
        <v>10257</v>
      </c>
      <c r="T74" s="43">
        <f t="shared" si="11"/>
        <v>13676</v>
      </c>
      <c r="U74" s="181">
        <f t="shared" si="10"/>
        <v>0</v>
      </c>
      <c r="V74" s="44">
        <v>13676</v>
      </c>
      <c r="W74" s="44">
        <v>13676</v>
      </c>
      <c r="X74" s="44">
        <v>13676</v>
      </c>
      <c r="Y74" s="44">
        <v>13676</v>
      </c>
      <c r="Z74" s="44">
        <v>13676</v>
      </c>
      <c r="AA74" s="44">
        <v>13676</v>
      </c>
      <c r="AB74" s="44">
        <v>13676</v>
      </c>
      <c r="AC74" s="44">
        <v>13676</v>
      </c>
      <c r="AD74" s="44">
        <v>13676</v>
      </c>
      <c r="AE74" s="44">
        <v>13676</v>
      </c>
      <c r="AF74" s="44">
        <v>13676</v>
      </c>
      <c r="AG74" s="44">
        <v>13676</v>
      </c>
      <c r="AH74" s="44">
        <v>13676</v>
      </c>
      <c r="AI74" s="44">
        <v>13676</v>
      </c>
      <c r="AJ74" s="44">
        <v>13676</v>
      </c>
      <c r="AK74" s="44">
        <v>13676</v>
      </c>
      <c r="AL74" s="44">
        <v>13676</v>
      </c>
      <c r="AM74" s="44">
        <v>13676</v>
      </c>
      <c r="AN74" s="44">
        <v>13676</v>
      </c>
      <c r="AO74" s="44">
        <v>13676</v>
      </c>
      <c r="AP74" s="44">
        <v>13676</v>
      </c>
      <c r="AQ74" s="44">
        <v>13676</v>
      </c>
      <c r="AR74" s="44">
        <v>13676</v>
      </c>
      <c r="AS74" s="44">
        <v>13676</v>
      </c>
      <c r="AT74" s="44">
        <v>13676</v>
      </c>
      <c r="AU74" s="44">
        <v>13676</v>
      </c>
      <c r="AV74" s="44">
        <v>13676</v>
      </c>
      <c r="AW74" s="44">
        <v>3419</v>
      </c>
      <c r="AX74" s="44"/>
      <c r="AY74" s="44"/>
      <c r="AZ74" s="45">
        <f t="shared" si="12"/>
        <v>372671</v>
      </c>
      <c r="BA74" s="46">
        <f t="shared" si="15"/>
        <v>0</v>
      </c>
      <c r="BB74" s="47">
        <f t="shared" si="13"/>
        <v>276939</v>
      </c>
      <c r="BC74" s="48">
        <f t="shared" ref="BC74:BC135" si="17">SUM(V74:AB74,BB74)</f>
        <v>372671</v>
      </c>
      <c r="BE74" s="33" t="b">
        <f t="shared" si="16"/>
        <v>1</v>
      </c>
      <c r="BF74" s="49"/>
    </row>
    <row r="75" spans="2:58" outlineLevel="1" x14ac:dyDescent="0.3">
      <c r="B75" s="50" t="s">
        <v>751</v>
      </c>
      <c r="C75" s="51"/>
      <c r="D75" s="52" t="s">
        <v>827</v>
      </c>
      <c r="E75" s="53"/>
      <c r="F75" s="54"/>
      <c r="G75" s="54"/>
      <c r="H75" s="54"/>
      <c r="I75" s="54"/>
      <c r="J75" s="55"/>
      <c r="K75" s="55"/>
      <c r="L75" s="55" t="s">
        <v>206</v>
      </c>
      <c r="M75" s="55"/>
      <c r="N75" s="56">
        <f t="shared" si="14"/>
        <v>4.5999999999999996</v>
      </c>
      <c r="O75" s="64">
        <v>4.5999999999999996</v>
      </c>
      <c r="P75" s="56">
        <f>$P$4</f>
        <v>0</v>
      </c>
      <c r="Q75" s="56" t="s">
        <v>10</v>
      </c>
      <c r="R75" s="57">
        <v>8100.16</v>
      </c>
      <c r="S75" s="57">
        <v>8095.59</v>
      </c>
      <c r="T75" s="58">
        <f t="shared" si="11"/>
        <v>16195.75</v>
      </c>
      <c r="U75" s="182">
        <f t="shared" si="10"/>
        <v>0.11599999999816646</v>
      </c>
      <c r="V75" s="59">
        <f>SUM(V74:$AW74)*$N75/100-947</f>
        <v>16195.865999999998</v>
      </c>
      <c r="W75" s="59">
        <f>SUM(W74:$AW74)*$N75/100</f>
        <v>16513.769999999997</v>
      </c>
      <c r="X75" s="59">
        <f>SUM(X74:$AW74)*$N75/100</f>
        <v>15884.673999999999</v>
      </c>
      <c r="Y75" s="59">
        <f>SUM(Y74:$AW74)*$N75/100</f>
        <v>15255.577999999998</v>
      </c>
      <c r="Z75" s="59">
        <f>SUM(Z74:$AW74)*$N75/100</f>
        <v>14626.482</v>
      </c>
      <c r="AA75" s="59">
        <f>SUM(AA74:$AW74)*$N75/100</f>
        <v>13997.385999999999</v>
      </c>
      <c r="AB75" s="59">
        <f>SUM(AB74:$AW74)*$N75/100</f>
        <v>13368.29</v>
      </c>
      <c r="AC75" s="59">
        <f>SUM(AC74:$AW74)*$N75/100</f>
        <v>12739.194</v>
      </c>
      <c r="AD75" s="59">
        <f>SUM(AD74:$AW74)*$N75/100</f>
        <v>12110.097999999998</v>
      </c>
      <c r="AE75" s="59">
        <f>SUM(AE74:$AW74)*$N75/100</f>
        <v>11481.002</v>
      </c>
      <c r="AF75" s="59">
        <f>SUM(AF74:$AW74)*$N75/100</f>
        <v>10851.905999999999</v>
      </c>
      <c r="AG75" s="59">
        <f>SUM(AG74:$AW74)*$N75/100</f>
        <v>10222.81</v>
      </c>
      <c r="AH75" s="59">
        <f>SUM(AH74:$AW74)*$N75/100</f>
        <v>9593.7139999999999</v>
      </c>
      <c r="AI75" s="59">
        <f>SUM(AI74:$AW74)*$N75/100</f>
        <v>8964.6179999999986</v>
      </c>
      <c r="AJ75" s="59">
        <f>SUM(AJ74:$AW74)*$N75/100</f>
        <v>8335.521999999999</v>
      </c>
      <c r="AK75" s="59">
        <f>SUM(AK74:$AW74)*$N75/100</f>
        <v>7706.4259999999995</v>
      </c>
      <c r="AL75" s="59">
        <f>SUM(AL74:$AW74)*$N75/100</f>
        <v>7077.33</v>
      </c>
      <c r="AM75" s="59">
        <f>SUM(AM74:$AW74)*$N75/100</f>
        <v>6448.2339999999995</v>
      </c>
      <c r="AN75" s="59">
        <f>SUM(AN74:$AW74)*$N75/100</f>
        <v>5819.137999999999</v>
      </c>
      <c r="AO75" s="59">
        <f>SUM(AO74:$AW74)*$N75/100</f>
        <v>5190.0419999999995</v>
      </c>
      <c r="AP75" s="59">
        <f>SUM(AP74:$AW74)*$N75/100</f>
        <v>4560.9459999999999</v>
      </c>
      <c r="AQ75" s="59">
        <f>SUM(AQ74:$AW74)*$N75/100</f>
        <v>3931.8499999999995</v>
      </c>
      <c r="AR75" s="59">
        <f>SUM(AR74:$AW74)*$N75/100</f>
        <v>3302.7539999999995</v>
      </c>
      <c r="AS75" s="59">
        <f>SUM(AS74:$AW74)*$N75/100</f>
        <v>2673.6579999999999</v>
      </c>
      <c r="AT75" s="59">
        <f>SUM(AT74:$AW74)*$N75/100</f>
        <v>2044.5619999999999</v>
      </c>
      <c r="AU75" s="59">
        <f>SUM(AU74:$AW74)*$N75/100</f>
        <v>1415.4659999999997</v>
      </c>
      <c r="AV75" s="59">
        <f>SUM(AV74:$AW74)*$N75/100</f>
        <v>786.37</v>
      </c>
      <c r="AW75" s="59">
        <f>SUM(AW74:$AW74)*$N75/100</f>
        <v>157.274</v>
      </c>
      <c r="AX75" s="59"/>
      <c r="AY75" s="59"/>
      <c r="AZ75" s="60">
        <f t="shared" si="12"/>
        <v>241254.95999999993</v>
      </c>
      <c r="BA75" s="46">
        <f t="shared" si="15"/>
        <v>0</v>
      </c>
      <c r="BB75" s="61">
        <f t="shared" si="13"/>
        <v>135412.91399999996</v>
      </c>
      <c r="BC75" s="62">
        <f t="shared" si="17"/>
        <v>241254.95999999996</v>
      </c>
      <c r="BE75" s="33" t="b">
        <f t="shared" si="16"/>
        <v>1</v>
      </c>
    </row>
    <row r="76" spans="2:58" s="33" customFormat="1" outlineLevel="1" x14ac:dyDescent="0.3">
      <c r="B76" s="34" t="s">
        <v>751</v>
      </c>
      <c r="C76" s="35">
        <v>36</v>
      </c>
      <c r="D76" s="36" t="s">
        <v>829</v>
      </c>
      <c r="E76" s="37" t="s">
        <v>81</v>
      </c>
      <c r="F76" s="38" t="s">
        <v>82</v>
      </c>
      <c r="G76" s="38" t="s">
        <v>210</v>
      </c>
      <c r="H76" s="38" t="s">
        <v>209</v>
      </c>
      <c r="I76" s="38" t="s">
        <v>9</v>
      </c>
      <c r="J76" s="39">
        <v>192902.34</v>
      </c>
      <c r="K76" s="40">
        <v>62660.34</v>
      </c>
      <c r="L76" s="40"/>
      <c r="M76" s="40"/>
      <c r="N76" s="41"/>
      <c r="O76" s="41"/>
      <c r="P76" s="41"/>
      <c r="Q76" s="41" t="s">
        <v>8</v>
      </c>
      <c r="R76" s="42">
        <v>19244</v>
      </c>
      <c r="S76" s="42">
        <v>0</v>
      </c>
      <c r="T76" s="43">
        <f t="shared" si="11"/>
        <v>19244</v>
      </c>
      <c r="U76" s="181">
        <f t="shared" si="10"/>
        <v>0.34000000000014552</v>
      </c>
      <c r="V76" s="44">
        <v>19244.34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0</v>
      </c>
      <c r="AC76" s="44">
        <v>0</v>
      </c>
      <c r="AD76" s="44">
        <v>0</v>
      </c>
      <c r="AE76" s="44">
        <v>0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4"/>
      <c r="AY76" s="44"/>
      <c r="AZ76" s="45">
        <f t="shared" si="12"/>
        <v>19244.34</v>
      </c>
      <c r="BA76" s="46">
        <f t="shared" si="15"/>
        <v>0</v>
      </c>
      <c r="BB76" s="47">
        <f t="shared" si="13"/>
        <v>0</v>
      </c>
      <c r="BC76" s="48">
        <f t="shared" si="17"/>
        <v>19244.34</v>
      </c>
      <c r="BE76" s="33" t="b">
        <f t="shared" si="16"/>
        <v>1</v>
      </c>
      <c r="BF76" s="49"/>
    </row>
    <row r="77" spans="2:58" outlineLevel="1" x14ac:dyDescent="0.3">
      <c r="B77" s="50" t="s">
        <v>751</v>
      </c>
      <c r="C77" s="51"/>
      <c r="D77" s="52" t="s">
        <v>830</v>
      </c>
      <c r="E77" s="53"/>
      <c r="F77" s="54"/>
      <c r="G77" s="54"/>
      <c r="H77" s="54"/>
      <c r="I77" s="54"/>
      <c r="J77" s="55"/>
      <c r="K77" s="55"/>
      <c r="L77" s="55">
        <v>0</v>
      </c>
      <c r="M77" s="55" t="s">
        <v>748</v>
      </c>
      <c r="N77" s="56">
        <f t="shared" si="14"/>
        <v>0.25</v>
      </c>
      <c r="O77" s="56">
        <v>0.25</v>
      </c>
      <c r="P77" s="56">
        <f>$P$4</f>
        <v>0</v>
      </c>
      <c r="Q77" s="56" t="s">
        <v>10</v>
      </c>
      <c r="R77" s="57">
        <v>34.910000000000004</v>
      </c>
      <c r="S77" s="57">
        <v>0</v>
      </c>
      <c r="T77" s="58">
        <f t="shared" si="11"/>
        <v>34.910000000000004</v>
      </c>
      <c r="U77" s="182">
        <f t="shared" si="10"/>
        <v>0.20084999999999553</v>
      </c>
      <c r="V77" s="59">
        <f>SUM(V76:$AW76)*$N77/100-13</f>
        <v>35.110849999999999</v>
      </c>
      <c r="W77" s="59">
        <v>0</v>
      </c>
      <c r="X77" s="59">
        <v>0</v>
      </c>
      <c r="Y77" s="59">
        <v>0</v>
      </c>
      <c r="Z77" s="59">
        <v>0</v>
      </c>
      <c r="AA77" s="59">
        <v>0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v>0</v>
      </c>
      <c r="AM77" s="59">
        <v>0</v>
      </c>
      <c r="AN77" s="59">
        <v>0</v>
      </c>
      <c r="AO77" s="59">
        <v>0</v>
      </c>
      <c r="AP77" s="59">
        <v>0</v>
      </c>
      <c r="AQ77" s="59">
        <v>0</v>
      </c>
      <c r="AR77" s="59">
        <v>0</v>
      </c>
      <c r="AS77" s="59">
        <v>0</v>
      </c>
      <c r="AT77" s="59">
        <v>0</v>
      </c>
      <c r="AU77" s="59">
        <v>0</v>
      </c>
      <c r="AV77" s="59">
        <v>0</v>
      </c>
      <c r="AW77" s="59">
        <v>0</v>
      </c>
      <c r="AX77" s="59"/>
      <c r="AY77" s="59"/>
      <c r="AZ77" s="60">
        <f t="shared" si="12"/>
        <v>35.110849999999999</v>
      </c>
      <c r="BA77" s="46">
        <f t="shared" si="15"/>
        <v>0</v>
      </c>
      <c r="BB77" s="61">
        <f t="shared" si="13"/>
        <v>0</v>
      </c>
      <c r="BC77" s="62">
        <f t="shared" si="17"/>
        <v>35.110849999999999</v>
      </c>
      <c r="BE77" s="33" t="b">
        <f t="shared" si="16"/>
        <v>1</v>
      </c>
    </row>
    <row r="78" spans="2:58" s="33" customFormat="1" outlineLevel="1" collapsed="1" x14ac:dyDescent="0.3">
      <c r="B78" s="34" t="s">
        <v>751</v>
      </c>
      <c r="C78" s="35">
        <v>37</v>
      </c>
      <c r="D78" s="36" t="s">
        <v>743</v>
      </c>
      <c r="E78" s="37" t="s">
        <v>83</v>
      </c>
      <c r="F78" s="38" t="s">
        <v>84</v>
      </c>
      <c r="G78" s="38" t="s">
        <v>213</v>
      </c>
      <c r="H78" s="38" t="s">
        <v>212</v>
      </c>
      <c r="I78" s="38" t="s">
        <v>9</v>
      </c>
      <c r="J78" s="39">
        <v>279650</v>
      </c>
      <c r="K78" s="40">
        <v>265401</v>
      </c>
      <c r="L78" s="40"/>
      <c r="M78" s="40"/>
      <c r="N78" s="41"/>
      <c r="O78" s="41"/>
      <c r="P78" s="41"/>
      <c r="Q78" s="41" t="s">
        <v>8</v>
      </c>
      <c r="R78" s="42">
        <v>2391</v>
      </c>
      <c r="S78" s="42">
        <v>7173</v>
      </c>
      <c r="T78" s="43">
        <f t="shared" si="11"/>
        <v>9564</v>
      </c>
      <c r="U78" s="181">
        <f t="shared" si="10"/>
        <v>0</v>
      </c>
      <c r="V78" s="44">
        <v>9564</v>
      </c>
      <c r="W78" s="44">
        <v>9564</v>
      </c>
      <c r="X78" s="44">
        <v>9564</v>
      </c>
      <c r="Y78" s="44">
        <v>9564</v>
      </c>
      <c r="Z78" s="44">
        <v>9564</v>
      </c>
      <c r="AA78" s="44">
        <v>9564</v>
      </c>
      <c r="AB78" s="44">
        <v>9564</v>
      </c>
      <c r="AC78" s="44">
        <v>9564</v>
      </c>
      <c r="AD78" s="44">
        <v>9564</v>
      </c>
      <c r="AE78" s="44">
        <v>9564</v>
      </c>
      <c r="AF78" s="44">
        <v>9564</v>
      </c>
      <c r="AG78" s="44">
        <v>9564</v>
      </c>
      <c r="AH78" s="44">
        <v>9564</v>
      </c>
      <c r="AI78" s="44">
        <v>9564</v>
      </c>
      <c r="AJ78" s="44">
        <v>9564</v>
      </c>
      <c r="AK78" s="44">
        <v>9564</v>
      </c>
      <c r="AL78" s="44">
        <v>9564</v>
      </c>
      <c r="AM78" s="44">
        <v>9564</v>
      </c>
      <c r="AN78" s="44">
        <v>9564</v>
      </c>
      <c r="AO78" s="44">
        <v>9564</v>
      </c>
      <c r="AP78" s="44">
        <v>9564</v>
      </c>
      <c r="AQ78" s="44">
        <v>9564</v>
      </c>
      <c r="AR78" s="44">
        <v>9564</v>
      </c>
      <c r="AS78" s="44">
        <v>9564</v>
      </c>
      <c r="AT78" s="44">
        <v>9564</v>
      </c>
      <c r="AU78" s="44">
        <v>9564</v>
      </c>
      <c r="AV78" s="44">
        <v>9564</v>
      </c>
      <c r="AW78" s="44">
        <v>2391</v>
      </c>
      <c r="AX78" s="44"/>
      <c r="AY78" s="44"/>
      <c r="AZ78" s="45">
        <f t="shared" si="12"/>
        <v>260619</v>
      </c>
      <c r="BA78" s="46">
        <f t="shared" si="15"/>
        <v>0</v>
      </c>
      <c r="BB78" s="47">
        <f t="shared" si="13"/>
        <v>193671</v>
      </c>
      <c r="BC78" s="48">
        <f t="shared" si="17"/>
        <v>260619</v>
      </c>
      <c r="BE78" s="33" t="b">
        <f t="shared" si="16"/>
        <v>1</v>
      </c>
      <c r="BF78" s="49"/>
    </row>
    <row r="79" spans="2:58" outlineLevel="1" x14ac:dyDescent="0.3">
      <c r="B79" s="50" t="s">
        <v>751</v>
      </c>
      <c r="C79" s="51"/>
      <c r="D79" s="52"/>
      <c r="E79" s="53"/>
      <c r="F79" s="54"/>
      <c r="G79" s="54"/>
      <c r="H79" s="54"/>
      <c r="I79" s="54"/>
      <c r="J79" s="55"/>
      <c r="K79" s="55"/>
      <c r="L79" s="55" t="s">
        <v>211</v>
      </c>
      <c r="M79" s="55"/>
      <c r="N79" s="56">
        <f t="shared" si="14"/>
        <v>4.2030000000000003</v>
      </c>
      <c r="O79" s="56">
        <v>4.2030000000000003</v>
      </c>
      <c r="P79" s="56">
        <f>$P$4</f>
        <v>0</v>
      </c>
      <c r="Q79" s="56" t="s">
        <v>10</v>
      </c>
      <c r="R79" s="57">
        <v>5587.17</v>
      </c>
      <c r="S79" s="57">
        <v>5583.18</v>
      </c>
      <c r="T79" s="58">
        <f t="shared" si="11"/>
        <v>11170.35</v>
      </c>
      <c r="U79" s="182">
        <f t="shared" si="10"/>
        <v>0.46657000000050175</v>
      </c>
      <c r="V79" s="59">
        <f>SUM(V78:$AW78)*$N79/100+217</f>
        <v>11170.816570000001</v>
      </c>
      <c r="W79" s="59">
        <f>SUM(W78:$AW78)*$N79/100</f>
        <v>10551.84165</v>
      </c>
      <c r="X79" s="59">
        <f>SUM(X78:$AW78)*$N79/100</f>
        <v>10149.866730000002</v>
      </c>
      <c r="Y79" s="59">
        <f>SUM(Y78:$AW78)*$N79/100</f>
        <v>9747.891810000001</v>
      </c>
      <c r="Z79" s="59">
        <f>SUM(Z78:$AW78)*$N79/100</f>
        <v>9345.9168900000004</v>
      </c>
      <c r="AA79" s="59">
        <f>SUM(AA78:$AW78)*$N79/100</f>
        <v>8943.9419699999999</v>
      </c>
      <c r="AB79" s="59">
        <f>SUM(AB78:$AW78)*$N79/100</f>
        <v>8541.9670500000011</v>
      </c>
      <c r="AC79" s="59">
        <f>SUM(AC78:$AW78)*$N79/100</f>
        <v>8139.9921300000015</v>
      </c>
      <c r="AD79" s="59">
        <f>SUM(AD78:$AW78)*$N79/100</f>
        <v>7738.01721</v>
      </c>
      <c r="AE79" s="59">
        <f>SUM(AE78:$AW78)*$N79/100</f>
        <v>7336.0422900000003</v>
      </c>
      <c r="AF79" s="59">
        <f>SUM(AF78:$AW78)*$N79/100</f>
        <v>6934.0673700000007</v>
      </c>
      <c r="AG79" s="59">
        <f>SUM(AG78:$AW78)*$N79/100</f>
        <v>6532.0924500000001</v>
      </c>
      <c r="AH79" s="59">
        <f>SUM(AH78:$AW78)*$N79/100</f>
        <v>6130.1175300000004</v>
      </c>
      <c r="AI79" s="59">
        <f>SUM(AI78:$AW78)*$N79/100</f>
        <v>5728.1426100000008</v>
      </c>
      <c r="AJ79" s="59">
        <f>SUM(AJ78:$AW78)*$N79/100</f>
        <v>5326.1676900000011</v>
      </c>
      <c r="AK79" s="59">
        <f>SUM(AK78:$AW78)*$N79/100</f>
        <v>4924.1927700000006</v>
      </c>
      <c r="AL79" s="59">
        <f>SUM(AL78:$AW78)*$N79/100</f>
        <v>4522.21785</v>
      </c>
      <c r="AM79" s="59">
        <f>SUM(AM78:$AW78)*$N79/100</f>
        <v>4120.2429300000003</v>
      </c>
      <c r="AN79" s="59">
        <f>SUM(AN78:$AW78)*$N79/100</f>
        <v>3718.2680100000002</v>
      </c>
      <c r="AO79" s="59">
        <f>SUM(AO78:$AW78)*$N79/100</f>
        <v>3316.2930900000001</v>
      </c>
      <c r="AP79" s="59">
        <f>SUM(AP78:$AW78)*$N79/100</f>
        <v>2914.3181700000005</v>
      </c>
      <c r="AQ79" s="59">
        <f>SUM(AQ78:$AW78)*$N79/100</f>
        <v>2512.3432499999999</v>
      </c>
      <c r="AR79" s="59">
        <f>SUM(AR78:$AW78)*$N79/100</f>
        <v>2110.3683300000002</v>
      </c>
      <c r="AS79" s="59">
        <f>SUM(AS78:$AW78)*$N79/100</f>
        <v>1708.3934100000001</v>
      </c>
      <c r="AT79" s="59">
        <f>SUM(AT78:$AW78)*$N79/100</f>
        <v>1306.41849</v>
      </c>
      <c r="AU79" s="59">
        <f>SUM(AU78:$AW78)*$N79/100</f>
        <v>904.44357000000002</v>
      </c>
      <c r="AV79" s="59">
        <f>SUM(AV78:$AW78)*$N79/100</f>
        <v>502.46865000000003</v>
      </c>
      <c r="AW79" s="59">
        <f>SUM(AW78:$AW78)*$N79/100</f>
        <v>100.49373000000001</v>
      </c>
      <c r="AX79" s="59"/>
      <c r="AY79" s="59"/>
      <c r="AZ79" s="60">
        <f t="shared" si="12"/>
        <v>154977.34419999999</v>
      </c>
      <c r="BA79" s="46">
        <f t="shared" si="15"/>
        <v>0</v>
      </c>
      <c r="BB79" s="61">
        <f t="shared" si="13"/>
        <v>86525.101530000029</v>
      </c>
      <c r="BC79" s="62">
        <f t="shared" si="17"/>
        <v>154977.34420000005</v>
      </c>
      <c r="BE79" s="33" t="b">
        <f t="shared" si="16"/>
        <v>1</v>
      </c>
    </row>
    <row r="80" spans="2:58" s="33" customFormat="1" outlineLevel="1" x14ac:dyDescent="0.3">
      <c r="B80" s="34" t="s">
        <v>751</v>
      </c>
      <c r="C80" s="35">
        <v>38</v>
      </c>
      <c r="D80" s="36" t="s">
        <v>831</v>
      </c>
      <c r="E80" s="37" t="s">
        <v>85</v>
      </c>
      <c r="F80" s="38" t="s">
        <v>86</v>
      </c>
      <c r="G80" s="38" t="s">
        <v>215</v>
      </c>
      <c r="H80" s="38" t="s">
        <v>216</v>
      </c>
      <c r="I80" s="38" t="s">
        <v>9</v>
      </c>
      <c r="J80" s="39">
        <v>2075409</v>
      </c>
      <c r="K80" s="40">
        <v>1486222</v>
      </c>
      <c r="L80" s="40"/>
      <c r="M80" s="40"/>
      <c r="N80" s="41"/>
      <c r="O80" s="41"/>
      <c r="P80" s="41"/>
      <c r="Q80" s="41" t="s">
        <v>8</v>
      </c>
      <c r="R80" s="42">
        <v>32063</v>
      </c>
      <c r="S80" s="42">
        <v>96189</v>
      </c>
      <c r="T80" s="43">
        <f t="shared" si="11"/>
        <v>128252</v>
      </c>
      <c r="U80" s="181">
        <f t="shared" si="10"/>
        <v>0</v>
      </c>
      <c r="V80" s="44">
        <v>128252</v>
      </c>
      <c r="W80" s="44">
        <v>123200</v>
      </c>
      <c r="X80" s="44">
        <v>121648</v>
      </c>
      <c r="Y80" s="44">
        <v>117000</v>
      </c>
      <c r="Z80" s="44">
        <v>117000</v>
      </c>
      <c r="AA80" s="44">
        <v>117000</v>
      </c>
      <c r="AB80" s="44">
        <v>117000</v>
      </c>
      <c r="AC80" s="44">
        <v>110320</v>
      </c>
      <c r="AD80" s="44">
        <v>91212</v>
      </c>
      <c r="AE80" s="44">
        <v>82616</v>
      </c>
      <c r="AF80" s="44">
        <v>82616</v>
      </c>
      <c r="AG80" s="44">
        <v>82616</v>
      </c>
      <c r="AH80" s="44">
        <v>75860</v>
      </c>
      <c r="AI80" s="44">
        <v>36908</v>
      </c>
      <c r="AJ80" s="44">
        <v>7954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4"/>
      <c r="AY80" s="44"/>
      <c r="AZ80" s="45">
        <f t="shared" si="12"/>
        <v>1411202</v>
      </c>
      <c r="BA80" s="46">
        <f t="shared" si="15"/>
        <v>0</v>
      </c>
      <c r="BB80" s="47">
        <f t="shared" si="13"/>
        <v>570102</v>
      </c>
      <c r="BC80" s="48">
        <f t="shared" si="17"/>
        <v>1411202</v>
      </c>
      <c r="BE80" s="33" t="b">
        <f t="shared" si="16"/>
        <v>1</v>
      </c>
      <c r="BF80" s="49"/>
    </row>
    <row r="81" spans="2:58" outlineLevel="1" x14ac:dyDescent="0.3">
      <c r="B81" s="50" t="s">
        <v>751</v>
      </c>
      <c r="C81" s="51"/>
      <c r="D81" s="52" t="s">
        <v>832</v>
      </c>
      <c r="E81" s="53"/>
      <c r="F81" s="54"/>
      <c r="G81" s="54"/>
      <c r="H81" s="54"/>
      <c r="I81" s="54"/>
      <c r="J81" s="55"/>
      <c r="K81" s="55"/>
      <c r="L81" s="55" t="s">
        <v>214</v>
      </c>
      <c r="M81" s="55"/>
      <c r="N81" s="56">
        <f t="shared" si="14"/>
        <v>4.0750000000000002</v>
      </c>
      <c r="O81" s="56">
        <v>4.0750000000000002</v>
      </c>
      <c r="P81" s="56">
        <f>$P$4</f>
        <v>0</v>
      </c>
      <c r="Q81" s="56" t="s">
        <v>10</v>
      </c>
      <c r="R81" s="57">
        <v>27717.010000000002</v>
      </c>
      <c r="S81" s="57">
        <v>26109.82</v>
      </c>
      <c r="T81" s="58">
        <f t="shared" si="11"/>
        <v>53826.83</v>
      </c>
      <c r="U81" s="182">
        <f t="shared" si="10"/>
        <v>0.65149999999994179</v>
      </c>
      <c r="V81" s="59">
        <f>SUM(V80:$AW80)*$N81/100-3679</f>
        <v>53827.481500000002</v>
      </c>
      <c r="W81" s="59">
        <f>SUM(W80:$AW80)*$N81/100</f>
        <v>52280.212500000001</v>
      </c>
      <c r="X81" s="59">
        <f>SUM(X80:$AW80)*$N81/100</f>
        <v>47259.8125</v>
      </c>
      <c r="Y81" s="59">
        <f>SUM(Y80:$AW80)*$N81/100</f>
        <v>42302.656500000005</v>
      </c>
      <c r="Z81" s="59">
        <f>SUM(Z80:$AW80)*$N81/100</f>
        <v>37534.906500000005</v>
      </c>
      <c r="AA81" s="59">
        <f>SUM(AA80:$AW80)*$N81/100</f>
        <v>32767.156500000005</v>
      </c>
      <c r="AB81" s="59">
        <f>SUM(AB80:$AW80)*$N81/100</f>
        <v>27999.406499999997</v>
      </c>
      <c r="AC81" s="59">
        <f>SUM(AC80:$AW80)*$N81/100</f>
        <v>23231.656499999997</v>
      </c>
      <c r="AD81" s="59">
        <f>SUM(AD80:$AW80)*$N81/100</f>
        <v>18736.1165</v>
      </c>
      <c r="AE81" s="59">
        <f>SUM(AE80:$AW80)*$N81/100</f>
        <v>15019.227500000001</v>
      </c>
      <c r="AF81" s="59">
        <f>SUM(AF80:$AW80)*$N81/100</f>
        <v>11652.6255</v>
      </c>
      <c r="AG81" s="59">
        <f>SUM(AG80:$AW80)*$N81/100</f>
        <v>8286.0235000000011</v>
      </c>
      <c r="AH81" s="59">
        <f>SUM(AH80:$AW80)*$N81/100</f>
        <v>4919.4215000000004</v>
      </c>
      <c r="AI81" s="59">
        <f>SUM(AI80:$AW80)*$N81/100</f>
        <v>1828.1264999999999</v>
      </c>
      <c r="AJ81" s="59">
        <f>SUM(AJ80:$AW80)*$N81/100</f>
        <v>324.12550000000005</v>
      </c>
      <c r="AK81" s="59">
        <v>0</v>
      </c>
      <c r="AL81" s="59">
        <v>0</v>
      </c>
      <c r="AM81" s="59">
        <v>0</v>
      </c>
      <c r="AN81" s="59">
        <v>0</v>
      </c>
      <c r="AO81" s="59">
        <v>0</v>
      </c>
      <c r="AP81" s="59">
        <v>0</v>
      </c>
      <c r="AQ81" s="59">
        <v>0</v>
      </c>
      <c r="AR81" s="59">
        <v>0</v>
      </c>
      <c r="AS81" s="59">
        <v>0</v>
      </c>
      <c r="AT81" s="59">
        <v>0</v>
      </c>
      <c r="AU81" s="59">
        <v>0</v>
      </c>
      <c r="AV81" s="59">
        <v>0</v>
      </c>
      <c r="AW81" s="59">
        <v>0</v>
      </c>
      <c r="AX81" s="59"/>
      <c r="AY81" s="59"/>
      <c r="AZ81" s="60">
        <f t="shared" si="12"/>
        <v>377968.95550000004</v>
      </c>
      <c r="BA81" s="46">
        <f t="shared" si="15"/>
        <v>0</v>
      </c>
      <c r="BB81" s="61">
        <f t="shared" si="13"/>
        <v>83997.322999999989</v>
      </c>
      <c r="BC81" s="62">
        <f t="shared" si="17"/>
        <v>377968.95549999998</v>
      </c>
      <c r="BE81" s="33" t="b">
        <f t="shared" si="16"/>
        <v>1</v>
      </c>
    </row>
    <row r="82" spans="2:58" s="33" customFormat="1" outlineLevel="1" x14ac:dyDescent="0.3">
      <c r="B82" s="34" t="s">
        <v>751</v>
      </c>
      <c r="C82" s="35">
        <v>39</v>
      </c>
      <c r="D82" s="36" t="s">
        <v>741</v>
      </c>
      <c r="E82" s="37" t="s">
        <v>87</v>
      </c>
      <c r="F82" s="38" t="s">
        <v>88</v>
      </c>
      <c r="G82" s="38" t="s">
        <v>219</v>
      </c>
      <c r="H82" s="38" t="s">
        <v>218</v>
      </c>
      <c r="I82" s="38" t="s">
        <v>9</v>
      </c>
      <c r="J82" s="39">
        <v>617703</v>
      </c>
      <c r="K82" s="40">
        <v>586320</v>
      </c>
      <c r="L82" s="40"/>
      <c r="M82" s="40"/>
      <c r="N82" s="41"/>
      <c r="O82" s="41"/>
      <c r="P82" s="41"/>
      <c r="Q82" s="41" t="s">
        <v>8</v>
      </c>
      <c r="R82" s="42">
        <v>5235</v>
      </c>
      <c r="S82" s="42">
        <v>15705</v>
      </c>
      <c r="T82" s="43">
        <f t="shared" si="11"/>
        <v>20940</v>
      </c>
      <c r="U82" s="181">
        <f t="shared" si="10"/>
        <v>0</v>
      </c>
      <c r="V82" s="44">
        <v>20940</v>
      </c>
      <c r="W82" s="44">
        <v>20940</v>
      </c>
      <c r="X82" s="44">
        <v>20940</v>
      </c>
      <c r="Y82" s="44">
        <v>20940</v>
      </c>
      <c r="Z82" s="44">
        <v>20940</v>
      </c>
      <c r="AA82" s="44">
        <v>20940</v>
      </c>
      <c r="AB82" s="44">
        <v>20940</v>
      </c>
      <c r="AC82" s="44">
        <v>20940</v>
      </c>
      <c r="AD82" s="44">
        <v>20940</v>
      </c>
      <c r="AE82" s="44">
        <v>20940</v>
      </c>
      <c r="AF82" s="44">
        <v>20940</v>
      </c>
      <c r="AG82" s="44">
        <v>20940</v>
      </c>
      <c r="AH82" s="44">
        <v>20940</v>
      </c>
      <c r="AI82" s="44">
        <v>20940</v>
      </c>
      <c r="AJ82" s="44">
        <v>20940</v>
      </c>
      <c r="AK82" s="44">
        <v>20940</v>
      </c>
      <c r="AL82" s="44">
        <v>20940</v>
      </c>
      <c r="AM82" s="44">
        <v>20940</v>
      </c>
      <c r="AN82" s="44">
        <v>20940</v>
      </c>
      <c r="AO82" s="44">
        <v>20940</v>
      </c>
      <c r="AP82" s="44">
        <v>20940</v>
      </c>
      <c r="AQ82" s="44">
        <v>20940</v>
      </c>
      <c r="AR82" s="44">
        <v>20940</v>
      </c>
      <c r="AS82" s="44">
        <v>20940</v>
      </c>
      <c r="AT82" s="44">
        <v>20940</v>
      </c>
      <c r="AU82" s="44">
        <v>20940</v>
      </c>
      <c r="AV82" s="44">
        <v>20940</v>
      </c>
      <c r="AW82" s="44">
        <v>10470</v>
      </c>
      <c r="AX82" s="44"/>
      <c r="AY82" s="44"/>
      <c r="AZ82" s="45">
        <f t="shared" si="12"/>
        <v>575850</v>
      </c>
      <c r="BA82" s="46">
        <f t="shared" si="15"/>
        <v>0</v>
      </c>
      <c r="BB82" s="47">
        <f t="shared" si="13"/>
        <v>429270</v>
      </c>
      <c r="BC82" s="48">
        <f t="shared" si="17"/>
        <v>575850</v>
      </c>
      <c r="BE82" s="33" t="b">
        <f t="shared" si="16"/>
        <v>1</v>
      </c>
      <c r="BF82" s="49"/>
    </row>
    <row r="83" spans="2:58" outlineLevel="1" x14ac:dyDescent="0.3">
      <c r="B83" s="50" t="s">
        <v>751</v>
      </c>
      <c r="C83" s="51"/>
      <c r="D83" s="52"/>
      <c r="E83" s="53"/>
      <c r="F83" s="54"/>
      <c r="G83" s="54"/>
      <c r="H83" s="54"/>
      <c r="I83" s="54"/>
      <c r="J83" s="55"/>
      <c r="K83" s="55"/>
      <c r="L83" s="55" t="s">
        <v>217</v>
      </c>
      <c r="M83" s="55"/>
      <c r="N83" s="56">
        <f t="shared" si="14"/>
        <v>4.5049999999999999</v>
      </c>
      <c r="O83" s="56">
        <v>4.5049999999999999</v>
      </c>
      <c r="P83" s="56">
        <f>$P$4</f>
        <v>0</v>
      </c>
      <c r="Q83" s="56" t="s">
        <v>10</v>
      </c>
      <c r="R83" s="57">
        <v>13231.75</v>
      </c>
      <c r="S83" s="57">
        <v>12619.29</v>
      </c>
      <c r="T83" s="58">
        <f t="shared" si="11"/>
        <v>25851.040000000001</v>
      </c>
      <c r="U83" s="182">
        <f t="shared" si="10"/>
        <v>2.4999999986903276E-3</v>
      </c>
      <c r="V83" s="59">
        <f>SUM(V82:$AW82)*$N83/100-91</f>
        <v>25851.0425</v>
      </c>
      <c r="W83" s="59">
        <f>SUM(W82:$AW82)*$N83/100</f>
        <v>24998.695499999998</v>
      </c>
      <c r="X83" s="59">
        <f>SUM(X82:$AW82)*$N83/100</f>
        <v>24055.3485</v>
      </c>
      <c r="Y83" s="59">
        <f>SUM(Y82:$AW82)*$N83/100</f>
        <v>23112.001499999998</v>
      </c>
      <c r="Z83" s="59">
        <f>SUM(Z82:$AW82)*$N83/100</f>
        <v>22168.654499999997</v>
      </c>
      <c r="AA83" s="59">
        <f>SUM(AA82:$AW82)*$N83/100</f>
        <v>21225.307499999999</v>
      </c>
      <c r="AB83" s="59">
        <f>SUM(AB82:$AW82)*$N83/100</f>
        <v>20281.960500000001</v>
      </c>
      <c r="AC83" s="59">
        <f>SUM(AC82:$AW82)*$N83/100</f>
        <v>19338.613499999999</v>
      </c>
      <c r="AD83" s="59">
        <f>SUM(AD82:$AW82)*$N83/100</f>
        <v>18395.266499999998</v>
      </c>
      <c r="AE83" s="59">
        <f>SUM(AE82:$AW82)*$N83/100</f>
        <v>17451.9195</v>
      </c>
      <c r="AF83" s="59">
        <f>SUM(AF82:$AW82)*$N83/100</f>
        <v>16508.572499999998</v>
      </c>
      <c r="AG83" s="59">
        <f>SUM(AG82:$AW82)*$N83/100</f>
        <v>15565.2255</v>
      </c>
      <c r="AH83" s="59">
        <f>SUM(AH82:$AW82)*$N83/100</f>
        <v>14621.878499999999</v>
      </c>
      <c r="AI83" s="59">
        <f>SUM(AI82:$AW82)*$N83/100</f>
        <v>13678.531499999999</v>
      </c>
      <c r="AJ83" s="59">
        <f>SUM(AJ82:$AW82)*$N83/100</f>
        <v>12735.184499999999</v>
      </c>
      <c r="AK83" s="59">
        <f>SUM(AK82:$AW82)*$N83/100</f>
        <v>11791.8375</v>
      </c>
      <c r="AL83" s="59">
        <f>SUM(AL82:$AW82)*$N83/100</f>
        <v>10848.4905</v>
      </c>
      <c r="AM83" s="59">
        <f>SUM(AM82:$AW82)*$N83/100</f>
        <v>9905.1435000000001</v>
      </c>
      <c r="AN83" s="59">
        <f>SUM(AN82:$AW82)*$N83/100</f>
        <v>8961.7965000000004</v>
      </c>
      <c r="AO83" s="59">
        <f>SUM(AO82:$AW82)*$N83/100</f>
        <v>8018.4494999999997</v>
      </c>
      <c r="AP83" s="59">
        <f>SUM(AP82:$AW82)*$N83/100</f>
        <v>7075.1025</v>
      </c>
      <c r="AQ83" s="59">
        <f>SUM(AQ82:$AW82)*$N83/100</f>
        <v>6131.7554999999993</v>
      </c>
      <c r="AR83" s="59">
        <f>SUM(AR82:$AW82)*$N83/100</f>
        <v>5188.4084999999995</v>
      </c>
      <c r="AS83" s="59">
        <f>SUM(AS82:$AW82)*$N83/100</f>
        <v>4245.0614999999998</v>
      </c>
      <c r="AT83" s="59">
        <f>SUM(AT82:$AW82)*$N83/100</f>
        <v>3301.7145</v>
      </c>
      <c r="AU83" s="59">
        <f>SUM(AU82:$AW82)*$N83/100</f>
        <v>2358.3674999999998</v>
      </c>
      <c r="AV83" s="59">
        <f>SUM(AV82:$AW82)*$N83/100</f>
        <v>1415.0204999999999</v>
      </c>
      <c r="AW83" s="59">
        <f>SUM(AW82:$AW82)*$N83/100</f>
        <v>471.67349999999999</v>
      </c>
      <c r="AX83" s="59"/>
      <c r="AY83" s="59"/>
      <c r="AZ83" s="60">
        <f t="shared" si="12"/>
        <v>369701.02399999992</v>
      </c>
      <c r="BA83" s="46">
        <f t="shared" si="15"/>
        <v>0</v>
      </c>
      <c r="BB83" s="61">
        <f t="shared" si="13"/>
        <v>208008.01350000003</v>
      </c>
      <c r="BC83" s="62">
        <f t="shared" si="17"/>
        <v>369701.02399999998</v>
      </c>
      <c r="BE83" s="33" t="b">
        <f t="shared" si="16"/>
        <v>1</v>
      </c>
    </row>
    <row r="84" spans="2:58" s="33" customFormat="1" outlineLevel="1" x14ac:dyDescent="0.3">
      <c r="B84" s="34" t="s">
        <v>751</v>
      </c>
      <c r="C84" s="35">
        <v>40</v>
      </c>
      <c r="D84" s="36" t="s">
        <v>742</v>
      </c>
      <c r="E84" s="37" t="s">
        <v>89</v>
      </c>
      <c r="F84" s="38" t="s">
        <v>90</v>
      </c>
      <c r="G84" s="38" t="s">
        <v>222</v>
      </c>
      <c r="H84" s="38" t="s">
        <v>221</v>
      </c>
      <c r="I84" s="38" t="s">
        <v>9</v>
      </c>
      <c r="J84" s="39">
        <v>131926.07</v>
      </c>
      <c r="K84" s="40">
        <v>121795.07</v>
      </c>
      <c r="L84" s="40"/>
      <c r="M84" s="40"/>
      <c r="N84" s="41"/>
      <c r="O84" s="41"/>
      <c r="P84" s="41"/>
      <c r="Q84" s="41" t="s">
        <v>8</v>
      </c>
      <c r="R84" s="42">
        <v>1693</v>
      </c>
      <c r="S84" s="42">
        <v>5079</v>
      </c>
      <c r="T84" s="43">
        <f t="shared" si="11"/>
        <v>6772</v>
      </c>
      <c r="U84" s="181">
        <f t="shared" si="10"/>
        <v>0</v>
      </c>
      <c r="V84" s="44">
        <v>6772</v>
      </c>
      <c r="W84" s="44">
        <v>6772</v>
      </c>
      <c r="X84" s="44">
        <v>6772</v>
      </c>
      <c r="Y84" s="44">
        <v>6772</v>
      </c>
      <c r="Z84" s="44">
        <v>6772</v>
      </c>
      <c r="AA84" s="44">
        <v>6772</v>
      </c>
      <c r="AB84" s="44">
        <v>6772</v>
      </c>
      <c r="AC84" s="44">
        <v>6772</v>
      </c>
      <c r="AD84" s="44">
        <v>6772</v>
      </c>
      <c r="AE84" s="44">
        <v>6772</v>
      </c>
      <c r="AF84" s="44">
        <v>6772</v>
      </c>
      <c r="AG84" s="44">
        <v>6772</v>
      </c>
      <c r="AH84" s="44">
        <v>6772</v>
      </c>
      <c r="AI84" s="44">
        <v>6772</v>
      </c>
      <c r="AJ84" s="44">
        <v>6772</v>
      </c>
      <c r="AK84" s="44">
        <v>6772</v>
      </c>
      <c r="AL84" s="44">
        <v>6772</v>
      </c>
      <c r="AM84" s="44">
        <v>3285.0699999999997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4"/>
      <c r="AY84" s="44"/>
      <c r="AZ84" s="45">
        <f t="shared" si="12"/>
        <v>118409.07</v>
      </c>
      <c r="BA84" s="46">
        <f t="shared" si="15"/>
        <v>0</v>
      </c>
      <c r="BB84" s="47">
        <f t="shared" si="13"/>
        <v>71005.070000000007</v>
      </c>
      <c r="BC84" s="48">
        <f t="shared" si="17"/>
        <v>118409.07</v>
      </c>
      <c r="BE84" s="33" t="b">
        <f t="shared" si="16"/>
        <v>1</v>
      </c>
      <c r="BF84" s="49"/>
    </row>
    <row r="85" spans="2:58" outlineLevel="1" x14ac:dyDescent="0.3">
      <c r="B85" s="50" t="s">
        <v>751</v>
      </c>
      <c r="C85" s="51"/>
      <c r="D85" s="52"/>
      <c r="E85" s="53"/>
      <c r="F85" s="54"/>
      <c r="G85" s="54"/>
      <c r="H85" s="54"/>
      <c r="I85" s="54"/>
      <c r="J85" s="55"/>
      <c r="K85" s="55"/>
      <c r="L85" s="55" t="s">
        <v>220</v>
      </c>
      <c r="M85" s="55"/>
      <c r="N85" s="56">
        <f t="shared" si="14"/>
        <v>4.41</v>
      </c>
      <c r="O85" s="56">
        <v>4.41</v>
      </c>
      <c r="P85" s="56">
        <f>$P$4</f>
        <v>0</v>
      </c>
      <c r="Q85" s="56" t="s">
        <v>10</v>
      </c>
      <c r="R85" s="57">
        <v>2668.5299999999997</v>
      </c>
      <c r="S85" s="57">
        <v>2501</v>
      </c>
      <c r="T85" s="58">
        <f t="shared" si="11"/>
        <v>5169.53</v>
      </c>
      <c r="U85" s="182">
        <f t="shared" si="10"/>
        <v>0.30998700000054669</v>
      </c>
      <c r="V85" s="59">
        <f>SUM(V84:$AW84)*$N85/100-52</f>
        <v>5169.8399870000003</v>
      </c>
      <c r="W85" s="59">
        <f>SUM(W84:$AW84)*$N85/100</f>
        <v>4923.1947870000004</v>
      </c>
      <c r="X85" s="59">
        <f>SUM(X84:$AW84)*$N85/100</f>
        <v>4624.5495870000004</v>
      </c>
      <c r="Y85" s="59">
        <f>SUM(Y84:$AW84)*$N85/100</f>
        <v>4325.9043870000005</v>
      </c>
      <c r="Z85" s="59">
        <f>SUM(Z84:$AW84)*$N85/100</f>
        <v>4027.2591870000006</v>
      </c>
      <c r="AA85" s="59">
        <f>SUM(AA84:$AW84)*$N85/100</f>
        <v>3728.6139870000002</v>
      </c>
      <c r="AB85" s="59">
        <f>SUM(AB84:$AW84)*$N85/100</f>
        <v>3429.9687870000007</v>
      </c>
      <c r="AC85" s="59">
        <f>SUM(AC84:$AW84)*$N85/100</f>
        <v>3131.3235870000003</v>
      </c>
      <c r="AD85" s="59">
        <f>SUM(AD84:$AW84)*$N85/100</f>
        <v>2832.6783870000004</v>
      </c>
      <c r="AE85" s="59">
        <f>SUM(AE84:$AW84)*$N85/100</f>
        <v>2534.033187</v>
      </c>
      <c r="AF85" s="59">
        <f>SUM(AF84:$AW84)*$N85/100</f>
        <v>2235.3879870000001</v>
      </c>
      <c r="AG85" s="59">
        <f>SUM(AG84:$AW84)*$N85/100</f>
        <v>1936.7427869999999</v>
      </c>
      <c r="AH85" s="59">
        <f>SUM(AH84:$AW84)*$N85/100</f>
        <v>1638.097587</v>
      </c>
      <c r="AI85" s="59">
        <f>SUM(AI84:$AW84)*$N85/100</f>
        <v>1339.4523870000003</v>
      </c>
      <c r="AJ85" s="59">
        <f>SUM(AJ84:$AW84)*$N85/100</f>
        <v>1040.8071869999999</v>
      </c>
      <c r="AK85" s="59">
        <f>SUM(AK84:$AW84)*$N85/100</f>
        <v>742.16198700000007</v>
      </c>
      <c r="AL85" s="59">
        <f>SUM(AL84:$AW84)*$N85/100</f>
        <v>443.51678699999997</v>
      </c>
      <c r="AM85" s="59">
        <f>SUM(AM84:$AW84)*$N85/100</f>
        <v>144.87158700000001</v>
      </c>
      <c r="AN85" s="59">
        <v>0</v>
      </c>
      <c r="AO85" s="59">
        <v>0</v>
      </c>
      <c r="AP85" s="59">
        <v>0</v>
      </c>
      <c r="AQ85" s="59">
        <v>0</v>
      </c>
      <c r="AR85" s="59">
        <v>0</v>
      </c>
      <c r="AS85" s="59">
        <v>0</v>
      </c>
      <c r="AT85" s="59">
        <v>0</v>
      </c>
      <c r="AU85" s="59">
        <v>0</v>
      </c>
      <c r="AV85" s="59">
        <v>0</v>
      </c>
      <c r="AW85" s="59">
        <v>0</v>
      </c>
      <c r="AX85" s="59"/>
      <c r="AY85" s="59"/>
      <c r="AZ85" s="60">
        <f t="shared" si="12"/>
        <v>48248.404166000008</v>
      </c>
      <c r="BA85" s="46">
        <f t="shared" si="15"/>
        <v>0</v>
      </c>
      <c r="BB85" s="61">
        <f t="shared" si="13"/>
        <v>18019.073456999999</v>
      </c>
      <c r="BC85" s="62">
        <f t="shared" si="17"/>
        <v>48248.404166000008</v>
      </c>
      <c r="BE85" s="33" t="b">
        <f t="shared" si="16"/>
        <v>1</v>
      </c>
    </row>
    <row r="86" spans="2:58" s="33" customFormat="1" outlineLevel="1" x14ac:dyDescent="0.3">
      <c r="B86" s="34" t="s">
        <v>751</v>
      </c>
      <c r="C86" s="35">
        <v>41</v>
      </c>
      <c r="D86" s="36" t="s">
        <v>833</v>
      </c>
      <c r="E86" s="37" t="s">
        <v>91</v>
      </c>
      <c r="F86" s="38" t="s">
        <v>92</v>
      </c>
      <c r="G86" s="38" t="s">
        <v>222</v>
      </c>
      <c r="H86" s="38" t="s">
        <v>221</v>
      </c>
      <c r="I86" s="38" t="s">
        <v>9</v>
      </c>
      <c r="J86" s="39">
        <v>145332</v>
      </c>
      <c r="K86" s="40">
        <v>134208</v>
      </c>
      <c r="L86" s="40"/>
      <c r="M86" s="40"/>
      <c r="N86" s="41"/>
      <c r="O86" s="41"/>
      <c r="P86" s="41"/>
      <c r="Q86" s="41" t="s">
        <v>8</v>
      </c>
      <c r="R86" s="42">
        <v>1864</v>
      </c>
      <c r="S86" s="42">
        <v>5592</v>
      </c>
      <c r="T86" s="43">
        <f t="shared" si="11"/>
        <v>7456</v>
      </c>
      <c r="U86" s="181">
        <f t="shared" si="10"/>
        <v>0</v>
      </c>
      <c r="V86" s="44">
        <v>7456</v>
      </c>
      <c r="W86" s="44">
        <v>7456</v>
      </c>
      <c r="X86" s="44">
        <v>7456</v>
      </c>
      <c r="Y86" s="44">
        <v>7456</v>
      </c>
      <c r="Z86" s="44">
        <v>7456</v>
      </c>
      <c r="AA86" s="44">
        <v>7456</v>
      </c>
      <c r="AB86" s="44">
        <v>7456</v>
      </c>
      <c r="AC86" s="44">
        <v>7456</v>
      </c>
      <c r="AD86" s="44">
        <v>7456</v>
      </c>
      <c r="AE86" s="44">
        <v>7456</v>
      </c>
      <c r="AF86" s="44">
        <v>7456</v>
      </c>
      <c r="AG86" s="44">
        <v>7456</v>
      </c>
      <c r="AH86" s="44">
        <v>7456</v>
      </c>
      <c r="AI86" s="44">
        <v>7456</v>
      </c>
      <c r="AJ86" s="44">
        <v>7456</v>
      </c>
      <c r="AK86" s="44">
        <v>7456</v>
      </c>
      <c r="AL86" s="44">
        <v>7456</v>
      </c>
      <c r="AM86" s="44">
        <v>3728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4"/>
      <c r="AY86" s="44"/>
      <c r="AZ86" s="45">
        <f t="shared" si="12"/>
        <v>130480</v>
      </c>
      <c r="BA86" s="46">
        <f t="shared" si="15"/>
        <v>0</v>
      </c>
      <c r="BB86" s="47">
        <f t="shared" si="13"/>
        <v>78288</v>
      </c>
      <c r="BC86" s="48">
        <f t="shared" si="17"/>
        <v>130480</v>
      </c>
      <c r="BE86" s="33" t="b">
        <f t="shared" si="16"/>
        <v>1</v>
      </c>
      <c r="BF86" s="49"/>
    </row>
    <row r="87" spans="2:58" outlineLevel="1" x14ac:dyDescent="0.3">
      <c r="B87" s="50" t="s">
        <v>751</v>
      </c>
      <c r="C87" s="51"/>
      <c r="D87" s="52" t="s">
        <v>834</v>
      </c>
      <c r="E87" s="53"/>
      <c r="F87" s="54"/>
      <c r="G87" s="54"/>
      <c r="H87" s="54"/>
      <c r="I87" s="54"/>
      <c r="J87" s="55"/>
      <c r="K87" s="55"/>
      <c r="L87" s="55" t="s">
        <v>220</v>
      </c>
      <c r="M87" s="55"/>
      <c r="N87" s="56">
        <f t="shared" si="14"/>
        <v>4.41</v>
      </c>
      <c r="O87" s="56">
        <v>4.41</v>
      </c>
      <c r="P87" s="56">
        <f>$P$4</f>
        <v>0</v>
      </c>
      <c r="Q87" s="56" t="s">
        <v>10</v>
      </c>
      <c r="R87" s="57">
        <v>2940.5699999999997</v>
      </c>
      <c r="S87" s="57">
        <v>2756.01</v>
      </c>
      <c r="T87" s="58">
        <f t="shared" si="11"/>
        <v>5696.58</v>
      </c>
      <c r="U87" s="182">
        <f t="shared" si="10"/>
        <v>0.58800000000064756</v>
      </c>
      <c r="V87" s="59">
        <f>SUM(V86:$AW86)*$N87/100-57</f>
        <v>5697.1680000000006</v>
      </c>
      <c r="W87" s="59">
        <f>SUM(W86:$AW86)*$N87/100</f>
        <v>5425.3584000000001</v>
      </c>
      <c r="X87" s="59">
        <f>SUM(X86:$AW86)*$N87/100</f>
        <v>5096.5488000000005</v>
      </c>
      <c r="Y87" s="59">
        <f>SUM(Y86:$AW86)*$N87/100</f>
        <v>4767.7392</v>
      </c>
      <c r="Z87" s="59">
        <f>SUM(Z86:$AW86)*$N87/100</f>
        <v>4438.9296000000004</v>
      </c>
      <c r="AA87" s="59">
        <f>SUM(AA86:$AW86)*$N87/100</f>
        <v>4110.12</v>
      </c>
      <c r="AB87" s="59">
        <f>SUM(AB86:$AW86)*$N87/100</f>
        <v>3781.3104000000003</v>
      </c>
      <c r="AC87" s="59">
        <f>SUM(AC86:$AW86)*$N87/100</f>
        <v>3452.5008000000003</v>
      </c>
      <c r="AD87" s="59">
        <f>SUM(AD86:$AW86)*$N87/100</f>
        <v>3123.6911999999998</v>
      </c>
      <c r="AE87" s="59">
        <f>SUM(AE86:$AW86)*$N87/100</f>
        <v>2794.8816000000002</v>
      </c>
      <c r="AF87" s="59">
        <f>SUM(AF86:$AW86)*$N87/100</f>
        <v>2466.0720000000001</v>
      </c>
      <c r="AG87" s="59">
        <f>SUM(AG86:$AW86)*$N87/100</f>
        <v>2137.2624000000001</v>
      </c>
      <c r="AH87" s="59">
        <f>SUM(AH86:$AW86)*$N87/100</f>
        <v>1808.4528</v>
      </c>
      <c r="AI87" s="59">
        <f>SUM(AI86:$AW86)*$N87/100</f>
        <v>1479.6432</v>
      </c>
      <c r="AJ87" s="59">
        <f>SUM(AJ86:$AW86)*$N87/100</f>
        <v>1150.8335999999999</v>
      </c>
      <c r="AK87" s="59">
        <f>SUM(AK86:$AW86)*$N87/100</f>
        <v>822.02400000000011</v>
      </c>
      <c r="AL87" s="59">
        <f>SUM(AL86:$AW86)*$N87/100</f>
        <v>493.21440000000001</v>
      </c>
      <c r="AM87" s="59">
        <f>SUM(AM86:$AW86)*$N87/100</f>
        <v>164.40479999999999</v>
      </c>
      <c r="AN87" s="59">
        <v>0</v>
      </c>
      <c r="AO87" s="59">
        <v>0</v>
      </c>
      <c r="AP87" s="59">
        <v>0</v>
      </c>
      <c r="AQ87" s="59">
        <v>0</v>
      </c>
      <c r="AR87" s="59">
        <v>0</v>
      </c>
      <c r="AS87" s="59">
        <v>0</v>
      </c>
      <c r="AT87" s="59">
        <v>0</v>
      </c>
      <c r="AU87" s="59">
        <v>0</v>
      </c>
      <c r="AV87" s="59">
        <v>0</v>
      </c>
      <c r="AW87" s="59">
        <v>0</v>
      </c>
      <c r="AX87" s="59"/>
      <c r="AY87" s="59"/>
      <c r="AZ87" s="60">
        <f t="shared" si="12"/>
        <v>53210.155199999994</v>
      </c>
      <c r="BA87" s="46">
        <f t="shared" si="15"/>
        <v>0</v>
      </c>
      <c r="BB87" s="61">
        <f t="shared" si="13"/>
        <v>19892.980800000001</v>
      </c>
      <c r="BC87" s="62">
        <f t="shared" si="17"/>
        <v>53210.155200000008</v>
      </c>
      <c r="BE87" s="33" t="b">
        <f t="shared" si="16"/>
        <v>1</v>
      </c>
    </row>
    <row r="88" spans="2:58" s="33" customFormat="1" outlineLevel="1" x14ac:dyDescent="0.3">
      <c r="B88" s="34" t="s">
        <v>750</v>
      </c>
      <c r="C88" s="35">
        <v>42</v>
      </c>
      <c r="D88" s="36" t="s">
        <v>734</v>
      </c>
      <c r="E88" s="37" t="s">
        <v>93</v>
      </c>
      <c r="F88" s="38" t="s">
        <v>94</v>
      </c>
      <c r="G88" s="38" t="s">
        <v>224</v>
      </c>
      <c r="H88" s="38" t="s">
        <v>223</v>
      </c>
      <c r="I88" s="38" t="s">
        <v>9</v>
      </c>
      <c r="J88" s="39">
        <v>141294</v>
      </c>
      <c r="K88" s="40">
        <v>96681</v>
      </c>
      <c r="L88" s="40"/>
      <c r="M88" s="40"/>
      <c r="N88" s="41"/>
      <c r="O88" s="41"/>
      <c r="P88" s="41"/>
      <c r="Q88" s="41" t="s">
        <v>8</v>
      </c>
      <c r="R88" s="42">
        <v>7437</v>
      </c>
      <c r="S88" s="42">
        <v>22311</v>
      </c>
      <c r="T88" s="43">
        <f t="shared" si="11"/>
        <v>29748</v>
      </c>
      <c r="U88" s="181">
        <f t="shared" si="10"/>
        <v>0</v>
      </c>
      <c r="V88" s="44">
        <v>29748</v>
      </c>
      <c r="W88" s="44">
        <v>29748</v>
      </c>
      <c r="X88" s="44">
        <v>22311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4"/>
      <c r="AY88" s="44"/>
      <c r="AZ88" s="45">
        <f t="shared" si="12"/>
        <v>81807</v>
      </c>
      <c r="BA88" s="46">
        <f t="shared" si="15"/>
        <v>0</v>
      </c>
      <c r="BB88" s="47">
        <f t="shared" si="13"/>
        <v>0</v>
      </c>
      <c r="BC88" s="48">
        <f t="shared" si="17"/>
        <v>81807</v>
      </c>
      <c r="BE88" s="33" t="b">
        <f t="shared" si="16"/>
        <v>1</v>
      </c>
      <c r="BF88" s="49"/>
    </row>
    <row r="89" spans="2:58" outlineLevel="1" x14ac:dyDescent="0.3">
      <c r="B89" s="50" t="s">
        <v>750</v>
      </c>
      <c r="C89" s="51"/>
      <c r="D89" s="52"/>
      <c r="E89" s="53"/>
      <c r="F89" s="54"/>
      <c r="G89" s="54"/>
      <c r="H89" s="54"/>
      <c r="I89" s="54"/>
      <c r="J89" s="55"/>
      <c r="K89" s="55"/>
      <c r="L89" s="55">
        <v>0</v>
      </c>
      <c r="M89" s="55" t="s">
        <v>748</v>
      </c>
      <c r="N89" s="56">
        <f t="shared" si="14"/>
        <v>0.25</v>
      </c>
      <c r="O89" s="56">
        <v>0.25</v>
      </c>
      <c r="P89" s="56">
        <f>$P$4</f>
        <v>0</v>
      </c>
      <c r="Q89" s="56" t="s">
        <v>10</v>
      </c>
      <c r="R89" s="57">
        <v>107.47999999999999</v>
      </c>
      <c r="S89" s="57">
        <v>88.62</v>
      </c>
      <c r="T89" s="58">
        <f t="shared" si="11"/>
        <v>196.1</v>
      </c>
      <c r="U89" s="182">
        <f t="shared" si="10"/>
        <v>8.4175000000000182</v>
      </c>
      <c r="V89" s="59">
        <f>SUM(V88:$AW88)*$N89/100</f>
        <v>204.51750000000001</v>
      </c>
      <c r="W89" s="59">
        <f>SUM(W88:$AW88)*$N89/100</f>
        <v>130.14750000000001</v>
      </c>
      <c r="X89" s="59">
        <f>SUM(X88:$AW88)*$N89/100</f>
        <v>55.777500000000003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0</v>
      </c>
      <c r="AE89" s="59">
        <v>0</v>
      </c>
      <c r="AF89" s="59">
        <v>0</v>
      </c>
      <c r="AG89" s="59">
        <v>0</v>
      </c>
      <c r="AH89" s="59">
        <v>0</v>
      </c>
      <c r="AI89" s="59">
        <v>0</v>
      </c>
      <c r="AJ89" s="59">
        <v>0</v>
      </c>
      <c r="AK89" s="59">
        <v>0</v>
      </c>
      <c r="AL89" s="59">
        <v>0</v>
      </c>
      <c r="AM89" s="59">
        <v>0</v>
      </c>
      <c r="AN89" s="59">
        <v>0</v>
      </c>
      <c r="AO89" s="59">
        <v>0</v>
      </c>
      <c r="AP89" s="59">
        <v>0</v>
      </c>
      <c r="AQ89" s="59">
        <v>0</v>
      </c>
      <c r="AR89" s="59">
        <v>0</v>
      </c>
      <c r="AS89" s="59">
        <v>0</v>
      </c>
      <c r="AT89" s="59">
        <v>0</v>
      </c>
      <c r="AU89" s="59">
        <v>0</v>
      </c>
      <c r="AV89" s="59">
        <v>0</v>
      </c>
      <c r="AW89" s="59">
        <v>0</v>
      </c>
      <c r="AX89" s="59"/>
      <c r="AY89" s="59"/>
      <c r="AZ89" s="60">
        <f t="shared" si="12"/>
        <v>390.4425</v>
      </c>
      <c r="BA89" s="46">
        <f t="shared" si="15"/>
        <v>0</v>
      </c>
      <c r="BB89" s="61">
        <f t="shared" si="13"/>
        <v>0</v>
      </c>
      <c r="BC89" s="62">
        <f t="shared" si="17"/>
        <v>390.4425</v>
      </c>
      <c r="BE89" s="33" t="b">
        <f t="shared" si="16"/>
        <v>1</v>
      </c>
    </row>
    <row r="90" spans="2:58" s="33" customFormat="1" outlineLevel="1" x14ac:dyDescent="0.3">
      <c r="B90" s="34" t="s">
        <v>750</v>
      </c>
      <c r="C90" s="35">
        <v>43</v>
      </c>
      <c r="D90" s="36" t="s">
        <v>835</v>
      </c>
      <c r="E90" s="37" t="s">
        <v>95</v>
      </c>
      <c r="F90" s="38" t="s">
        <v>96</v>
      </c>
      <c r="G90" s="38" t="s">
        <v>227</v>
      </c>
      <c r="H90" s="38" t="s">
        <v>228</v>
      </c>
      <c r="I90" s="38" t="s">
        <v>9</v>
      </c>
      <c r="J90" s="39">
        <v>186392</v>
      </c>
      <c r="K90" s="40">
        <v>164720</v>
      </c>
      <c r="L90" s="40"/>
      <c r="M90" s="40"/>
      <c r="N90" s="41"/>
      <c r="O90" s="41">
        <v>3.4460000000000002</v>
      </c>
      <c r="P90" s="41"/>
      <c r="Q90" s="41" t="s">
        <v>8</v>
      </c>
      <c r="R90" s="42">
        <v>4340</v>
      </c>
      <c r="S90" s="42">
        <v>13020</v>
      </c>
      <c r="T90" s="43">
        <f t="shared" si="11"/>
        <v>17360</v>
      </c>
      <c r="U90" s="181">
        <f t="shared" si="10"/>
        <v>0</v>
      </c>
      <c r="V90" s="44">
        <v>17360</v>
      </c>
      <c r="W90" s="44">
        <v>15080</v>
      </c>
      <c r="X90" s="44">
        <v>8240</v>
      </c>
      <c r="Y90" s="44">
        <v>8240</v>
      </c>
      <c r="Z90" s="44">
        <v>8240</v>
      </c>
      <c r="AA90" s="44">
        <v>8240</v>
      </c>
      <c r="AB90" s="44">
        <v>8240</v>
      </c>
      <c r="AC90" s="44">
        <v>8240</v>
      </c>
      <c r="AD90" s="44">
        <v>8240</v>
      </c>
      <c r="AE90" s="44">
        <v>8240</v>
      </c>
      <c r="AF90" s="44">
        <v>8240</v>
      </c>
      <c r="AG90" s="44">
        <v>8240</v>
      </c>
      <c r="AH90" s="44">
        <v>8240</v>
      </c>
      <c r="AI90" s="44">
        <v>8240</v>
      </c>
      <c r="AJ90" s="44">
        <v>8240</v>
      </c>
      <c r="AK90" s="44">
        <v>8240</v>
      </c>
      <c r="AL90" s="44">
        <v>8240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4"/>
      <c r="AY90" s="44"/>
      <c r="AZ90" s="45">
        <f t="shared" si="12"/>
        <v>156040</v>
      </c>
      <c r="BA90" s="46">
        <f t="shared" si="15"/>
        <v>0</v>
      </c>
      <c r="BB90" s="47">
        <f t="shared" si="13"/>
        <v>82400</v>
      </c>
      <c r="BC90" s="48">
        <f t="shared" si="17"/>
        <v>156040</v>
      </c>
      <c r="BE90" s="33" t="b">
        <f t="shared" si="16"/>
        <v>1</v>
      </c>
      <c r="BF90" s="49"/>
    </row>
    <row r="91" spans="2:58" outlineLevel="1" x14ac:dyDescent="0.3">
      <c r="B91" s="50" t="s">
        <v>750</v>
      </c>
      <c r="C91" s="51"/>
      <c r="D91" s="52" t="s">
        <v>836</v>
      </c>
      <c r="E91" s="53"/>
      <c r="F91" s="54"/>
      <c r="G91" s="54"/>
      <c r="H91" s="54"/>
      <c r="I91" s="54"/>
      <c r="J91" s="55"/>
      <c r="K91" s="55"/>
      <c r="L91" s="55" t="s">
        <v>225</v>
      </c>
      <c r="M91" s="55"/>
      <c r="N91" s="56">
        <f t="shared" si="14"/>
        <v>4.5999999999999996</v>
      </c>
      <c r="O91" s="64">
        <v>4.5999999999999996</v>
      </c>
      <c r="P91" s="56">
        <f>$P$4</f>
        <v>0</v>
      </c>
      <c r="Q91" s="56" t="s">
        <v>10</v>
      </c>
      <c r="R91" s="57">
        <v>3318.33</v>
      </c>
      <c r="S91" s="57">
        <v>3412.83</v>
      </c>
      <c r="T91" s="58">
        <f t="shared" si="11"/>
        <v>6731.16</v>
      </c>
      <c r="U91" s="182">
        <f t="shared" si="10"/>
        <v>0.68000000000029104</v>
      </c>
      <c r="V91" s="59">
        <f>SUM(V90:$AW90)*$N91/100-446</f>
        <v>6731.84</v>
      </c>
      <c r="W91" s="59">
        <f>SUM(W90:$AW90)*$N91/100</f>
        <v>6379.28</v>
      </c>
      <c r="X91" s="59">
        <f>SUM(X90:$AW90)*$N91/100</f>
        <v>5685.6</v>
      </c>
      <c r="Y91" s="59">
        <f>SUM(Y90:$AW90)*$N91/100</f>
        <v>5306.56</v>
      </c>
      <c r="Z91" s="59">
        <f>SUM(Z90:$AW90)*$N91/100</f>
        <v>4927.5199999999995</v>
      </c>
      <c r="AA91" s="59">
        <f>SUM(AA90:$AW90)*$N91/100</f>
        <v>4548.4799999999996</v>
      </c>
      <c r="AB91" s="59">
        <f>SUM(AB90:$AW90)*$N91/100</f>
        <v>4169.4399999999996</v>
      </c>
      <c r="AC91" s="59">
        <f>SUM(AC90:$AW90)*$N91/100</f>
        <v>3790.3999999999996</v>
      </c>
      <c r="AD91" s="59">
        <f>SUM(AD90:$AW90)*$N91/100</f>
        <v>3411.36</v>
      </c>
      <c r="AE91" s="59">
        <f>SUM(AE90:$AW90)*$N91/100</f>
        <v>3032.32</v>
      </c>
      <c r="AF91" s="59">
        <f>SUM(AF90:$AW90)*$N91/100</f>
        <v>2653.28</v>
      </c>
      <c r="AG91" s="59">
        <f>SUM(AG90:$AW90)*$N91/100</f>
        <v>2274.2399999999998</v>
      </c>
      <c r="AH91" s="59">
        <f>SUM(AH90:$AW90)*$N91/100</f>
        <v>1895.1999999999998</v>
      </c>
      <c r="AI91" s="59">
        <f>SUM(AI90:$AW90)*$N91/100</f>
        <v>1516.16</v>
      </c>
      <c r="AJ91" s="59">
        <f>SUM(AJ90:$AW90)*$N91/100</f>
        <v>1137.1199999999999</v>
      </c>
      <c r="AK91" s="59">
        <f>SUM(AK90:$AW90)*$N91/100</f>
        <v>758.08</v>
      </c>
      <c r="AL91" s="59">
        <f>SUM(AL90:$AW90)*$N91/100</f>
        <v>379.04</v>
      </c>
      <c r="AM91" s="59">
        <v>0</v>
      </c>
      <c r="AN91" s="59">
        <v>0</v>
      </c>
      <c r="AO91" s="59">
        <v>0</v>
      </c>
      <c r="AP91" s="59">
        <v>0</v>
      </c>
      <c r="AQ91" s="59">
        <v>0</v>
      </c>
      <c r="AR91" s="59">
        <v>0</v>
      </c>
      <c r="AS91" s="59">
        <v>0</v>
      </c>
      <c r="AT91" s="59">
        <v>0</v>
      </c>
      <c r="AU91" s="59">
        <v>0</v>
      </c>
      <c r="AV91" s="59">
        <v>0</v>
      </c>
      <c r="AW91" s="59">
        <v>0</v>
      </c>
      <c r="AX91" s="59"/>
      <c r="AY91" s="59"/>
      <c r="AZ91" s="60">
        <f t="shared" si="12"/>
        <v>58595.920000000006</v>
      </c>
      <c r="BA91" s="46">
        <f t="shared" si="15"/>
        <v>0</v>
      </c>
      <c r="BB91" s="61">
        <f t="shared" si="13"/>
        <v>20847.2</v>
      </c>
      <c r="BC91" s="62">
        <f t="shared" si="17"/>
        <v>58595.92</v>
      </c>
      <c r="BE91" s="33" t="b">
        <f t="shared" si="16"/>
        <v>1</v>
      </c>
    </row>
    <row r="92" spans="2:58" s="33" customFormat="1" outlineLevel="1" x14ac:dyDescent="0.3">
      <c r="B92" s="34" t="s">
        <v>750</v>
      </c>
      <c r="C92" s="35">
        <v>44</v>
      </c>
      <c r="D92" s="36" t="s">
        <v>735</v>
      </c>
      <c r="E92" s="37" t="s">
        <v>97</v>
      </c>
      <c r="F92" s="38" t="s">
        <v>98</v>
      </c>
      <c r="G92" s="38" t="s">
        <v>227</v>
      </c>
      <c r="H92" s="38" t="s">
        <v>226</v>
      </c>
      <c r="I92" s="38" t="s">
        <v>9</v>
      </c>
      <c r="J92" s="39">
        <v>697002</v>
      </c>
      <c r="K92" s="40">
        <v>623662</v>
      </c>
      <c r="L92" s="40"/>
      <c r="M92" s="40"/>
      <c r="N92" s="41"/>
      <c r="O92" s="41">
        <v>3.302</v>
      </c>
      <c r="P92" s="41"/>
      <c r="Q92" s="41" t="s">
        <v>8</v>
      </c>
      <c r="R92" s="42">
        <v>18343</v>
      </c>
      <c r="S92" s="42">
        <v>55029</v>
      </c>
      <c r="T92" s="43">
        <f t="shared" si="11"/>
        <v>73372</v>
      </c>
      <c r="U92" s="181">
        <f t="shared" si="10"/>
        <v>0</v>
      </c>
      <c r="V92" s="44">
        <v>73372</v>
      </c>
      <c r="W92" s="44">
        <v>73372</v>
      </c>
      <c r="X92" s="44">
        <v>73372</v>
      </c>
      <c r="Y92" s="44">
        <v>73372</v>
      </c>
      <c r="Z92" s="44">
        <v>73372</v>
      </c>
      <c r="AA92" s="44">
        <v>73372</v>
      </c>
      <c r="AB92" s="44">
        <v>73372</v>
      </c>
      <c r="AC92" s="44">
        <v>73372</v>
      </c>
      <c r="AD92" s="44">
        <v>0</v>
      </c>
      <c r="AE92" s="44">
        <v>0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4"/>
      <c r="AY92" s="44"/>
      <c r="AZ92" s="45">
        <f t="shared" si="12"/>
        <v>586976</v>
      </c>
      <c r="BA92" s="46">
        <f t="shared" si="15"/>
        <v>0</v>
      </c>
      <c r="BB92" s="47">
        <f t="shared" si="13"/>
        <v>73372</v>
      </c>
      <c r="BC92" s="48">
        <f t="shared" si="17"/>
        <v>586976</v>
      </c>
      <c r="BE92" s="33" t="b">
        <f t="shared" si="16"/>
        <v>1</v>
      </c>
      <c r="BF92" s="49"/>
    </row>
    <row r="93" spans="2:58" outlineLevel="1" x14ac:dyDescent="0.3">
      <c r="B93" s="50" t="s">
        <v>750</v>
      </c>
      <c r="C93" s="51"/>
      <c r="D93" s="52"/>
      <c r="E93" s="53"/>
      <c r="F93" s="54"/>
      <c r="G93" s="54"/>
      <c r="H93" s="54"/>
      <c r="I93" s="54"/>
      <c r="J93" s="55"/>
      <c r="K93" s="55"/>
      <c r="L93" s="55" t="s">
        <v>225</v>
      </c>
      <c r="M93" s="55"/>
      <c r="N93" s="56">
        <f t="shared" si="14"/>
        <v>4.4000000000000004</v>
      </c>
      <c r="O93" s="64">
        <v>4.4000000000000004</v>
      </c>
      <c r="P93" s="56">
        <f>$P$4</f>
        <v>0</v>
      </c>
      <c r="Q93" s="56" t="s">
        <v>10</v>
      </c>
      <c r="R93" s="57">
        <v>12061.39</v>
      </c>
      <c r="S93" s="57">
        <v>12355.21</v>
      </c>
      <c r="T93" s="58">
        <f t="shared" si="11"/>
        <v>24416.6</v>
      </c>
      <c r="U93" s="190">
        <f t="shared" si="10"/>
        <v>2000.3440000000046</v>
      </c>
      <c r="V93" s="59">
        <f>SUM(V92:$AW92)*$N93/100-1410+2000</f>
        <v>26416.944000000003</v>
      </c>
      <c r="W93" s="59">
        <f>SUM(W92:$AW92)*$N93/100</f>
        <v>22598.576000000001</v>
      </c>
      <c r="X93" s="59">
        <f>SUM(X92:$AW92)*$N93/100</f>
        <v>19370.207999999999</v>
      </c>
      <c r="Y93" s="59">
        <f>SUM(Y92:$AW92)*$N93/100</f>
        <v>16141.840000000002</v>
      </c>
      <c r="Z93" s="59">
        <f>SUM(Z92:$AW92)*$N93/100</f>
        <v>12913.472000000002</v>
      </c>
      <c r="AA93" s="59">
        <f>SUM(AA92:$AW92)*$N93/100</f>
        <v>9685.1039999999994</v>
      </c>
      <c r="AB93" s="59">
        <f>SUM(AB92:$AW92)*$N93/100</f>
        <v>6456.7360000000008</v>
      </c>
      <c r="AC93" s="59">
        <f>SUM(AC92:$AW92)*$N93/100</f>
        <v>3228.3680000000004</v>
      </c>
      <c r="AD93" s="59">
        <v>0</v>
      </c>
      <c r="AE93" s="59">
        <v>0</v>
      </c>
      <c r="AF93" s="59">
        <v>0</v>
      </c>
      <c r="AG93" s="59">
        <v>0</v>
      </c>
      <c r="AH93" s="59">
        <v>0</v>
      </c>
      <c r="AI93" s="59">
        <v>0</v>
      </c>
      <c r="AJ93" s="59">
        <v>0</v>
      </c>
      <c r="AK93" s="59">
        <v>0</v>
      </c>
      <c r="AL93" s="59">
        <v>0</v>
      </c>
      <c r="AM93" s="59">
        <v>0</v>
      </c>
      <c r="AN93" s="59">
        <v>0</v>
      </c>
      <c r="AO93" s="59">
        <v>0</v>
      </c>
      <c r="AP93" s="59">
        <v>0</v>
      </c>
      <c r="AQ93" s="59">
        <v>0</v>
      </c>
      <c r="AR93" s="59">
        <v>0</v>
      </c>
      <c r="AS93" s="59">
        <v>0</v>
      </c>
      <c r="AT93" s="59">
        <v>0</v>
      </c>
      <c r="AU93" s="59">
        <v>0</v>
      </c>
      <c r="AV93" s="59">
        <v>0</v>
      </c>
      <c r="AW93" s="59">
        <v>0</v>
      </c>
      <c r="AX93" s="59"/>
      <c r="AY93" s="59"/>
      <c r="AZ93" s="60">
        <f t="shared" si="12"/>
        <v>116811.24800000001</v>
      </c>
      <c r="BA93" s="46">
        <f t="shared" si="15"/>
        <v>0</v>
      </c>
      <c r="BB93" s="61">
        <f t="shared" si="13"/>
        <v>3228.3680000000004</v>
      </c>
      <c r="BC93" s="62">
        <f t="shared" si="17"/>
        <v>116811.24800000001</v>
      </c>
      <c r="BE93" s="33" t="b">
        <f t="shared" si="16"/>
        <v>1</v>
      </c>
    </row>
    <row r="94" spans="2:58" s="33" customFormat="1" outlineLevel="1" x14ac:dyDescent="0.3">
      <c r="B94" s="34" t="s">
        <v>750</v>
      </c>
      <c r="C94" s="35">
        <v>45</v>
      </c>
      <c r="D94" s="36" t="s">
        <v>733</v>
      </c>
      <c r="E94" s="37" t="s">
        <v>99</v>
      </c>
      <c r="F94" s="38" t="s">
        <v>100</v>
      </c>
      <c r="G94" s="38" t="s">
        <v>227</v>
      </c>
      <c r="H94" s="38" t="s">
        <v>226</v>
      </c>
      <c r="I94" s="38" t="s">
        <v>9</v>
      </c>
      <c r="J94" s="39">
        <v>559121.98</v>
      </c>
      <c r="K94" s="40">
        <v>471865.86</v>
      </c>
      <c r="L94" s="40"/>
      <c r="M94" s="40"/>
      <c r="N94" s="41"/>
      <c r="O94" s="41">
        <v>3.302</v>
      </c>
      <c r="P94" s="41"/>
      <c r="Q94" s="41" t="s">
        <v>8</v>
      </c>
      <c r="R94" s="42">
        <v>14529</v>
      </c>
      <c r="S94" s="42">
        <v>43587</v>
      </c>
      <c r="T94" s="43">
        <f t="shared" si="11"/>
        <v>58116</v>
      </c>
      <c r="U94" s="181">
        <f t="shared" si="10"/>
        <v>0</v>
      </c>
      <c r="V94" s="44">
        <v>58116</v>
      </c>
      <c r="W94" s="44">
        <v>58116</v>
      </c>
      <c r="X94" s="44">
        <v>58116</v>
      </c>
      <c r="Y94" s="44">
        <v>58116</v>
      </c>
      <c r="Z94" s="44">
        <v>58116</v>
      </c>
      <c r="AA94" s="44">
        <v>58116</v>
      </c>
      <c r="AB94" s="44">
        <v>58116</v>
      </c>
      <c r="AC94" s="44">
        <v>35995.86</v>
      </c>
      <c r="AD94" s="44">
        <v>0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4"/>
      <c r="AY94" s="44"/>
      <c r="AZ94" s="45">
        <f t="shared" si="12"/>
        <v>442807.86</v>
      </c>
      <c r="BA94" s="46">
        <f t="shared" si="15"/>
        <v>0</v>
      </c>
      <c r="BB94" s="47">
        <f t="shared" si="13"/>
        <v>35995.86</v>
      </c>
      <c r="BC94" s="48">
        <f t="shared" si="17"/>
        <v>442807.86</v>
      </c>
      <c r="BE94" s="33" t="b">
        <f t="shared" si="16"/>
        <v>1</v>
      </c>
      <c r="BF94" s="49"/>
    </row>
    <row r="95" spans="2:58" outlineLevel="1" x14ac:dyDescent="0.3">
      <c r="B95" s="50" t="s">
        <v>750</v>
      </c>
      <c r="C95" s="51"/>
      <c r="D95" s="52"/>
      <c r="E95" s="53"/>
      <c r="F95" s="54"/>
      <c r="G95" s="54"/>
      <c r="H95" s="54"/>
      <c r="I95" s="54"/>
      <c r="J95" s="55"/>
      <c r="K95" s="55"/>
      <c r="L95" s="55" t="s">
        <v>225</v>
      </c>
      <c r="M95" s="55"/>
      <c r="N95" s="56">
        <f t="shared" si="14"/>
        <v>4.4000000000000004</v>
      </c>
      <c r="O95" s="64">
        <v>4.4000000000000004</v>
      </c>
      <c r="P95" s="56">
        <f>$P$4</f>
        <v>0</v>
      </c>
      <c r="Q95" s="56" t="s">
        <v>10</v>
      </c>
      <c r="R95" s="57">
        <v>9103.41</v>
      </c>
      <c r="S95" s="57">
        <v>9295.75</v>
      </c>
      <c r="T95" s="58">
        <f t="shared" si="11"/>
        <v>18399.16</v>
      </c>
      <c r="U95" s="190">
        <f t="shared" si="10"/>
        <v>1000.385839999999</v>
      </c>
      <c r="V95" s="59">
        <f>SUM(V94:$AW94)*$N95/100-1084+1000</f>
        <v>19399.545839999999</v>
      </c>
      <c r="W95" s="59">
        <f>SUM(W94:$AW94)*$N95/100</f>
        <v>16926.44184</v>
      </c>
      <c r="X95" s="59">
        <f>SUM(X94:$AW94)*$N95/100</f>
        <v>14369.33784</v>
      </c>
      <c r="Y95" s="59">
        <f>SUM(Y94:$AW94)*$N95/100</f>
        <v>11812.233840000001</v>
      </c>
      <c r="Z95" s="59">
        <f>SUM(Z94:$AW94)*$N95/100</f>
        <v>9255.1298400000014</v>
      </c>
      <c r="AA95" s="59">
        <f>SUM(AA94:$AW94)*$N95/100</f>
        <v>6698.0258400000002</v>
      </c>
      <c r="AB95" s="59">
        <f>SUM(AB94:$AW94)*$N95/100</f>
        <v>4140.92184</v>
      </c>
      <c r="AC95" s="59">
        <f>SUM(AC94:$AW94)*$N95/100</f>
        <v>1583.8178400000002</v>
      </c>
      <c r="AD95" s="59">
        <v>0</v>
      </c>
      <c r="AE95" s="59">
        <v>0</v>
      </c>
      <c r="AF95" s="59">
        <v>0</v>
      </c>
      <c r="AG95" s="59">
        <v>0</v>
      </c>
      <c r="AH95" s="59">
        <v>0</v>
      </c>
      <c r="AI95" s="59">
        <v>0</v>
      </c>
      <c r="AJ95" s="59">
        <v>0</v>
      </c>
      <c r="AK95" s="59">
        <v>0</v>
      </c>
      <c r="AL95" s="59">
        <v>0</v>
      </c>
      <c r="AM95" s="59">
        <v>0</v>
      </c>
      <c r="AN95" s="59">
        <v>0</v>
      </c>
      <c r="AO95" s="59">
        <v>0</v>
      </c>
      <c r="AP95" s="59">
        <v>0</v>
      </c>
      <c r="AQ95" s="59">
        <v>0</v>
      </c>
      <c r="AR95" s="59">
        <v>0</v>
      </c>
      <c r="AS95" s="59">
        <v>0</v>
      </c>
      <c r="AT95" s="59">
        <v>0</v>
      </c>
      <c r="AU95" s="59">
        <v>0</v>
      </c>
      <c r="AV95" s="59">
        <v>0</v>
      </c>
      <c r="AW95" s="59">
        <v>0</v>
      </c>
      <c r="AX95" s="59"/>
      <c r="AY95" s="59"/>
      <c r="AZ95" s="60">
        <f t="shared" si="12"/>
        <v>84185.454719999994</v>
      </c>
      <c r="BA95" s="46">
        <f t="shared" si="15"/>
        <v>0</v>
      </c>
      <c r="BB95" s="61">
        <f t="shared" si="13"/>
        <v>1583.8178400000002</v>
      </c>
      <c r="BC95" s="62">
        <f t="shared" si="17"/>
        <v>84185.454719999994</v>
      </c>
      <c r="BE95" s="33" t="b">
        <f t="shared" si="16"/>
        <v>1</v>
      </c>
    </row>
    <row r="96" spans="2:58" s="33" customFormat="1" outlineLevel="1" x14ac:dyDescent="0.3">
      <c r="B96" s="34" t="s">
        <v>751</v>
      </c>
      <c r="C96" s="35">
        <v>46</v>
      </c>
      <c r="D96" s="36" t="s">
        <v>837</v>
      </c>
      <c r="E96" s="37" t="s">
        <v>101</v>
      </c>
      <c r="F96" s="38" t="s">
        <v>102</v>
      </c>
      <c r="G96" s="38" t="s">
        <v>231</v>
      </c>
      <c r="H96" s="38" t="s">
        <v>230</v>
      </c>
      <c r="I96" s="38" t="s">
        <v>9</v>
      </c>
      <c r="J96" s="39">
        <v>247902</v>
      </c>
      <c r="K96" s="40">
        <v>216916</v>
      </c>
      <c r="L96" s="40"/>
      <c r="M96" s="40"/>
      <c r="N96" s="41"/>
      <c r="O96" s="41">
        <v>3.6269999999999998</v>
      </c>
      <c r="P96" s="41"/>
      <c r="Q96" s="41" t="s">
        <v>8</v>
      </c>
      <c r="R96" s="42">
        <v>15494</v>
      </c>
      <c r="S96" s="42">
        <v>46482</v>
      </c>
      <c r="T96" s="43">
        <f t="shared" si="11"/>
        <v>61976</v>
      </c>
      <c r="U96" s="181">
        <f t="shared" si="10"/>
        <v>0</v>
      </c>
      <c r="V96" s="44">
        <v>61976</v>
      </c>
      <c r="W96" s="44">
        <v>61976</v>
      </c>
      <c r="X96" s="44">
        <v>61976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4">
        <v>0</v>
      </c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0</v>
      </c>
      <c r="AS96" s="44">
        <v>0</v>
      </c>
      <c r="AT96" s="44">
        <v>0</v>
      </c>
      <c r="AU96" s="44">
        <v>0</v>
      </c>
      <c r="AV96" s="44">
        <v>0</v>
      </c>
      <c r="AW96" s="44">
        <v>0</v>
      </c>
      <c r="AX96" s="44"/>
      <c r="AY96" s="44"/>
      <c r="AZ96" s="45">
        <f t="shared" si="12"/>
        <v>185928</v>
      </c>
      <c r="BA96" s="46">
        <f t="shared" si="15"/>
        <v>0</v>
      </c>
      <c r="BB96" s="47">
        <f t="shared" si="13"/>
        <v>0</v>
      </c>
      <c r="BC96" s="48">
        <f t="shared" si="17"/>
        <v>185928</v>
      </c>
      <c r="BE96" s="33" t="b">
        <f t="shared" si="16"/>
        <v>1</v>
      </c>
      <c r="BF96" s="49"/>
    </row>
    <row r="97" spans="2:58" outlineLevel="1" x14ac:dyDescent="0.3">
      <c r="B97" s="50" t="s">
        <v>751</v>
      </c>
      <c r="C97" s="51"/>
      <c r="D97" s="52" t="s">
        <v>838</v>
      </c>
      <c r="E97" s="53"/>
      <c r="F97" s="54"/>
      <c r="G97" s="54"/>
      <c r="H97" s="54"/>
      <c r="I97" s="54"/>
      <c r="J97" s="55"/>
      <c r="K97" s="55"/>
      <c r="L97" s="55" t="s">
        <v>229</v>
      </c>
      <c r="M97" s="55"/>
      <c r="N97" s="56">
        <f t="shared" si="14"/>
        <v>4.0999999999999996</v>
      </c>
      <c r="O97" s="64">
        <v>4.0999999999999996</v>
      </c>
      <c r="P97" s="56">
        <f>$P$4</f>
        <v>0</v>
      </c>
      <c r="Q97" s="56" t="s">
        <v>10</v>
      </c>
      <c r="R97" s="57">
        <v>3733.04</v>
      </c>
      <c r="S97" s="57">
        <v>3282.32</v>
      </c>
      <c r="T97" s="58">
        <f t="shared" si="11"/>
        <v>7015.3600000000006</v>
      </c>
      <c r="U97" s="182">
        <f t="shared" si="10"/>
        <v>0.68799999999828287</v>
      </c>
      <c r="V97" s="59">
        <f>SUM(V96:$AW96)*$N97/100-607</f>
        <v>7016.0479999999989</v>
      </c>
      <c r="W97" s="59">
        <v>5336.22</v>
      </c>
      <c r="X97" s="59">
        <v>2449.1499999999996</v>
      </c>
      <c r="Y97" s="59">
        <v>160.5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0</v>
      </c>
      <c r="AF97" s="59">
        <v>0</v>
      </c>
      <c r="AG97" s="59">
        <v>0</v>
      </c>
      <c r="AH97" s="59">
        <v>0</v>
      </c>
      <c r="AI97" s="59">
        <v>0</v>
      </c>
      <c r="AJ97" s="59">
        <v>0</v>
      </c>
      <c r="AK97" s="59">
        <v>0</v>
      </c>
      <c r="AL97" s="59">
        <v>0</v>
      </c>
      <c r="AM97" s="59">
        <v>0</v>
      </c>
      <c r="AN97" s="59">
        <v>0</v>
      </c>
      <c r="AO97" s="59">
        <v>0</v>
      </c>
      <c r="AP97" s="59">
        <v>0</v>
      </c>
      <c r="AQ97" s="59">
        <v>0</v>
      </c>
      <c r="AR97" s="59">
        <v>0</v>
      </c>
      <c r="AS97" s="59">
        <v>0</v>
      </c>
      <c r="AT97" s="59">
        <v>0</v>
      </c>
      <c r="AU97" s="59">
        <v>0</v>
      </c>
      <c r="AV97" s="59">
        <v>0</v>
      </c>
      <c r="AW97" s="59">
        <v>0</v>
      </c>
      <c r="AX97" s="59"/>
      <c r="AY97" s="59"/>
      <c r="AZ97" s="60">
        <f t="shared" si="12"/>
        <v>14961.918</v>
      </c>
      <c r="BA97" s="46">
        <f t="shared" si="15"/>
        <v>0</v>
      </c>
      <c r="BB97" s="61">
        <f t="shared" si="13"/>
        <v>0</v>
      </c>
      <c r="BC97" s="62">
        <f t="shared" si="17"/>
        <v>14961.918</v>
      </c>
      <c r="BE97" s="33" t="b">
        <f t="shared" si="16"/>
        <v>1</v>
      </c>
    </row>
    <row r="98" spans="2:58" s="33" customFormat="1" outlineLevel="1" x14ac:dyDescent="0.3">
      <c r="B98" s="34" t="s">
        <v>751</v>
      </c>
      <c r="C98" s="35">
        <v>47</v>
      </c>
      <c r="D98" s="36" t="s">
        <v>839</v>
      </c>
      <c r="E98" s="37" t="s">
        <v>103</v>
      </c>
      <c r="F98" s="38" t="s">
        <v>104</v>
      </c>
      <c r="G98" s="38" t="s">
        <v>233</v>
      </c>
      <c r="H98" s="38" t="s">
        <v>234</v>
      </c>
      <c r="I98" s="38" t="s">
        <v>9</v>
      </c>
      <c r="J98" s="39">
        <v>178121</v>
      </c>
      <c r="K98" s="40">
        <v>99533.52</v>
      </c>
      <c r="L98" s="40"/>
      <c r="M98" s="40"/>
      <c r="N98" s="41"/>
      <c r="O98" s="41"/>
      <c r="P98" s="41"/>
      <c r="Q98" s="41" t="s">
        <v>8</v>
      </c>
      <c r="R98" s="42">
        <v>3125</v>
      </c>
      <c r="S98" s="42">
        <v>9375</v>
      </c>
      <c r="T98" s="43">
        <f t="shared" si="11"/>
        <v>12500</v>
      </c>
      <c r="U98" s="181">
        <f t="shared" si="10"/>
        <v>0</v>
      </c>
      <c r="V98" s="44">
        <v>12500</v>
      </c>
      <c r="W98" s="44">
        <v>12500</v>
      </c>
      <c r="X98" s="44">
        <v>12500</v>
      </c>
      <c r="Y98" s="44">
        <v>12500</v>
      </c>
      <c r="Z98" s="44">
        <v>12500</v>
      </c>
      <c r="AA98" s="44">
        <v>12500</v>
      </c>
      <c r="AB98" s="44">
        <v>12500</v>
      </c>
      <c r="AC98" s="44">
        <v>5783.52</v>
      </c>
      <c r="AD98" s="44">
        <v>0</v>
      </c>
      <c r="AE98" s="44">
        <v>0</v>
      </c>
      <c r="AF98" s="44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0</v>
      </c>
      <c r="AL98" s="44">
        <v>0</v>
      </c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0</v>
      </c>
      <c r="AS98" s="44">
        <v>0</v>
      </c>
      <c r="AT98" s="44">
        <v>0</v>
      </c>
      <c r="AU98" s="44">
        <v>0</v>
      </c>
      <c r="AV98" s="44">
        <v>0</v>
      </c>
      <c r="AW98" s="44">
        <v>0</v>
      </c>
      <c r="AX98" s="44"/>
      <c r="AY98" s="44"/>
      <c r="AZ98" s="45">
        <f t="shared" si="12"/>
        <v>93283.520000000004</v>
      </c>
      <c r="BA98" s="46">
        <f t="shared" si="15"/>
        <v>0</v>
      </c>
      <c r="BB98" s="47">
        <f t="shared" si="13"/>
        <v>5783.52</v>
      </c>
      <c r="BC98" s="48">
        <f t="shared" si="17"/>
        <v>93283.520000000004</v>
      </c>
      <c r="BE98" s="33" t="b">
        <f t="shared" si="16"/>
        <v>1</v>
      </c>
      <c r="BF98" s="49"/>
    </row>
    <row r="99" spans="2:58" outlineLevel="1" x14ac:dyDescent="0.3">
      <c r="B99" s="50" t="s">
        <v>751</v>
      </c>
      <c r="C99" s="51"/>
      <c r="D99" s="52" t="s">
        <v>840</v>
      </c>
      <c r="E99" s="53"/>
      <c r="F99" s="54"/>
      <c r="G99" s="54"/>
      <c r="H99" s="54"/>
      <c r="I99" s="54"/>
      <c r="J99" s="55"/>
      <c r="K99" s="55"/>
      <c r="L99" s="55" t="s">
        <v>232</v>
      </c>
      <c r="M99" s="55"/>
      <c r="N99" s="56">
        <f t="shared" si="14"/>
        <v>3.9020000000000001</v>
      </c>
      <c r="O99" s="56">
        <v>3.9020000000000001</v>
      </c>
      <c r="P99" s="56">
        <f>$P$4</f>
        <v>0</v>
      </c>
      <c r="Q99" s="56" t="s">
        <v>10</v>
      </c>
      <c r="R99" s="57">
        <v>1887.1399999999999</v>
      </c>
      <c r="S99" s="57">
        <v>1790.51</v>
      </c>
      <c r="T99" s="58">
        <f t="shared" si="11"/>
        <v>3677.6499999999996</v>
      </c>
      <c r="U99" s="182">
        <f t="shared" si="10"/>
        <v>0.27295040000080917</v>
      </c>
      <c r="V99" s="59">
        <f>SUM(V98:$AW98)*$N99/100+38</f>
        <v>3677.9229504000004</v>
      </c>
      <c r="W99" s="59">
        <f>SUM(W98:$AW98)*$N99/100</f>
        <v>3152.1729504000004</v>
      </c>
      <c r="X99" s="59">
        <f>SUM(X98:$AW98)*$N99/100</f>
        <v>2664.4229504</v>
      </c>
      <c r="Y99" s="59">
        <f>SUM(Y98:$AW98)*$N99/100</f>
        <v>2176.6729504000004</v>
      </c>
      <c r="Z99" s="59">
        <f>SUM(Z98:$AW98)*$N99/100</f>
        <v>1688.9229504000002</v>
      </c>
      <c r="AA99" s="59">
        <f>SUM(AA98:$AW98)*$N99/100</f>
        <v>1201.1729504000002</v>
      </c>
      <c r="AB99" s="59">
        <f>SUM(AB98:$AW98)*$N99/100</f>
        <v>713.42295039999999</v>
      </c>
      <c r="AC99" s="59">
        <f>SUM(AC98:$AW98)*$N99/100</f>
        <v>225.67295040000002</v>
      </c>
      <c r="AD99" s="59">
        <v>0</v>
      </c>
      <c r="AE99" s="59">
        <v>0</v>
      </c>
      <c r="AF99" s="59">
        <v>0</v>
      </c>
      <c r="AG99" s="59">
        <v>0</v>
      </c>
      <c r="AH99" s="59">
        <v>0</v>
      </c>
      <c r="AI99" s="59">
        <v>0</v>
      </c>
      <c r="AJ99" s="59">
        <v>0</v>
      </c>
      <c r="AK99" s="59">
        <v>0</v>
      </c>
      <c r="AL99" s="59">
        <v>0</v>
      </c>
      <c r="AM99" s="59">
        <v>0</v>
      </c>
      <c r="AN99" s="59">
        <v>0</v>
      </c>
      <c r="AO99" s="59">
        <v>0</v>
      </c>
      <c r="AP99" s="59">
        <v>0</v>
      </c>
      <c r="AQ99" s="59">
        <v>0</v>
      </c>
      <c r="AR99" s="59">
        <v>0</v>
      </c>
      <c r="AS99" s="59">
        <v>0</v>
      </c>
      <c r="AT99" s="59">
        <v>0</v>
      </c>
      <c r="AU99" s="59">
        <v>0</v>
      </c>
      <c r="AV99" s="59">
        <v>0</v>
      </c>
      <c r="AW99" s="59">
        <v>0</v>
      </c>
      <c r="AX99" s="59"/>
      <c r="AY99" s="59"/>
      <c r="AZ99" s="60">
        <f t="shared" si="12"/>
        <v>15500.3836032</v>
      </c>
      <c r="BA99" s="46">
        <f t="shared" si="15"/>
        <v>0</v>
      </c>
      <c r="BB99" s="61">
        <f t="shared" si="13"/>
        <v>225.67295040000002</v>
      </c>
      <c r="BC99" s="62">
        <f t="shared" si="17"/>
        <v>15500.3836032</v>
      </c>
      <c r="BE99" s="33" t="b">
        <f t="shared" si="16"/>
        <v>1</v>
      </c>
    </row>
    <row r="100" spans="2:58" s="33" customFormat="1" outlineLevel="1" x14ac:dyDescent="0.3">
      <c r="B100" s="34" t="s">
        <v>750</v>
      </c>
      <c r="C100" s="35">
        <v>48</v>
      </c>
      <c r="D100" s="36" t="s">
        <v>841</v>
      </c>
      <c r="E100" s="37" t="s">
        <v>105</v>
      </c>
      <c r="F100" s="38" t="s">
        <v>106</v>
      </c>
      <c r="G100" s="38" t="s">
        <v>237</v>
      </c>
      <c r="H100" s="38" t="s">
        <v>236</v>
      </c>
      <c r="I100" s="38" t="s">
        <v>9</v>
      </c>
      <c r="J100" s="39">
        <v>1230506</v>
      </c>
      <c r="K100" s="40">
        <v>873506.23</v>
      </c>
      <c r="L100" s="40"/>
      <c r="M100" s="40"/>
      <c r="N100" s="41"/>
      <c r="O100" s="41"/>
      <c r="P100" s="41"/>
      <c r="Q100" s="41" t="s">
        <v>8</v>
      </c>
      <c r="R100" s="42">
        <v>21588</v>
      </c>
      <c r="S100" s="42">
        <v>64764</v>
      </c>
      <c r="T100" s="43">
        <f t="shared" si="11"/>
        <v>86352</v>
      </c>
      <c r="U100" s="181">
        <f t="shared" si="10"/>
        <v>0</v>
      </c>
      <c r="V100" s="44">
        <v>86352</v>
      </c>
      <c r="W100" s="44">
        <v>86352</v>
      </c>
      <c r="X100" s="44">
        <v>86352</v>
      </c>
      <c r="Y100" s="44">
        <v>86352</v>
      </c>
      <c r="Z100" s="44">
        <v>86352</v>
      </c>
      <c r="AA100" s="44">
        <v>86352</v>
      </c>
      <c r="AB100" s="44">
        <v>86352</v>
      </c>
      <c r="AC100" s="44">
        <v>86352</v>
      </c>
      <c r="AD100" s="44">
        <v>86352</v>
      </c>
      <c r="AE100" s="44">
        <v>53162.229999999996</v>
      </c>
      <c r="AF100" s="44">
        <v>0</v>
      </c>
      <c r="AG100" s="44">
        <v>0</v>
      </c>
      <c r="AH100" s="44">
        <v>0</v>
      </c>
      <c r="AI100" s="44">
        <v>0</v>
      </c>
      <c r="AJ100" s="44">
        <v>0</v>
      </c>
      <c r="AK100" s="44">
        <v>0</v>
      </c>
      <c r="AL100" s="44">
        <v>0</v>
      </c>
      <c r="AM100" s="44">
        <v>0</v>
      </c>
      <c r="AN100" s="44">
        <v>0</v>
      </c>
      <c r="AO100" s="44">
        <v>0</v>
      </c>
      <c r="AP100" s="44">
        <v>0</v>
      </c>
      <c r="AQ100" s="44">
        <v>0</v>
      </c>
      <c r="AR100" s="44">
        <v>0</v>
      </c>
      <c r="AS100" s="44">
        <v>0</v>
      </c>
      <c r="AT100" s="44">
        <v>0</v>
      </c>
      <c r="AU100" s="44">
        <v>0</v>
      </c>
      <c r="AV100" s="44">
        <v>0</v>
      </c>
      <c r="AW100" s="44">
        <v>0</v>
      </c>
      <c r="AX100" s="44"/>
      <c r="AY100" s="44"/>
      <c r="AZ100" s="45">
        <f t="shared" si="12"/>
        <v>830330.23</v>
      </c>
      <c r="BA100" s="46">
        <f t="shared" si="15"/>
        <v>0</v>
      </c>
      <c r="BB100" s="47">
        <f t="shared" si="13"/>
        <v>225866.22999999998</v>
      </c>
      <c r="BC100" s="48">
        <f t="shared" si="17"/>
        <v>830330.23</v>
      </c>
      <c r="BE100" s="33" t="b">
        <f t="shared" si="16"/>
        <v>1</v>
      </c>
      <c r="BF100" s="49"/>
    </row>
    <row r="101" spans="2:58" outlineLevel="1" x14ac:dyDescent="0.3">
      <c r="B101" s="50" t="s">
        <v>750</v>
      </c>
      <c r="C101" s="51"/>
      <c r="D101" s="52" t="s">
        <v>842</v>
      </c>
      <c r="E101" s="53"/>
      <c r="F101" s="54"/>
      <c r="G101" s="54"/>
      <c r="H101" s="54"/>
      <c r="I101" s="54"/>
      <c r="J101" s="55"/>
      <c r="K101" s="55"/>
      <c r="L101" s="55" t="s">
        <v>235</v>
      </c>
      <c r="M101" s="55"/>
      <c r="N101" s="56">
        <f t="shared" si="14"/>
        <v>5.0529999999999999</v>
      </c>
      <c r="O101" s="56">
        <v>5.0529999999999999</v>
      </c>
      <c r="P101" s="56">
        <f>$P$4</f>
        <v>0</v>
      </c>
      <c r="Q101" s="56" t="s">
        <v>10</v>
      </c>
      <c r="R101" s="57">
        <v>22544.61</v>
      </c>
      <c r="S101" s="57">
        <v>21134.32</v>
      </c>
      <c r="T101" s="58">
        <f t="shared" si="11"/>
        <v>43678.93</v>
      </c>
      <c r="U101" s="182">
        <f t="shared" si="10"/>
        <v>0.65652189999673283</v>
      </c>
      <c r="V101" s="59">
        <f>SUM(V100:$AW100)*$N101/100+1723</f>
        <v>43679.586521899997</v>
      </c>
      <c r="W101" s="59">
        <f>SUM(W100:$AW100)*$N101/100</f>
        <v>37593.219961900002</v>
      </c>
      <c r="X101" s="59">
        <f>SUM(X100:$AW100)*$N101/100</f>
        <v>33229.8534019</v>
      </c>
      <c r="Y101" s="59">
        <f>SUM(Y100:$AW100)*$N101/100</f>
        <v>28866.486841899998</v>
      </c>
      <c r="Z101" s="59">
        <f>SUM(Z100:$AW100)*$N101/100</f>
        <v>24503.120281899999</v>
      </c>
      <c r="AA101" s="59">
        <f>SUM(AA100:$AW100)*$N101/100</f>
        <v>20139.753721899997</v>
      </c>
      <c r="AB101" s="59">
        <f>SUM(AB100:$AW100)*$N101/100</f>
        <v>15776.387161899998</v>
      </c>
      <c r="AC101" s="59">
        <f>SUM(AC100:$AW100)*$N101/100</f>
        <v>11413.020601899998</v>
      </c>
      <c r="AD101" s="59">
        <f>SUM(AD100:$AW100)*$N101/100</f>
        <v>7049.6540418999994</v>
      </c>
      <c r="AE101" s="59">
        <f>SUM(AE100:$AW100)*$N101/100</f>
        <v>2686.2874818999994</v>
      </c>
      <c r="AF101" s="59">
        <v>0</v>
      </c>
      <c r="AG101" s="59">
        <v>0</v>
      </c>
      <c r="AH101" s="59">
        <v>0</v>
      </c>
      <c r="AI101" s="59">
        <v>0</v>
      </c>
      <c r="AJ101" s="59">
        <v>0</v>
      </c>
      <c r="AK101" s="59">
        <v>0</v>
      </c>
      <c r="AL101" s="59">
        <v>0</v>
      </c>
      <c r="AM101" s="59">
        <v>0</v>
      </c>
      <c r="AN101" s="59">
        <v>0</v>
      </c>
      <c r="AO101" s="59">
        <v>0</v>
      </c>
      <c r="AP101" s="59">
        <v>0</v>
      </c>
      <c r="AQ101" s="59">
        <v>0</v>
      </c>
      <c r="AR101" s="59">
        <v>0</v>
      </c>
      <c r="AS101" s="59">
        <v>0</v>
      </c>
      <c r="AT101" s="59">
        <v>0</v>
      </c>
      <c r="AU101" s="59">
        <v>0</v>
      </c>
      <c r="AV101" s="59">
        <v>0</v>
      </c>
      <c r="AW101" s="59">
        <v>0</v>
      </c>
      <c r="AX101" s="59"/>
      <c r="AY101" s="59"/>
      <c r="AZ101" s="60">
        <f t="shared" si="12"/>
        <v>224937.37001900002</v>
      </c>
      <c r="BA101" s="46">
        <f t="shared" si="15"/>
        <v>0</v>
      </c>
      <c r="BB101" s="61">
        <f t="shared" si="13"/>
        <v>21148.962125699996</v>
      </c>
      <c r="BC101" s="62">
        <f t="shared" si="17"/>
        <v>224937.37001899999</v>
      </c>
      <c r="BE101" s="33" t="b">
        <f t="shared" si="16"/>
        <v>1</v>
      </c>
    </row>
    <row r="102" spans="2:58" s="33" customFormat="1" outlineLevel="1" x14ac:dyDescent="0.3">
      <c r="B102" s="34" t="s">
        <v>750</v>
      </c>
      <c r="C102" s="35">
        <v>49</v>
      </c>
      <c r="D102" s="36" t="s">
        <v>727</v>
      </c>
      <c r="E102" s="37" t="s">
        <v>107</v>
      </c>
      <c r="F102" s="38" t="s">
        <v>108</v>
      </c>
      <c r="G102" s="38" t="s">
        <v>240</v>
      </c>
      <c r="H102" s="38" t="s">
        <v>239</v>
      </c>
      <c r="I102" s="38" t="s">
        <v>9</v>
      </c>
      <c r="J102" s="39">
        <v>156436.10999999999</v>
      </c>
      <c r="K102" s="40">
        <v>137903.10999999999</v>
      </c>
      <c r="L102" s="40"/>
      <c r="M102" s="40"/>
      <c r="N102" s="41"/>
      <c r="O102" s="41"/>
      <c r="P102" s="41"/>
      <c r="Q102" s="41" t="s">
        <v>8</v>
      </c>
      <c r="R102" s="42">
        <v>9269</v>
      </c>
      <c r="S102" s="42">
        <v>27807</v>
      </c>
      <c r="T102" s="43">
        <f t="shared" si="11"/>
        <v>37076</v>
      </c>
      <c r="U102" s="181">
        <f t="shared" si="10"/>
        <v>0</v>
      </c>
      <c r="V102" s="44">
        <v>37076</v>
      </c>
      <c r="W102" s="44">
        <v>37076</v>
      </c>
      <c r="X102" s="44">
        <v>37076</v>
      </c>
      <c r="Y102" s="44">
        <v>8137.11</v>
      </c>
      <c r="Z102" s="44">
        <v>0</v>
      </c>
      <c r="AA102" s="44">
        <v>0</v>
      </c>
      <c r="AB102" s="44">
        <v>0</v>
      </c>
      <c r="AC102" s="44">
        <v>0</v>
      </c>
      <c r="AD102" s="44">
        <v>0</v>
      </c>
      <c r="AE102" s="44">
        <v>0</v>
      </c>
      <c r="AF102" s="44">
        <v>0</v>
      </c>
      <c r="AG102" s="44">
        <v>0</v>
      </c>
      <c r="AH102" s="44">
        <v>0</v>
      </c>
      <c r="AI102" s="44">
        <v>0</v>
      </c>
      <c r="AJ102" s="44">
        <v>0</v>
      </c>
      <c r="AK102" s="44">
        <v>0</v>
      </c>
      <c r="AL102" s="44">
        <v>0</v>
      </c>
      <c r="AM102" s="44">
        <v>0</v>
      </c>
      <c r="AN102" s="44">
        <v>0</v>
      </c>
      <c r="AO102" s="44">
        <v>0</v>
      </c>
      <c r="AP102" s="44">
        <v>0</v>
      </c>
      <c r="AQ102" s="44">
        <v>0</v>
      </c>
      <c r="AR102" s="44">
        <v>0</v>
      </c>
      <c r="AS102" s="44">
        <v>0</v>
      </c>
      <c r="AT102" s="44">
        <v>0</v>
      </c>
      <c r="AU102" s="44">
        <v>0</v>
      </c>
      <c r="AV102" s="44">
        <v>0</v>
      </c>
      <c r="AW102" s="44">
        <v>0</v>
      </c>
      <c r="AX102" s="44"/>
      <c r="AY102" s="44"/>
      <c r="AZ102" s="45">
        <f t="shared" si="12"/>
        <v>119365.11</v>
      </c>
      <c r="BA102" s="46">
        <f t="shared" si="15"/>
        <v>0</v>
      </c>
      <c r="BB102" s="47">
        <f t="shared" si="13"/>
        <v>0</v>
      </c>
      <c r="BC102" s="48">
        <f t="shared" si="17"/>
        <v>119365.11</v>
      </c>
      <c r="BE102" s="33" t="b">
        <f t="shared" si="16"/>
        <v>1</v>
      </c>
      <c r="BF102" s="49"/>
    </row>
    <row r="103" spans="2:58" outlineLevel="1" x14ac:dyDescent="0.3">
      <c r="B103" s="50" t="s">
        <v>750</v>
      </c>
      <c r="C103" s="51"/>
      <c r="D103" s="52"/>
      <c r="E103" s="53"/>
      <c r="F103" s="54"/>
      <c r="G103" s="54"/>
      <c r="H103" s="54"/>
      <c r="I103" s="54"/>
      <c r="J103" s="55"/>
      <c r="K103" s="55"/>
      <c r="L103" s="55" t="s">
        <v>238</v>
      </c>
      <c r="M103" s="55"/>
      <c r="N103" s="56">
        <f t="shared" si="14"/>
        <v>5.0449999999999999</v>
      </c>
      <c r="O103" s="56">
        <v>5.0449999999999999</v>
      </c>
      <c r="P103" s="56">
        <f>$P$4</f>
        <v>0</v>
      </c>
      <c r="Q103" s="56" t="s">
        <v>10</v>
      </c>
      <c r="R103" s="57">
        <v>3149.49</v>
      </c>
      <c r="S103" s="57">
        <v>2541.0699999999997</v>
      </c>
      <c r="T103" s="58">
        <f t="shared" si="11"/>
        <v>5690.5599999999995</v>
      </c>
      <c r="U103" s="182">
        <f t="shared" si="10"/>
        <v>0.40979950000019016</v>
      </c>
      <c r="V103" s="59">
        <f>SUM(V102:$AW102)*$N103/100-331</f>
        <v>5690.9697994999997</v>
      </c>
      <c r="W103" s="59">
        <f>SUM(W102:$AW102)*$N103/100</f>
        <v>4151.4855994999998</v>
      </c>
      <c r="X103" s="59">
        <f>SUM(X102:$AW102)*$N103/100</f>
        <v>2281.0013994999999</v>
      </c>
      <c r="Y103" s="59">
        <f>SUM(Y102:$AW102)*$N103/100</f>
        <v>410.5171995</v>
      </c>
      <c r="Z103" s="59">
        <v>0</v>
      </c>
      <c r="AA103" s="59">
        <v>0</v>
      </c>
      <c r="AB103" s="59">
        <v>0</v>
      </c>
      <c r="AC103" s="59">
        <v>0</v>
      </c>
      <c r="AD103" s="59">
        <v>0</v>
      </c>
      <c r="AE103" s="59">
        <v>0</v>
      </c>
      <c r="AF103" s="59">
        <v>0</v>
      </c>
      <c r="AG103" s="59">
        <v>0</v>
      </c>
      <c r="AH103" s="59">
        <v>0</v>
      </c>
      <c r="AI103" s="59">
        <v>0</v>
      </c>
      <c r="AJ103" s="59">
        <v>0</v>
      </c>
      <c r="AK103" s="59">
        <v>0</v>
      </c>
      <c r="AL103" s="59">
        <v>0</v>
      </c>
      <c r="AM103" s="59">
        <v>0</v>
      </c>
      <c r="AN103" s="59">
        <v>0</v>
      </c>
      <c r="AO103" s="59">
        <v>0</v>
      </c>
      <c r="AP103" s="59">
        <v>0</v>
      </c>
      <c r="AQ103" s="59">
        <v>0</v>
      </c>
      <c r="AR103" s="59">
        <v>0</v>
      </c>
      <c r="AS103" s="59">
        <v>0</v>
      </c>
      <c r="AT103" s="59">
        <v>0</v>
      </c>
      <c r="AU103" s="59">
        <v>0</v>
      </c>
      <c r="AV103" s="59">
        <v>0</v>
      </c>
      <c r="AW103" s="59">
        <v>0</v>
      </c>
      <c r="AX103" s="59"/>
      <c r="AY103" s="59"/>
      <c r="AZ103" s="60">
        <f t="shared" si="12"/>
        <v>12533.973997999999</v>
      </c>
      <c r="BA103" s="46">
        <f t="shared" si="15"/>
        <v>0</v>
      </c>
      <c r="BB103" s="61">
        <f t="shared" si="13"/>
        <v>0</v>
      </c>
      <c r="BC103" s="62">
        <f t="shared" si="17"/>
        <v>12533.973997999999</v>
      </c>
      <c r="BE103" s="33" t="b">
        <f t="shared" si="16"/>
        <v>1</v>
      </c>
    </row>
    <row r="104" spans="2:58" s="33" customFormat="1" outlineLevel="1" x14ac:dyDescent="0.3">
      <c r="B104" s="34" t="s">
        <v>750</v>
      </c>
      <c r="C104" s="35">
        <v>50</v>
      </c>
      <c r="D104" s="36" t="s">
        <v>737</v>
      </c>
      <c r="E104" s="37" t="s">
        <v>109</v>
      </c>
      <c r="F104" s="38" t="s">
        <v>110</v>
      </c>
      <c r="G104" s="38" t="s">
        <v>243</v>
      </c>
      <c r="H104" s="38" t="s">
        <v>242</v>
      </c>
      <c r="I104" s="38" t="s">
        <v>9</v>
      </c>
      <c r="J104" s="39">
        <v>90861.19</v>
      </c>
      <c r="K104" s="40">
        <v>80676.19</v>
      </c>
      <c r="L104" s="40"/>
      <c r="M104" s="40"/>
      <c r="N104" s="41"/>
      <c r="O104" s="41">
        <v>2.1520000000000001</v>
      </c>
      <c r="P104" s="41"/>
      <c r="Q104" s="41" t="s">
        <v>8</v>
      </c>
      <c r="R104" s="42">
        <v>5095</v>
      </c>
      <c r="S104" s="42">
        <v>15285</v>
      </c>
      <c r="T104" s="43">
        <f t="shared" si="11"/>
        <v>20380</v>
      </c>
      <c r="U104" s="181">
        <f t="shared" si="10"/>
        <v>0</v>
      </c>
      <c r="V104" s="44">
        <v>20380</v>
      </c>
      <c r="W104" s="44">
        <v>20380</v>
      </c>
      <c r="X104" s="44">
        <v>20380</v>
      </c>
      <c r="Y104" s="44">
        <v>9346.1899999999987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E104" s="44">
        <v>0</v>
      </c>
      <c r="AF104" s="44">
        <v>0</v>
      </c>
      <c r="AG104" s="44">
        <v>0</v>
      </c>
      <c r="AH104" s="44">
        <v>0</v>
      </c>
      <c r="AI104" s="44">
        <v>0</v>
      </c>
      <c r="AJ104" s="44">
        <v>0</v>
      </c>
      <c r="AK104" s="44">
        <v>0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S104" s="44">
        <v>0</v>
      </c>
      <c r="AT104" s="44">
        <v>0</v>
      </c>
      <c r="AU104" s="44">
        <v>0</v>
      </c>
      <c r="AV104" s="44">
        <v>0</v>
      </c>
      <c r="AW104" s="44">
        <v>0</v>
      </c>
      <c r="AX104" s="44"/>
      <c r="AY104" s="44"/>
      <c r="AZ104" s="45">
        <f t="shared" si="12"/>
        <v>70486.19</v>
      </c>
      <c r="BA104" s="46">
        <f t="shared" si="15"/>
        <v>0</v>
      </c>
      <c r="BB104" s="47">
        <f t="shared" si="13"/>
        <v>0</v>
      </c>
      <c r="BC104" s="48">
        <f t="shared" si="17"/>
        <v>70486.19</v>
      </c>
      <c r="BE104" s="33" t="b">
        <f t="shared" si="16"/>
        <v>1</v>
      </c>
      <c r="BF104" s="49"/>
    </row>
    <row r="105" spans="2:58" outlineLevel="1" x14ac:dyDescent="0.3">
      <c r="B105" s="50" t="s">
        <v>750</v>
      </c>
      <c r="C105" s="51"/>
      <c r="D105" s="52"/>
      <c r="E105" s="53"/>
      <c r="F105" s="54"/>
      <c r="G105" s="54"/>
      <c r="H105" s="54"/>
      <c r="I105" s="54"/>
      <c r="J105" s="55"/>
      <c r="K105" s="55"/>
      <c r="L105" s="55" t="s">
        <v>241</v>
      </c>
      <c r="M105" s="55"/>
      <c r="N105" s="56">
        <f t="shared" si="14"/>
        <v>5.2210000000000001</v>
      </c>
      <c r="O105" s="64">
        <v>5.2210000000000001</v>
      </c>
      <c r="P105" s="56">
        <f>$P$4</f>
        <v>0</v>
      </c>
      <c r="Q105" s="56" t="s">
        <v>10</v>
      </c>
      <c r="R105" s="57">
        <v>1920.95</v>
      </c>
      <c r="S105" s="57">
        <v>1588.3600000000001</v>
      </c>
      <c r="T105" s="58">
        <f t="shared" si="11"/>
        <v>3509.3100000000004</v>
      </c>
      <c r="U105" s="182">
        <f t="shared" si="10"/>
        <v>0.77397990000008576</v>
      </c>
      <c r="V105" s="59">
        <f>SUM(V104:$AW104)*$N105/100-170</f>
        <v>3510.0839799000005</v>
      </c>
      <c r="W105" s="59">
        <f>SUM(W104:$AW104)*$N105/100</f>
        <v>2616.0441799</v>
      </c>
      <c r="X105" s="59">
        <f>SUM(X104:$AW104)*$N105/100</f>
        <v>1552.0043799</v>
      </c>
      <c r="Y105" s="59">
        <f>SUM(Y104:$AW104)*$N105/100</f>
        <v>487.96457989999993</v>
      </c>
      <c r="Z105" s="59">
        <v>0</v>
      </c>
      <c r="AA105" s="59">
        <v>0</v>
      </c>
      <c r="AB105" s="59">
        <v>0</v>
      </c>
      <c r="AC105" s="59">
        <v>0</v>
      </c>
      <c r="AD105" s="59">
        <v>0</v>
      </c>
      <c r="AE105" s="59">
        <v>0</v>
      </c>
      <c r="AF105" s="59">
        <v>0</v>
      </c>
      <c r="AG105" s="59">
        <v>0</v>
      </c>
      <c r="AH105" s="59">
        <v>0</v>
      </c>
      <c r="AI105" s="59">
        <v>0</v>
      </c>
      <c r="AJ105" s="59">
        <v>0</v>
      </c>
      <c r="AK105" s="59">
        <v>0</v>
      </c>
      <c r="AL105" s="59">
        <v>0</v>
      </c>
      <c r="AM105" s="59">
        <v>0</v>
      </c>
      <c r="AN105" s="59">
        <v>0</v>
      </c>
      <c r="AO105" s="59">
        <v>0</v>
      </c>
      <c r="AP105" s="59">
        <v>0</v>
      </c>
      <c r="AQ105" s="59">
        <v>0</v>
      </c>
      <c r="AR105" s="59">
        <v>0</v>
      </c>
      <c r="AS105" s="59">
        <v>0</v>
      </c>
      <c r="AT105" s="59">
        <v>0</v>
      </c>
      <c r="AU105" s="59">
        <v>0</v>
      </c>
      <c r="AV105" s="59">
        <v>0</v>
      </c>
      <c r="AW105" s="59">
        <v>0</v>
      </c>
      <c r="AX105" s="59"/>
      <c r="AY105" s="59"/>
      <c r="AZ105" s="60">
        <f t="shared" si="12"/>
        <v>8166.0971196</v>
      </c>
      <c r="BA105" s="46">
        <f t="shared" si="15"/>
        <v>0</v>
      </c>
      <c r="BB105" s="61">
        <f t="shared" si="13"/>
        <v>0</v>
      </c>
      <c r="BC105" s="62">
        <f t="shared" si="17"/>
        <v>8166.0971196</v>
      </c>
      <c r="BE105" s="33" t="b">
        <f t="shared" si="16"/>
        <v>1</v>
      </c>
    </row>
    <row r="106" spans="2:58" s="33" customFormat="1" outlineLevel="1" x14ac:dyDescent="0.3">
      <c r="B106" s="34" t="s">
        <v>750</v>
      </c>
      <c r="C106" s="35">
        <v>51</v>
      </c>
      <c r="D106" s="36" t="s">
        <v>860</v>
      </c>
      <c r="E106" s="37" t="s">
        <v>111</v>
      </c>
      <c r="F106" s="38" t="s">
        <v>112</v>
      </c>
      <c r="G106" s="38" t="s">
        <v>246</v>
      </c>
      <c r="H106" s="38" t="s">
        <v>245</v>
      </c>
      <c r="I106" s="38" t="s">
        <v>9</v>
      </c>
      <c r="J106" s="39">
        <v>496340</v>
      </c>
      <c r="K106" s="40">
        <v>491872</v>
      </c>
      <c r="L106" s="40"/>
      <c r="M106" s="40"/>
      <c r="N106" s="41"/>
      <c r="O106" s="41"/>
      <c r="P106" s="41"/>
      <c r="Q106" s="41" t="s">
        <v>8</v>
      </c>
      <c r="R106" s="42">
        <v>13415</v>
      </c>
      <c r="S106" s="42">
        <v>40245</v>
      </c>
      <c r="T106" s="43">
        <f t="shared" si="11"/>
        <v>53660</v>
      </c>
      <c r="U106" s="181">
        <f t="shared" si="10"/>
        <v>0</v>
      </c>
      <c r="V106" s="44">
        <f>53660</f>
        <v>53660</v>
      </c>
      <c r="W106" s="44">
        <v>53660</v>
      </c>
      <c r="X106" s="44">
        <v>53660</v>
      </c>
      <c r="Y106" s="44">
        <v>53660</v>
      </c>
      <c r="Z106" s="44">
        <v>53660</v>
      </c>
      <c r="AA106" s="44">
        <v>53660</v>
      </c>
      <c r="AB106" s="44">
        <v>53660</v>
      </c>
      <c r="AC106" s="44">
        <v>53660</v>
      </c>
      <c r="AD106" s="44">
        <v>40245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44"/>
      <c r="AY106" s="44"/>
      <c r="AZ106" s="45">
        <f t="shared" si="12"/>
        <v>469525</v>
      </c>
      <c r="BA106" s="46">
        <f t="shared" si="15"/>
        <v>0</v>
      </c>
      <c r="BB106" s="47">
        <f t="shared" si="13"/>
        <v>93905</v>
      </c>
      <c r="BC106" s="48">
        <f t="shared" si="17"/>
        <v>469525</v>
      </c>
      <c r="BE106" s="33" t="b">
        <f t="shared" si="16"/>
        <v>1</v>
      </c>
      <c r="BF106" s="49"/>
    </row>
    <row r="107" spans="2:58" outlineLevel="1" x14ac:dyDescent="0.3">
      <c r="B107" s="50" t="s">
        <v>750</v>
      </c>
      <c r="C107" s="51"/>
      <c r="D107" s="52" t="s">
        <v>861</v>
      </c>
      <c r="E107" s="53"/>
      <c r="F107" s="54"/>
      <c r="G107" s="54"/>
      <c r="H107" s="54"/>
      <c r="I107" s="54"/>
      <c r="J107" s="55"/>
      <c r="K107" s="55"/>
      <c r="L107" s="55" t="s">
        <v>244</v>
      </c>
      <c r="M107" s="55"/>
      <c r="N107" s="56">
        <f t="shared" si="14"/>
        <v>5.5309999999999997</v>
      </c>
      <c r="O107" s="56">
        <v>5.5309999999999997</v>
      </c>
      <c r="P107" s="56">
        <f>$P$4</f>
        <v>0</v>
      </c>
      <c r="Q107" s="56" t="s">
        <v>10</v>
      </c>
      <c r="R107" s="57">
        <v>13341.28</v>
      </c>
      <c r="S107" s="57">
        <v>12241.98</v>
      </c>
      <c r="T107" s="58">
        <f t="shared" si="11"/>
        <v>25583.260000000002</v>
      </c>
      <c r="U107" s="190">
        <f t="shared" si="10"/>
        <v>413.16774999999689</v>
      </c>
      <c r="V107" s="165">
        <f>SUM(V106:$AW106)*$N107/100-386+413</f>
        <v>25996.427749999999</v>
      </c>
      <c r="W107" s="59">
        <f>SUM(W106:$AW106)*$N107/100</f>
        <v>23001.493149999998</v>
      </c>
      <c r="X107" s="59">
        <f>SUM(X106:$AW106)*$N107/100</f>
        <v>20033.558550000002</v>
      </c>
      <c r="Y107" s="59">
        <f>SUM(Y106:$AW106)*$N107/100</f>
        <v>17065.623950000001</v>
      </c>
      <c r="Z107" s="59">
        <f>SUM(Z106:$AW106)*$N107/100</f>
        <v>14097.689349999999</v>
      </c>
      <c r="AA107" s="59">
        <f>SUM(AA106:$AW106)*$N107/100</f>
        <v>11129.754749999998</v>
      </c>
      <c r="AB107" s="59">
        <f>SUM(AB106:$AW106)*$N107/100</f>
        <v>8161.8201499999986</v>
      </c>
      <c r="AC107" s="59">
        <f>SUM(AC106:$AW106)*$N107/100</f>
        <v>5193.88555</v>
      </c>
      <c r="AD107" s="59">
        <f>SUM(AD106:$AW106)*$N107/100</f>
        <v>2225.9509499999999</v>
      </c>
      <c r="AE107" s="59">
        <v>0</v>
      </c>
      <c r="AF107" s="59">
        <v>0</v>
      </c>
      <c r="AG107" s="59">
        <v>0</v>
      </c>
      <c r="AH107" s="59">
        <v>0</v>
      </c>
      <c r="AI107" s="59">
        <v>0</v>
      </c>
      <c r="AJ107" s="59">
        <v>0</v>
      </c>
      <c r="AK107" s="59">
        <v>0</v>
      </c>
      <c r="AL107" s="59">
        <v>0</v>
      </c>
      <c r="AM107" s="59">
        <v>0</v>
      </c>
      <c r="AN107" s="59">
        <v>0</v>
      </c>
      <c r="AO107" s="59">
        <v>0</v>
      </c>
      <c r="AP107" s="59">
        <v>0</v>
      </c>
      <c r="AQ107" s="59">
        <v>0</v>
      </c>
      <c r="AR107" s="59">
        <v>0</v>
      </c>
      <c r="AS107" s="59">
        <v>0</v>
      </c>
      <c r="AT107" s="59">
        <v>0</v>
      </c>
      <c r="AU107" s="59">
        <v>0</v>
      </c>
      <c r="AV107" s="59">
        <v>0</v>
      </c>
      <c r="AW107" s="59">
        <v>0</v>
      </c>
      <c r="AX107" s="59"/>
      <c r="AY107" s="59"/>
      <c r="AZ107" s="60">
        <f t="shared" si="12"/>
        <v>126906.20414999999</v>
      </c>
      <c r="BA107" s="46">
        <f t="shared" si="15"/>
        <v>0</v>
      </c>
      <c r="BB107" s="61">
        <f t="shared" si="13"/>
        <v>7419.8364999999994</v>
      </c>
      <c r="BC107" s="62">
        <f t="shared" si="17"/>
        <v>126906.20414999999</v>
      </c>
      <c r="BE107" s="33" t="b">
        <f t="shared" si="16"/>
        <v>1</v>
      </c>
    </row>
    <row r="108" spans="2:58" s="33" customFormat="1" outlineLevel="1" x14ac:dyDescent="0.3">
      <c r="B108" s="34" t="s">
        <v>751</v>
      </c>
      <c r="C108" s="35">
        <v>52</v>
      </c>
      <c r="D108" s="36" t="s">
        <v>843</v>
      </c>
      <c r="E108" s="37" t="s">
        <v>113</v>
      </c>
      <c r="F108" s="38" t="s">
        <v>114</v>
      </c>
      <c r="G108" s="38" t="s">
        <v>248</v>
      </c>
      <c r="H108" s="38" t="s">
        <v>247</v>
      </c>
      <c r="I108" s="38" t="s">
        <v>9</v>
      </c>
      <c r="J108" s="39">
        <v>6469</v>
      </c>
      <c r="K108" s="40">
        <v>5800</v>
      </c>
      <c r="L108" s="40"/>
      <c r="M108" s="40"/>
      <c r="N108" s="41"/>
      <c r="O108" s="41">
        <v>2.403</v>
      </c>
      <c r="P108" s="41"/>
      <c r="Q108" s="41" t="s">
        <v>8</v>
      </c>
      <c r="R108" s="42">
        <v>232</v>
      </c>
      <c r="S108" s="42">
        <v>696</v>
      </c>
      <c r="T108" s="43">
        <f t="shared" si="11"/>
        <v>928</v>
      </c>
      <c r="U108" s="181">
        <f t="shared" si="10"/>
        <v>0</v>
      </c>
      <c r="V108" s="166">
        <v>928</v>
      </c>
      <c r="W108" s="44">
        <v>928</v>
      </c>
      <c r="X108" s="44">
        <v>928</v>
      </c>
      <c r="Y108" s="44">
        <v>928</v>
      </c>
      <c r="Z108" s="44">
        <v>928</v>
      </c>
      <c r="AA108" s="44">
        <v>696</v>
      </c>
      <c r="AB108" s="44">
        <v>0</v>
      </c>
      <c r="AC108" s="44">
        <v>0</v>
      </c>
      <c r="AD108" s="44">
        <v>0</v>
      </c>
      <c r="AE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4"/>
      <c r="AY108" s="44"/>
      <c r="AZ108" s="45">
        <f t="shared" si="12"/>
        <v>5336</v>
      </c>
      <c r="BA108" s="46">
        <f t="shared" si="15"/>
        <v>0</v>
      </c>
      <c r="BB108" s="47">
        <f t="shared" si="13"/>
        <v>0</v>
      </c>
      <c r="BC108" s="48">
        <f t="shared" si="17"/>
        <v>5336</v>
      </c>
      <c r="BE108" s="33" t="b">
        <f t="shared" si="16"/>
        <v>1</v>
      </c>
      <c r="BF108" s="49"/>
    </row>
    <row r="109" spans="2:58" outlineLevel="1" x14ac:dyDescent="0.3">
      <c r="B109" s="50" t="s">
        <v>751</v>
      </c>
      <c r="C109" s="51"/>
      <c r="D109" s="52" t="s">
        <v>844</v>
      </c>
      <c r="E109" s="53"/>
      <c r="F109" s="54"/>
      <c r="G109" s="54"/>
      <c r="H109" s="54"/>
      <c r="I109" s="54"/>
      <c r="J109" s="55"/>
      <c r="K109" s="55"/>
      <c r="L109" s="55" t="s">
        <v>720</v>
      </c>
      <c r="M109" s="55"/>
      <c r="N109" s="56">
        <f t="shared" si="14"/>
        <v>5.4349999999999996</v>
      </c>
      <c r="O109" s="64">
        <v>5.4349999999999996</v>
      </c>
      <c r="P109" s="56">
        <f>$P$4</f>
        <v>0</v>
      </c>
      <c r="Q109" s="56" t="s">
        <v>10</v>
      </c>
      <c r="R109" s="57">
        <v>149.81</v>
      </c>
      <c r="S109" s="57">
        <v>133.72</v>
      </c>
      <c r="T109" s="58">
        <f t="shared" si="11"/>
        <v>283.52999999999997</v>
      </c>
      <c r="U109" s="182">
        <f t="shared" si="10"/>
        <v>0.48160000000001446</v>
      </c>
      <c r="V109" s="165">
        <f>SUM(V108:$AW108)*$N109/100-6</f>
        <v>284.01159999999999</v>
      </c>
      <c r="W109" s="59">
        <f>SUM(W108:$AW108)*$N109/100</f>
        <v>239.57479999999998</v>
      </c>
      <c r="X109" s="59">
        <f>SUM(X108:$AW108)*$N109/100</f>
        <v>189.13800000000001</v>
      </c>
      <c r="Y109" s="59">
        <f>SUM(Y108:$AW108)*$N109/100</f>
        <v>138.7012</v>
      </c>
      <c r="Z109" s="59">
        <f>SUM(Z108:$AW108)*$N109/100</f>
        <v>88.264399999999981</v>
      </c>
      <c r="AA109" s="59">
        <f>SUM(AA108:$AW108)*$N109/100</f>
        <v>37.827599999999997</v>
      </c>
      <c r="AB109" s="59">
        <v>0</v>
      </c>
      <c r="AC109" s="59">
        <v>0</v>
      </c>
      <c r="AD109" s="59">
        <v>0</v>
      </c>
      <c r="AE109" s="59">
        <v>0</v>
      </c>
      <c r="AF109" s="59">
        <v>0</v>
      </c>
      <c r="AG109" s="59">
        <v>0</v>
      </c>
      <c r="AH109" s="59">
        <v>0</v>
      </c>
      <c r="AI109" s="59">
        <v>0</v>
      </c>
      <c r="AJ109" s="59">
        <v>0</v>
      </c>
      <c r="AK109" s="59">
        <v>0</v>
      </c>
      <c r="AL109" s="59">
        <v>0</v>
      </c>
      <c r="AM109" s="59">
        <v>0</v>
      </c>
      <c r="AN109" s="59">
        <v>0</v>
      </c>
      <c r="AO109" s="59">
        <v>0</v>
      </c>
      <c r="AP109" s="59">
        <v>0</v>
      </c>
      <c r="AQ109" s="59">
        <v>0</v>
      </c>
      <c r="AR109" s="59">
        <v>0</v>
      </c>
      <c r="AS109" s="59">
        <v>0</v>
      </c>
      <c r="AT109" s="59">
        <v>0</v>
      </c>
      <c r="AU109" s="59">
        <v>0</v>
      </c>
      <c r="AV109" s="59">
        <v>0</v>
      </c>
      <c r="AW109" s="59">
        <v>0</v>
      </c>
      <c r="AX109" s="59"/>
      <c r="AY109" s="59"/>
      <c r="AZ109" s="60">
        <f t="shared" si="12"/>
        <v>977.5175999999999</v>
      </c>
      <c r="BA109" s="46">
        <f t="shared" si="15"/>
        <v>0</v>
      </c>
      <c r="BB109" s="61">
        <f t="shared" si="13"/>
        <v>0</v>
      </c>
      <c r="BC109" s="62">
        <f t="shared" si="17"/>
        <v>977.5175999999999</v>
      </c>
      <c r="BE109" s="33" t="b">
        <f t="shared" si="16"/>
        <v>1</v>
      </c>
    </row>
    <row r="110" spans="2:58" s="33" customFormat="1" outlineLevel="1" x14ac:dyDescent="0.3">
      <c r="B110" s="34" t="s">
        <v>751</v>
      </c>
      <c r="C110" s="35">
        <v>53</v>
      </c>
      <c r="D110" s="36" t="s">
        <v>845</v>
      </c>
      <c r="E110" s="37" t="s">
        <v>115</v>
      </c>
      <c r="F110" s="38" t="s">
        <v>116</v>
      </c>
      <c r="G110" s="38" t="s">
        <v>250</v>
      </c>
      <c r="H110" s="38" t="s">
        <v>249</v>
      </c>
      <c r="I110" s="38" t="s">
        <v>9</v>
      </c>
      <c r="J110" s="39">
        <v>503660</v>
      </c>
      <c r="K110" s="40">
        <v>503660</v>
      </c>
      <c r="L110" s="40"/>
      <c r="M110" s="40"/>
      <c r="N110" s="41"/>
      <c r="O110" s="41"/>
      <c r="P110" s="41"/>
      <c r="Q110" s="41" t="s">
        <v>8</v>
      </c>
      <c r="R110" s="42">
        <v>8837</v>
      </c>
      <c r="S110" s="42">
        <v>26511</v>
      </c>
      <c r="T110" s="43">
        <f t="shared" si="11"/>
        <v>35348</v>
      </c>
      <c r="U110" s="181">
        <f t="shared" si="10"/>
        <v>0</v>
      </c>
      <c r="V110" s="166">
        <v>35348</v>
      </c>
      <c r="W110" s="44">
        <v>35348</v>
      </c>
      <c r="X110" s="44">
        <v>35348</v>
      </c>
      <c r="Y110" s="44">
        <v>35348</v>
      </c>
      <c r="Z110" s="44">
        <v>35348</v>
      </c>
      <c r="AA110" s="44">
        <v>35348</v>
      </c>
      <c r="AB110" s="44">
        <v>35348</v>
      </c>
      <c r="AC110" s="44">
        <v>35348</v>
      </c>
      <c r="AD110" s="44">
        <v>35348</v>
      </c>
      <c r="AE110" s="44">
        <v>35348</v>
      </c>
      <c r="AF110" s="44">
        <v>35348</v>
      </c>
      <c r="AG110" s="44">
        <v>35348</v>
      </c>
      <c r="AH110" s="44">
        <v>35348</v>
      </c>
      <c r="AI110" s="44">
        <v>35348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4"/>
      <c r="AY110" s="44"/>
      <c r="AZ110" s="45">
        <f t="shared" si="12"/>
        <v>494872</v>
      </c>
      <c r="BA110" s="46">
        <f t="shared" si="15"/>
        <v>0</v>
      </c>
      <c r="BB110" s="47">
        <f t="shared" si="13"/>
        <v>247436</v>
      </c>
      <c r="BC110" s="48">
        <f t="shared" si="17"/>
        <v>494872</v>
      </c>
      <c r="BE110" s="33" t="b">
        <f t="shared" si="16"/>
        <v>1</v>
      </c>
      <c r="BF110" s="49"/>
    </row>
    <row r="111" spans="2:58" outlineLevel="1" x14ac:dyDescent="0.3">
      <c r="B111" s="50" t="s">
        <v>751</v>
      </c>
      <c r="C111" s="51"/>
      <c r="D111" s="52" t="s">
        <v>846</v>
      </c>
      <c r="E111" s="53"/>
      <c r="F111" s="54"/>
      <c r="G111" s="54"/>
      <c r="H111" s="54"/>
      <c r="I111" s="54"/>
      <c r="J111" s="55"/>
      <c r="K111" s="55"/>
      <c r="L111" s="55">
        <v>0</v>
      </c>
      <c r="M111" s="55" t="s">
        <v>748</v>
      </c>
      <c r="N111" s="56">
        <f t="shared" si="14"/>
        <v>4.6120000000000001</v>
      </c>
      <c r="O111" s="56">
        <v>4.6120000000000001</v>
      </c>
      <c r="P111" s="56">
        <f>$P$4</f>
        <v>0</v>
      </c>
      <c r="Q111" s="56" t="s">
        <v>10</v>
      </c>
      <c r="R111" s="57">
        <v>11667.54</v>
      </c>
      <c r="S111" s="57">
        <v>11265.7</v>
      </c>
      <c r="T111" s="58">
        <f t="shared" si="11"/>
        <v>22933.24</v>
      </c>
      <c r="U111" s="182">
        <f t="shared" si="10"/>
        <v>0.25663999999596854</v>
      </c>
      <c r="V111" s="165">
        <f>SUM(V110:$AW110)*$N111/100+110</f>
        <v>22933.496639999998</v>
      </c>
      <c r="W111" s="59">
        <f>SUM(W110:$AW110)*$N111/100</f>
        <v>21193.246880000002</v>
      </c>
      <c r="X111" s="59">
        <f>SUM(X110:$AW110)*$N111/100</f>
        <v>19562.99712</v>
      </c>
      <c r="Y111" s="59">
        <f>SUM(Y110:$AW110)*$N111/100</f>
        <v>17932.747360000001</v>
      </c>
      <c r="Z111" s="59">
        <f>SUM(Z110:$AW110)*$N111/100</f>
        <v>16302.497600000001</v>
      </c>
      <c r="AA111" s="59">
        <f>SUM(AA110:$AW110)*$N111/100</f>
        <v>14672.24784</v>
      </c>
      <c r="AB111" s="59">
        <f>SUM(AB110:$AW110)*$N111/100</f>
        <v>13041.998079999999</v>
      </c>
      <c r="AC111" s="59">
        <f>SUM(AC110:$AW110)*$N111/100</f>
        <v>11411.748319999999</v>
      </c>
      <c r="AD111" s="59">
        <f>SUM(AD110:$AW110)*$N111/100</f>
        <v>9781.49856</v>
      </c>
      <c r="AE111" s="59">
        <f>SUM(AE110:$AW110)*$N111/100</f>
        <v>8151.2488000000003</v>
      </c>
      <c r="AF111" s="59">
        <f>SUM(AF110:$AW110)*$N111/100</f>
        <v>6520.9990399999997</v>
      </c>
      <c r="AG111" s="59">
        <f>SUM(AG110:$AW110)*$N111/100</f>
        <v>4890.74928</v>
      </c>
      <c r="AH111" s="59">
        <f>SUM(AH110:$AW110)*$N111/100</f>
        <v>3260.4995199999998</v>
      </c>
      <c r="AI111" s="59">
        <f>SUM(AI110:$AW110)*$N111/100</f>
        <v>1630.2497599999999</v>
      </c>
      <c r="AJ111" s="59">
        <v>0</v>
      </c>
      <c r="AK111" s="59">
        <v>0</v>
      </c>
      <c r="AL111" s="59">
        <v>0</v>
      </c>
      <c r="AM111" s="59">
        <v>0</v>
      </c>
      <c r="AN111" s="59">
        <v>0</v>
      </c>
      <c r="AO111" s="59">
        <v>0</v>
      </c>
      <c r="AP111" s="59">
        <v>0</v>
      </c>
      <c r="AQ111" s="59">
        <v>0</v>
      </c>
      <c r="AR111" s="59">
        <v>0</v>
      </c>
      <c r="AS111" s="59">
        <v>0</v>
      </c>
      <c r="AT111" s="59">
        <v>0</v>
      </c>
      <c r="AU111" s="59">
        <v>0</v>
      </c>
      <c r="AV111" s="59">
        <v>0</v>
      </c>
      <c r="AW111" s="59">
        <v>0</v>
      </c>
      <c r="AX111" s="59"/>
      <c r="AY111" s="59"/>
      <c r="AZ111" s="60">
        <f t="shared" si="12"/>
        <v>171286.22480000003</v>
      </c>
      <c r="BA111" s="46">
        <f t="shared" si="15"/>
        <v>0</v>
      </c>
      <c r="BB111" s="61">
        <f t="shared" si="13"/>
        <v>45646.993280000002</v>
      </c>
      <c r="BC111" s="62">
        <f t="shared" si="17"/>
        <v>171286.22480000003</v>
      </c>
      <c r="BE111" s="33" t="b">
        <f t="shared" si="16"/>
        <v>1</v>
      </c>
    </row>
    <row r="112" spans="2:58" s="33" customFormat="1" outlineLevel="1" x14ac:dyDescent="0.3">
      <c r="B112" s="34" t="s">
        <v>751</v>
      </c>
      <c r="C112" s="35">
        <v>54</v>
      </c>
      <c r="D112" s="36" t="s">
        <v>845</v>
      </c>
      <c r="E112" s="37" t="s">
        <v>117</v>
      </c>
      <c r="F112" s="38" t="s">
        <v>118</v>
      </c>
      <c r="G112" s="38" t="s">
        <v>250</v>
      </c>
      <c r="H112" s="38" t="s">
        <v>251</v>
      </c>
      <c r="I112" s="38" t="s">
        <v>9</v>
      </c>
      <c r="J112" s="39">
        <v>300000</v>
      </c>
      <c r="K112" s="40">
        <v>300000</v>
      </c>
      <c r="L112" s="40"/>
      <c r="M112" s="40"/>
      <c r="N112" s="41"/>
      <c r="O112" s="41"/>
      <c r="P112" s="41"/>
      <c r="Q112" s="41" t="s">
        <v>8</v>
      </c>
      <c r="R112" s="42">
        <v>8109</v>
      </c>
      <c r="S112" s="42">
        <v>24327</v>
      </c>
      <c r="T112" s="43">
        <f t="shared" si="11"/>
        <v>32436</v>
      </c>
      <c r="U112" s="181">
        <f t="shared" si="10"/>
        <v>0</v>
      </c>
      <c r="V112" s="166">
        <v>32436</v>
      </c>
      <c r="W112" s="44">
        <v>32436</v>
      </c>
      <c r="X112" s="44">
        <v>32436</v>
      </c>
      <c r="Y112" s="44">
        <v>32436</v>
      </c>
      <c r="Z112" s="44">
        <v>32436</v>
      </c>
      <c r="AA112" s="44">
        <v>32436</v>
      </c>
      <c r="AB112" s="44">
        <v>32436</v>
      </c>
      <c r="AC112" s="44">
        <v>32436</v>
      </c>
      <c r="AD112" s="44">
        <v>32436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4"/>
      <c r="AY112" s="44"/>
      <c r="AZ112" s="45">
        <f t="shared" si="12"/>
        <v>291924</v>
      </c>
      <c r="BA112" s="46">
        <f t="shared" si="15"/>
        <v>0</v>
      </c>
      <c r="BB112" s="47">
        <f t="shared" si="13"/>
        <v>64872</v>
      </c>
      <c r="BC112" s="48">
        <f t="shared" si="17"/>
        <v>291924</v>
      </c>
      <c r="BE112" s="33" t="b">
        <f t="shared" si="16"/>
        <v>1</v>
      </c>
      <c r="BF112" s="49"/>
    </row>
    <row r="113" spans="2:58" outlineLevel="1" x14ac:dyDescent="0.3">
      <c r="B113" s="50" t="s">
        <v>751</v>
      </c>
      <c r="C113" s="51"/>
      <c r="D113" s="52" t="s">
        <v>847</v>
      </c>
      <c r="E113" s="53"/>
      <c r="F113" s="54"/>
      <c r="G113" s="54"/>
      <c r="H113" s="54"/>
      <c r="I113" s="54"/>
      <c r="J113" s="55"/>
      <c r="K113" s="55"/>
      <c r="L113" s="55">
        <v>0</v>
      </c>
      <c r="M113" s="55" t="s">
        <v>748</v>
      </c>
      <c r="N113" s="56">
        <f t="shared" si="14"/>
        <v>4.3979999999999997</v>
      </c>
      <c r="O113" s="56">
        <v>4.3979999999999997</v>
      </c>
      <c r="P113" s="56">
        <f>$P$4</f>
        <v>0</v>
      </c>
      <c r="Q113" s="56" t="s">
        <v>10</v>
      </c>
      <c r="R113" s="57">
        <v>6583.9</v>
      </c>
      <c r="S113" s="57">
        <v>6232.18</v>
      </c>
      <c r="T113" s="58">
        <f t="shared" si="11"/>
        <v>12816.08</v>
      </c>
      <c r="U113" s="182">
        <f t="shared" si="10"/>
        <v>0.73751999999876716</v>
      </c>
      <c r="V113" s="165">
        <f>SUM(V112:$AW112)*$N113/100-22</f>
        <v>12816.817519999999</v>
      </c>
      <c r="W113" s="59">
        <f>SUM(W112:$AW112)*$N113/100</f>
        <v>11412.282239999999</v>
      </c>
      <c r="X113" s="59">
        <f>SUM(X112:$AW112)*$N113/100</f>
        <v>9985.7469599999986</v>
      </c>
      <c r="Y113" s="59">
        <f>SUM(Y112:$AW112)*$N113/100</f>
        <v>8559.2116800000003</v>
      </c>
      <c r="Z113" s="59">
        <f>SUM(Z112:$AW112)*$N113/100</f>
        <v>7132.6763999999994</v>
      </c>
      <c r="AA113" s="59">
        <f>SUM(AA112:$AW112)*$N113/100</f>
        <v>5706.1411199999993</v>
      </c>
      <c r="AB113" s="59">
        <f>SUM(AB112:$AW112)*$N113/100</f>
        <v>4279.6058400000002</v>
      </c>
      <c r="AC113" s="59">
        <f>SUM(AC112:$AW112)*$N113/100</f>
        <v>2853.0705599999997</v>
      </c>
      <c r="AD113" s="59">
        <f>SUM(AD112:$AW112)*$N113/100</f>
        <v>1426.5352799999998</v>
      </c>
      <c r="AE113" s="59">
        <v>0</v>
      </c>
      <c r="AF113" s="59">
        <v>0</v>
      </c>
      <c r="AG113" s="59">
        <v>0</v>
      </c>
      <c r="AH113" s="59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59">
        <v>0</v>
      </c>
      <c r="AO113" s="59">
        <v>0</v>
      </c>
      <c r="AP113" s="59">
        <v>0</v>
      </c>
      <c r="AQ113" s="59">
        <v>0</v>
      </c>
      <c r="AR113" s="59">
        <v>0</v>
      </c>
      <c r="AS113" s="59">
        <v>0</v>
      </c>
      <c r="AT113" s="59">
        <v>0</v>
      </c>
      <c r="AU113" s="59">
        <v>0</v>
      </c>
      <c r="AV113" s="59">
        <v>0</v>
      </c>
      <c r="AW113" s="59">
        <v>0</v>
      </c>
      <c r="AX113" s="59"/>
      <c r="AY113" s="59"/>
      <c r="AZ113" s="60">
        <f t="shared" si="12"/>
        <v>64172.087599999992</v>
      </c>
      <c r="BA113" s="46">
        <f t="shared" si="15"/>
        <v>0</v>
      </c>
      <c r="BB113" s="61">
        <f t="shared" si="13"/>
        <v>4279.6058399999993</v>
      </c>
      <c r="BC113" s="62">
        <f t="shared" si="17"/>
        <v>64172.087599999992</v>
      </c>
      <c r="BE113" s="33" t="b">
        <f t="shared" si="16"/>
        <v>1</v>
      </c>
    </row>
    <row r="114" spans="2:58" s="33" customFormat="1" outlineLevel="1" x14ac:dyDescent="0.3">
      <c r="B114" s="34" t="s">
        <v>750</v>
      </c>
      <c r="C114" s="35">
        <v>55</v>
      </c>
      <c r="D114" s="36" t="s">
        <v>848</v>
      </c>
      <c r="E114" s="37" t="s">
        <v>119</v>
      </c>
      <c r="F114" s="38" t="s">
        <v>120</v>
      </c>
      <c r="G114" s="38" t="s">
        <v>253</v>
      </c>
      <c r="H114" s="38" t="s">
        <v>252</v>
      </c>
      <c r="I114" s="38" t="s">
        <v>9</v>
      </c>
      <c r="J114" s="39">
        <v>292889</v>
      </c>
      <c r="K114" s="40">
        <v>126903.87</v>
      </c>
      <c r="L114" s="40"/>
      <c r="M114" s="40"/>
      <c r="N114" s="41"/>
      <c r="O114" s="41"/>
      <c r="P114" s="41"/>
      <c r="Q114" s="41" t="s">
        <v>8</v>
      </c>
      <c r="R114" s="42">
        <v>5050</v>
      </c>
      <c r="S114" s="42">
        <v>15150</v>
      </c>
      <c r="T114" s="43">
        <f t="shared" si="11"/>
        <v>20200</v>
      </c>
      <c r="U114" s="181">
        <f t="shared" si="10"/>
        <v>0</v>
      </c>
      <c r="V114" s="166">
        <v>20200</v>
      </c>
      <c r="W114" s="44">
        <v>20200</v>
      </c>
      <c r="X114" s="44">
        <v>20200</v>
      </c>
      <c r="Y114" s="44">
        <v>20200</v>
      </c>
      <c r="Z114" s="44">
        <v>20200</v>
      </c>
      <c r="AA114" s="44">
        <v>20200</v>
      </c>
      <c r="AB114" s="44">
        <v>20200</v>
      </c>
      <c r="AC114" s="44">
        <v>20200</v>
      </c>
      <c r="AD114" s="44">
        <v>20200</v>
      </c>
      <c r="AE114" s="44">
        <v>20200</v>
      </c>
      <c r="AF114" s="44">
        <v>20200</v>
      </c>
      <c r="AG114" s="44">
        <v>20200</v>
      </c>
      <c r="AH114" s="44">
        <v>20200</v>
      </c>
      <c r="AI114" s="44">
        <v>20200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0</v>
      </c>
      <c r="AX114" s="44"/>
      <c r="AY114" s="44"/>
      <c r="AZ114" s="45">
        <f t="shared" si="12"/>
        <v>282800</v>
      </c>
      <c r="BA114" s="46">
        <f t="shared" si="15"/>
        <v>0</v>
      </c>
      <c r="BB114" s="47">
        <f t="shared" si="13"/>
        <v>141400</v>
      </c>
      <c r="BC114" s="48">
        <f t="shared" si="17"/>
        <v>282800</v>
      </c>
      <c r="BE114" s="33" t="b">
        <f t="shared" si="16"/>
        <v>1</v>
      </c>
      <c r="BF114" s="49"/>
    </row>
    <row r="115" spans="2:58" outlineLevel="1" x14ac:dyDescent="0.3">
      <c r="B115" s="50" t="s">
        <v>750</v>
      </c>
      <c r="C115" s="51"/>
      <c r="D115" s="52" t="s">
        <v>849</v>
      </c>
      <c r="E115" s="53"/>
      <c r="F115" s="54"/>
      <c r="G115" s="54"/>
      <c r="H115" s="54"/>
      <c r="I115" s="54"/>
      <c r="J115" s="55"/>
      <c r="K115" s="55"/>
      <c r="L115" s="55">
        <v>0</v>
      </c>
      <c r="M115" s="55" t="s">
        <v>748</v>
      </c>
      <c r="N115" s="56">
        <f t="shared" si="14"/>
        <v>4.6100000000000003</v>
      </c>
      <c r="O115" s="56">
        <v>4.6100000000000003</v>
      </c>
      <c r="P115" s="56">
        <f>$P$4</f>
        <v>0</v>
      </c>
      <c r="Q115" s="56" t="s">
        <v>10</v>
      </c>
      <c r="R115" s="57">
        <v>4954.93</v>
      </c>
      <c r="S115" s="57">
        <v>4829.51</v>
      </c>
      <c r="T115" s="58">
        <f t="shared" si="11"/>
        <v>9784.44</v>
      </c>
      <c r="U115" s="190">
        <f t="shared" si="10"/>
        <v>1000.6399999999994</v>
      </c>
      <c r="V115" s="165">
        <f>SUM(V114:$AW114)*$N115/100-3252+1000</f>
        <v>10785.08</v>
      </c>
      <c r="W115" s="59">
        <f>SUM(W114:$AW114)*$N115/100</f>
        <v>12105.86</v>
      </c>
      <c r="X115" s="59">
        <f>SUM(X114:$AW114)*$N115/100</f>
        <v>11174.64</v>
      </c>
      <c r="Y115" s="59">
        <f>SUM(Y114:$AW114)*$N115/100</f>
        <v>10243.420000000002</v>
      </c>
      <c r="Z115" s="59">
        <f>SUM(Z114:$AW114)*$N115/100</f>
        <v>9312.2000000000007</v>
      </c>
      <c r="AA115" s="59">
        <f>SUM(AA114:$AW114)*$N115/100</f>
        <v>8380.98</v>
      </c>
      <c r="AB115" s="59">
        <f>SUM(AB114:$AW114)*$N115/100</f>
        <v>7449.76</v>
      </c>
      <c r="AC115" s="59">
        <f>SUM(AC114:$AW114)*$N115/100</f>
        <v>6518.54</v>
      </c>
      <c r="AD115" s="59">
        <f>SUM(AD114:$AW114)*$N115/100</f>
        <v>5587.32</v>
      </c>
      <c r="AE115" s="59">
        <f>SUM(AE114:$AW114)*$N115/100</f>
        <v>4656.1000000000004</v>
      </c>
      <c r="AF115" s="59">
        <f>SUM(AF114:$AW114)*$N115/100</f>
        <v>3724.88</v>
      </c>
      <c r="AG115" s="59">
        <f>SUM(AG114:$AW114)*$N115/100</f>
        <v>2793.66</v>
      </c>
      <c r="AH115" s="59">
        <f>SUM(AH114:$AW114)*$N115/100</f>
        <v>1862.44</v>
      </c>
      <c r="AI115" s="59">
        <f>SUM(AI114:$AW114)*$N115/100</f>
        <v>931.22</v>
      </c>
      <c r="AJ115" s="59">
        <v>0</v>
      </c>
      <c r="AK115" s="59">
        <v>0</v>
      </c>
      <c r="AL115" s="59">
        <v>0</v>
      </c>
      <c r="AM115" s="59">
        <v>0</v>
      </c>
      <c r="AN115" s="59">
        <v>0</v>
      </c>
      <c r="AO115" s="59">
        <v>0</v>
      </c>
      <c r="AP115" s="59">
        <v>0</v>
      </c>
      <c r="AQ115" s="59">
        <v>0</v>
      </c>
      <c r="AR115" s="59">
        <v>0</v>
      </c>
      <c r="AS115" s="59">
        <v>0</v>
      </c>
      <c r="AT115" s="59">
        <v>0</v>
      </c>
      <c r="AU115" s="59">
        <v>0</v>
      </c>
      <c r="AV115" s="59">
        <v>0</v>
      </c>
      <c r="AW115" s="59">
        <v>0</v>
      </c>
      <c r="AX115" s="59"/>
      <c r="AY115" s="59"/>
      <c r="AZ115" s="60">
        <f t="shared" si="12"/>
        <v>95526.1</v>
      </c>
      <c r="BA115" s="46">
        <f t="shared" si="15"/>
        <v>0</v>
      </c>
      <c r="BB115" s="61">
        <f t="shared" si="13"/>
        <v>26074.16</v>
      </c>
      <c r="BC115" s="62">
        <f t="shared" si="17"/>
        <v>95526.099999999991</v>
      </c>
      <c r="BE115" s="33" t="b">
        <f t="shared" si="16"/>
        <v>1</v>
      </c>
    </row>
    <row r="116" spans="2:58" outlineLevel="1" x14ac:dyDescent="0.3">
      <c r="C116" s="130">
        <v>56</v>
      </c>
      <c r="D116" s="122" t="s">
        <v>862</v>
      </c>
      <c r="E116" s="131" t="s">
        <v>121</v>
      </c>
      <c r="F116" s="123" t="s">
        <v>122</v>
      </c>
      <c r="G116" s="123" t="s">
        <v>254</v>
      </c>
      <c r="H116" s="123" t="s">
        <v>214</v>
      </c>
      <c r="I116" s="123"/>
      <c r="J116" s="132">
        <v>37335</v>
      </c>
      <c r="K116" s="132"/>
      <c r="L116" s="132"/>
      <c r="M116" s="132"/>
      <c r="N116" s="133"/>
      <c r="O116" s="133"/>
      <c r="P116" s="133"/>
      <c r="Q116" s="41" t="s">
        <v>8</v>
      </c>
      <c r="R116" s="134">
        <v>37335</v>
      </c>
      <c r="S116" s="134">
        <v>0</v>
      </c>
      <c r="T116" s="135">
        <f t="shared" si="11"/>
        <v>37335</v>
      </c>
      <c r="U116" s="183">
        <f t="shared" si="10"/>
        <v>0</v>
      </c>
      <c r="V116" s="167">
        <v>37335</v>
      </c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45">
        <f t="shared" si="12"/>
        <v>37335</v>
      </c>
      <c r="BA116" s="46"/>
      <c r="BB116" s="47">
        <f t="shared" si="13"/>
        <v>0</v>
      </c>
      <c r="BC116" s="48">
        <f t="shared" si="17"/>
        <v>37335</v>
      </c>
      <c r="BE116" s="33" t="b">
        <f t="shared" si="16"/>
        <v>1</v>
      </c>
    </row>
    <row r="117" spans="2:58" outlineLevel="1" x14ac:dyDescent="0.3">
      <c r="C117" s="130"/>
      <c r="D117" s="122" t="s">
        <v>863</v>
      </c>
      <c r="E117" s="131"/>
      <c r="F117" s="123"/>
      <c r="G117" s="123"/>
      <c r="H117" s="123"/>
      <c r="I117" s="123"/>
      <c r="J117" s="132"/>
      <c r="K117" s="132"/>
      <c r="L117" s="132"/>
      <c r="M117" s="132"/>
      <c r="N117" s="133"/>
      <c r="O117" s="133"/>
      <c r="P117" s="133"/>
      <c r="Q117" s="56" t="s">
        <v>10</v>
      </c>
      <c r="R117" s="134">
        <v>466.29</v>
      </c>
      <c r="S117" s="134">
        <v>0</v>
      </c>
      <c r="T117" s="135">
        <f t="shared" si="11"/>
        <v>466.29</v>
      </c>
      <c r="U117" s="183">
        <f t="shared" si="10"/>
        <v>0.29000000000002046</v>
      </c>
      <c r="V117" s="168">
        <f>841.58-375</f>
        <v>466.58000000000004</v>
      </c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60">
        <f t="shared" si="12"/>
        <v>466.58000000000004</v>
      </c>
      <c r="BA117" s="46"/>
      <c r="BB117" s="61">
        <f t="shared" si="13"/>
        <v>0</v>
      </c>
      <c r="BC117" s="62">
        <f t="shared" si="17"/>
        <v>466.58000000000004</v>
      </c>
      <c r="BE117" s="33" t="b">
        <f t="shared" si="16"/>
        <v>1</v>
      </c>
    </row>
    <row r="118" spans="2:58" s="33" customFormat="1" outlineLevel="1" x14ac:dyDescent="0.3">
      <c r="B118" s="34" t="s">
        <v>751</v>
      </c>
      <c r="C118" s="35">
        <v>57</v>
      </c>
      <c r="D118" s="36" t="s">
        <v>850</v>
      </c>
      <c r="E118" s="37" t="s">
        <v>123</v>
      </c>
      <c r="F118" s="38" t="s">
        <v>124</v>
      </c>
      <c r="G118" s="38" t="s">
        <v>256</v>
      </c>
      <c r="H118" s="38" t="s">
        <v>216</v>
      </c>
      <c r="I118" s="38" t="s">
        <v>9</v>
      </c>
      <c r="J118" s="39">
        <v>495501</v>
      </c>
      <c r="K118" s="65">
        <v>296400.88</v>
      </c>
      <c r="L118" s="40"/>
      <c r="M118" s="40"/>
      <c r="N118" s="41"/>
      <c r="O118" s="41"/>
      <c r="P118" s="41"/>
      <c r="Q118" s="41" t="s">
        <v>8</v>
      </c>
      <c r="R118" s="42">
        <v>0</v>
      </c>
      <c r="S118" s="42">
        <v>26079</v>
      </c>
      <c r="T118" s="43">
        <f t="shared" si="11"/>
        <v>26079</v>
      </c>
      <c r="U118" s="181">
        <f t="shared" si="10"/>
        <v>0</v>
      </c>
      <c r="V118" s="166">
        <v>26079</v>
      </c>
      <c r="W118" s="44">
        <v>34772</v>
      </c>
      <c r="X118" s="44">
        <v>34772</v>
      </c>
      <c r="Y118" s="44">
        <v>34772</v>
      </c>
      <c r="Z118" s="44">
        <v>34772</v>
      </c>
      <c r="AA118" s="44">
        <v>34772</v>
      </c>
      <c r="AB118" s="44">
        <v>34772</v>
      </c>
      <c r="AC118" s="44">
        <v>34772</v>
      </c>
      <c r="AD118" s="44">
        <v>34772</v>
      </c>
      <c r="AE118" s="44">
        <v>34772</v>
      </c>
      <c r="AF118" s="44">
        <v>34772</v>
      </c>
      <c r="AG118" s="44">
        <v>34772</v>
      </c>
      <c r="AH118" s="44">
        <v>34772</v>
      </c>
      <c r="AI118" s="44">
        <v>34772</v>
      </c>
      <c r="AJ118" s="44">
        <v>17386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4"/>
      <c r="AY118" s="44"/>
      <c r="AZ118" s="45">
        <f t="shared" si="12"/>
        <v>495501</v>
      </c>
      <c r="BA118" s="46">
        <f t="shared" si="15"/>
        <v>0</v>
      </c>
      <c r="BB118" s="47">
        <f t="shared" si="13"/>
        <v>260790</v>
      </c>
      <c r="BC118" s="48">
        <f t="shared" si="17"/>
        <v>495501</v>
      </c>
      <c r="BE118" s="33" t="b">
        <f t="shared" si="16"/>
        <v>1</v>
      </c>
      <c r="BF118" s="49"/>
    </row>
    <row r="119" spans="2:58" outlineLevel="1" x14ac:dyDescent="0.3">
      <c r="B119" s="50" t="s">
        <v>751</v>
      </c>
      <c r="C119" s="51"/>
      <c r="D119" s="52" t="s">
        <v>851</v>
      </c>
      <c r="E119" s="53"/>
      <c r="F119" s="54"/>
      <c r="G119" s="54"/>
      <c r="H119" s="54"/>
      <c r="I119" s="54"/>
      <c r="J119" s="55"/>
      <c r="K119" s="63"/>
      <c r="L119" s="55" t="s">
        <v>255</v>
      </c>
      <c r="M119" s="55"/>
      <c r="N119" s="56">
        <f t="shared" si="14"/>
        <v>5.524</v>
      </c>
      <c r="O119" s="56">
        <v>5.524</v>
      </c>
      <c r="P119" s="56">
        <f>$P$4</f>
        <v>0</v>
      </c>
      <c r="Q119" s="56" t="s">
        <v>10</v>
      </c>
      <c r="R119" s="57">
        <v>12203.61</v>
      </c>
      <c r="S119" s="57">
        <v>13092.86</v>
      </c>
      <c r="T119" s="58">
        <f t="shared" si="11"/>
        <v>25296.47</v>
      </c>
      <c r="U119" s="190">
        <f t="shared" si="10"/>
        <v>2075.0052400000022</v>
      </c>
      <c r="V119" s="165">
        <f>SUM(V118:$AW118)*$N119/100-2075+2075</f>
        <v>27371.475240000003</v>
      </c>
      <c r="W119" s="59">
        <f>SUM(W118:$AW118)*$N119/100</f>
        <v>25930.871279999999</v>
      </c>
      <c r="X119" s="59">
        <f>SUM(X118:$AW118)*$N119/100</f>
        <v>24010.066000000003</v>
      </c>
      <c r="Y119" s="59">
        <f>SUM(Y118:$AW118)*$N119/100</f>
        <v>22089.260720000002</v>
      </c>
      <c r="Z119" s="59">
        <f>SUM(Z118:$AW118)*$N119/100</f>
        <v>20168.455440000002</v>
      </c>
      <c r="AA119" s="59">
        <f>SUM(AA118:$AW118)*$N119/100</f>
        <v>18247.650160000001</v>
      </c>
      <c r="AB119" s="59">
        <f>SUM(AB118:$AW118)*$N119/100</f>
        <v>16326.844879999999</v>
      </c>
      <c r="AC119" s="59">
        <f>SUM(AC118:$AW118)*$N119/100</f>
        <v>14406.0396</v>
      </c>
      <c r="AD119" s="59">
        <f>SUM(AD118:$AW118)*$N119/100</f>
        <v>12485.23432</v>
      </c>
      <c r="AE119" s="59">
        <f>SUM(AE118:$AW118)*$N119/100</f>
        <v>10564.429040000001</v>
      </c>
      <c r="AF119" s="59">
        <f>SUM(AF118:$AW118)*$N119/100</f>
        <v>8643.6237600000004</v>
      </c>
      <c r="AG119" s="59">
        <f>SUM(AG118:$AW118)*$N119/100</f>
        <v>6722.8184799999999</v>
      </c>
      <c r="AH119" s="59">
        <f>SUM(AH118:$AW118)*$N119/100</f>
        <v>4802.0132000000003</v>
      </c>
      <c r="AI119" s="59">
        <f>SUM(AI118:$AW118)*$N119/100</f>
        <v>2881.2079200000003</v>
      </c>
      <c r="AJ119" s="59">
        <f>SUM(AJ118:$AW118)*$N119/100</f>
        <v>960.40263999999991</v>
      </c>
      <c r="AK119" s="59">
        <v>0</v>
      </c>
      <c r="AL119" s="59">
        <v>0</v>
      </c>
      <c r="AM119" s="59">
        <v>0</v>
      </c>
      <c r="AN119" s="59">
        <v>0</v>
      </c>
      <c r="AO119" s="59">
        <v>0</v>
      </c>
      <c r="AP119" s="59">
        <v>0</v>
      </c>
      <c r="AQ119" s="59">
        <v>0</v>
      </c>
      <c r="AR119" s="59">
        <v>0</v>
      </c>
      <c r="AS119" s="59">
        <v>0</v>
      </c>
      <c r="AT119" s="59">
        <v>0</v>
      </c>
      <c r="AU119" s="59">
        <v>0</v>
      </c>
      <c r="AV119" s="59">
        <v>0</v>
      </c>
      <c r="AW119" s="59">
        <v>0</v>
      </c>
      <c r="AX119" s="59"/>
      <c r="AY119" s="59"/>
      <c r="AZ119" s="60">
        <f t="shared" si="12"/>
        <v>215610.3926799999</v>
      </c>
      <c r="BA119" s="46">
        <f t="shared" si="15"/>
        <v>0</v>
      </c>
      <c r="BB119" s="61">
        <f t="shared" si="13"/>
        <v>61465.768960000009</v>
      </c>
      <c r="BC119" s="62">
        <f t="shared" si="17"/>
        <v>215610.39268000002</v>
      </c>
      <c r="BE119" s="33" t="b">
        <f t="shared" si="16"/>
        <v>1</v>
      </c>
    </row>
    <row r="120" spans="2:58" s="33" customFormat="1" x14ac:dyDescent="0.3">
      <c r="B120" s="34" t="s">
        <v>751</v>
      </c>
      <c r="C120" s="35">
        <v>58</v>
      </c>
      <c r="D120" s="36" t="s">
        <v>852</v>
      </c>
      <c r="E120" s="37" t="s">
        <v>260</v>
      </c>
      <c r="F120" s="38" t="s">
        <v>259</v>
      </c>
      <c r="G120" s="38" t="s">
        <v>258</v>
      </c>
      <c r="H120" s="38" t="s">
        <v>257</v>
      </c>
      <c r="I120" s="38" t="s">
        <v>9</v>
      </c>
      <c r="J120" s="39">
        <v>167687</v>
      </c>
      <c r="K120" s="65">
        <v>167687</v>
      </c>
      <c r="L120" s="40"/>
      <c r="M120" s="40"/>
      <c r="N120" s="41"/>
      <c r="O120" s="41"/>
      <c r="P120" s="41"/>
      <c r="Q120" s="41" t="s">
        <v>8</v>
      </c>
      <c r="R120" s="42">
        <v>167687</v>
      </c>
      <c r="S120" s="42">
        <v>0</v>
      </c>
      <c r="T120" s="43">
        <f t="shared" si="11"/>
        <v>167687</v>
      </c>
      <c r="U120" s="181">
        <f t="shared" si="10"/>
        <v>0</v>
      </c>
      <c r="V120" s="166">
        <f>133641+33979+67</f>
        <v>167687</v>
      </c>
      <c r="W120" s="44">
        <f>167687-V120</f>
        <v>0</v>
      </c>
      <c r="X120" s="44">
        <v>0</v>
      </c>
      <c r="Y120" s="44">
        <v>0</v>
      </c>
      <c r="Z120" s="44">
        <v>0</v>
      </c>
      <c r="AA120" s="44">
        <v>0</v>
      </c>
      <c r="AB120" s="44">
        <v>0</v>
      </c>
      <c r="AC120" s="44">
        <v>0</v>
      </c>
      <c r="AD120" s="44">
        <v>0</v>
      </c>
      <c r="AE120" s="44">
        <v>0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4"/>
      <c r="AY120" s="44"/>
      <c r="AZ120" s="45">
        <f t="shared" si="12"/>
        <v>167687</v>
      </c>
      <c r="BA120" s="46">
        <f t="shared" si="15"/>
        <v>0</v>
      </c>
      <c r="BB120" s="47">
        <f t="shared" si="13"/>
        <v>0</v>
      </c>
      <c r="BC120" s="48">
        <f t="shared" si="17"/>
        <v>167687</v>
      </c>
      <c r="BE120" s="33" t="b">
        <f t="shared" si="16"/>
        <v>1</v>
      </c>
      <c r="BF120" s="49"/>
    </row>
    <row r="121" spans="2:58" x14ac:dyDescent="0.3">
      <c r="B121" s="50" t="s">
        <v>751</v>
      </c>
      <c r="C121" s="51"/>
      <c r="D121" s="52" t="s">
        <v>853</v>
      </c>
      <c r="E121" s="53"/>
      <c r="F121" s="54"/>
      <c r="G121" s="54"/>
      <c r="H121" s="54"/>
      <c r="I121" s="54"/>
      <c r="J121" s="55"/>
      <c r="K121" s="55"/>
      <c r="L121" s="55" t="s">
        <v>232</v>
      </c>
      <c r="M121" s="55"/>
      <c r="N121" s="56">
        <f t="shared" si="14"/>
        <v>4.718</v>
      </c>
      <c r="O121" s="56">
        <v>4.718</v>
      </c>
      <c r="P121" s="56">
        <f>$P$4</f>
        <v>0</v>
      </c>
      <c r="Q121" s="56" t="s">
        <v>10</v>
      </c>
      <c r="R121" s="57">
        <v>2549.25</v>
      </c>
      <c r="S121" s="57">
        <v>0</v>
      </c>
      <c r="T121" s="58">
        <f>SUM(R121:S121)</f>
        <v>2549.25</v>
      </c>
      <c r="U121" s="185">
        <f t="shared" si="10"/>
        <v>0.22265999999945052</v>
      </c>
      <c r="V121" s="165">
        <f>SUM(V120:$AW120)*$N121/100-5362</f>
        <v>2549.4726599999995</v>
      </c>
      <c r="W121" s="59">
        <f>SUM(W120:$AW120)*$N121/100</f>
        <v>0</v>
      </c>
      <c r="X121" s="59">
        <f>SUM(X120:$AW120)*$N121/100</f>
        <v>0</v>
      </c>
      <c r="Y121" s="59">
        <v>0</v>
      </c>
      <c r="Z121" s="59">
        <v>0</v>
      </c>
      <c r="AA121" s="59">
        <v>0</v>
      </c>
      <c r="AB121" s="59">
        <v>0</v>
      </c>
      <c r="AC121" s="59">
        <v>0</v>
      </c>
      <c r="AD121" s="59">
        <v>0</v>
      </c>
      <c r="AE121" s="59">
        <v>0</v>
      </c>
      <c r="AF121" s="59">
        <v>0</v>
      </c>
      <c r="AG121" s="59">
        <v>0</v>
      </c>
      <c r="AH121" s="59">
        <v>0</v>
      </c>
      <c r="AI121" s="59">
        <v>0</v>
      </c>
      <c r="AJ121" s="59">
        <v>0</v>
      </c>
      <c r="AK121" s="59">
        <v>0</v>
      </c>
      <c r="AL121" s="59">
        <v>0</v>
      </c>
      <c r="AM121" s="59">
        <v>0</v>
      </c>
      <c r="AN121" s="59">
        <v>0</v>
      </c>
      <c r="AO121" s="59">
        <v>0</v>
      </c>
      <c r="AP121" s="59">
        <v>0</v>
      </c>
      <c r="AQ121" s="59">
        <v>0</v>
      </c>
      <c r="AR121" s="59">
        <v>0</v>
      </c>
      <c r="AS121" s="59">
        <v>0</v>
      </c>
      <c r="AT121" s="59">
        <v>0</v>
      </c>
      <c r="AU121" s="59">
        <v>0</v>
      </c>
      <c r="AV121" s="59">
        <v>0</v>
      </c>
      <c r="AW121" s="59">
        <v>0</v>
      </c>
      <c r="AX121" s="59"/>
      <c r="AY121" s="59"/>
      <c r="AZ121" s="60">
        <f t="shared" si="12"/>
        <v>2549.4726599999995</v>
      </c>
      <c r="BA121" s="46">
        <f t="shared" si="15"/>
        <v>0</v>
      </c>
      <c r="BB121" s="61">
        <f t="shared" si="13"/>
        <v>0</v>
      </c>
      <c r="BC121" s="62">
        <f t="shared" si="17"/>
        <v>2549.4726599999995</v>
      </c>
      <c r="BE121" s="33" t="b">
        <f t="shared" si="16"/>
        <v>1</v>
      </c>
    </row>
    <row r="122" spans="2:58" s="70" customFormat="1" x14ac:dyDescent="0.3">
      <c r="B122" s="66" t="s">
        <v>750</v>
      </c>
      <c r="C122" s="67">
        <v>59</v>
      </c>
      <c r="D122" s="68" t="s">
        <v>854</v>
      </c>
      <c r="E122" s="37" t="s">
        <v>717</v>
      </c>
      <c r="F122" s="37" t="s">
        <v>718</v>
      </c>
      <c r="G122" s="69">
        <v>45159</v>
      </c>
      <c r="H122" s="37" t="s">
        <v>719</v>
      </c>
      <c r="I122" s="37" t="s">
        <v>9</v>
      </c>
      <c r="J122" s="39">
        <v>287500</v>
      </c>
      <c r="K122" s="40">
        <v>0</v>
      </c>
      <c r="L122" s="40"/>
      <c r="M122" s="40"/>
      <c r="N122" s="41"/>
      <c r="O122" s="41"/>
      <c r="P122" s="41"/>
      <c r="Q122" s="41" t="s">
        <v>8</v>
      </c>
      <c r="R122" s="42">
        <v>0</v>
      </c>
      <c r="S122" s="42">
        <v>15542</v>
      </c>
      <c r="T122" s="43">
        <f t="shared" si="11"/>
        <v>15542</v>
      </c>
      <c r="U122" s="181">
        <f t="shared" si="10"/>
        <v>0</v>
      </c>
      <c r="V122" s="166">
        <v>15542</v>
      </c>
      <c r="W122" s="44">
        <v>31084</v>
      </c>
      <c r="X122" s="44">
        <v>31084</v>
      </c>
      <c r="Y122" s="44">
        <v>31084</v>
      </c>
      <c r="Z122" s="44">
        <v>31084</v>
      </c>
      <c r="AA122" s="44">
        <v>31084</v>
      </c>
      <c r="AB122" s="44">
        <v>31084</v>
      </c>
      <c r="AC122" s="44">
        <v>31084</v>
      </c>
      <c r="AD122" s="44">
        <v>31084</v>
      </c>
      <c r="AE122" s="44">
        <f>J122-AD122-AC122-AB122-AA122-Z122-Y122-X122-W122-V122</f>
        <v>23286</v>
      </c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5">
        <f t="shared" si="12"/>
        <v>287500</v>
      </c>
      <c r="BA122" s="46">
        <f t="shared" si="15"/>
        <v>0</v>
      </c>
      <c r="BB122" s="47">
        <f t="shared" si="13"/>
        <v>85454</v>
      </c>
      <c r="BC122" s="48">
        <f t="shared" si="17"/>
        <v>287500</v>
      </c>
      <c r="BE122" s="70" t="b">
        <f t="shared" si="16"/>
        <v>1</v>
      </c>
      <c r="BF122" s="71"/>
    </row>
    <row r="123" spans="2:58" s="13" customFormat="1" x14ac:dyDescent="0.3">
      <c r="B123" s="72" t="s">
        <v>750</v>
      </c>
      <c r="C123" s="73"/>
      <c r="D123" s="74" t="s">
        <v>855</v>
      </c>
      <c r="E123" s="53"/>
      <c r="F123" s="53"/>
      <c r="G123" s="53"/>
      <c r="H123" s="53"/>
      <c r="I123" s="53"/>
      <c r="J123" s="55"/>
      <c r="K123" s="55"/>
      <c r="L123" s="55"/>
      <c r="M123" s="55"/>
      <c r="N123" s="56">
        <f t="shared" si="14"/>
        <v>5.2960000000000003</v>
      </c>
      <c r="O123" s="56">
        <v>5.2960000000000003</v>
      </c>
      <c r="P123" s="56">
        <f>$P$4</f>
        <v>0</v>
      </c>
      <c r="Q123" s="56" t="s">
        <v>10</v>
      </c>
      <c r="R123" s="57">
        <v>2686.05</v>
      </c>
      <c r="S123" s="57">
        <v>4228.2700000000004</v>
      </c>
      <c r="T123" s="58">
        <f t="shared" si="11"/>
        <v>6914.3200000000006</v>
      </c>
      <c r="U123" s="190">
        <f t="shared" si="10"/>
        <v>8000.6799999999994</v>
      </c>
      <c r="V123" s="165">
        <f>SUM(V122:$AW122)*$N123/100-8311+8000</f>
        <v>14915</v>
      </c>
      <c r="W123" s="59">
        <f>SUM(W122:$AW122)*$N123/100</f>
        <v>14402.89568</v>
      </c>
      <c r="X123" s="59">
        <f>SUM(X122:$AW122)*$N123/100</f>
        <v>12756.687040000001</v>
      </c>
      <c r="Y123" s="59">
        <f>SUM(Y122:$AW122)*$N123/100</f>
        <v>11110.4784</v>
      </c>
      <c r="Z123" s="59">
        <f>SUM(Z122:$AW122)*$N123/100</f>
        <v>9464.269760000001</v>
      </c>
      <c r="AA123" s="59">
        <f>SUM(AA122:$AW122)*$N123/100</f>
        <v>7818.0611200000012</v>
      </c>
      <c r="AB123" s="59">
        <f>SUM(AB122:$AW122)*$N123/100</f>
        <v>6171.8524800000005</v>
      </c>
      <c r="AC123" s="59">
        <f>SUM(AC122:$AW122)*$N123/100</f>
        <v>4525.6438400000006</v>
      </c>
      <c r="AD123" s="59">
        <f>SUM(AD122:$AW122)*$N123/100</f>
        <v>2879.4352000000003</v>
      </c>
      <c r="AE123" s="59">
        <f>SUM(AE122:$AW122)*$N123/100</f>
        <v>1233.2265600000001</v>
      </c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60">
        <f t="shared" si="12"/>
        <v>85277.550080000015</v>
      </c>
      <c r="BA123" s="46">
        <f t="shared" si="15"/>
        <v>0</v>
      </c>
      <c r="BB123" s="61">
        <f t="shared" si="13"/>
        <v>8638.3055999999997</v>
      </c>
      <c r="BC123" s="62">
        <f t="shared" si="17"/>
        <v>85277.550080000015</v>
      </c>
      <c r="BE123" s="70" t="b">
        <f t="shared" si="16"/>
        <v>1</v>
      </c>
    </row>
    <row r="124" spans="2:58" s="70" customFormat="1" x14ac:dyDescent="0.3">
      <c r="B124" s="66" t="s">
        <v>750</v>
      </c>
      <c r="C124" s="67">
        <v>60</v>
      </c>
      <c r="D124" s="68" t="s">
        <v>856</v>
      </c>
      <c r="E124" s="37" t="s">
        <v>779</v>
      </c>
      <c r="F124" s="37" t="s">
        <v>780</v>
      </c>
      <c r="G124" s="69">
        <v>45215</v>
      </c>
      <c r="H124" s="69">
        <v>49572</v>
      </c>
      <c r="I124" s="37" t="s">
        <v>9</v>
      </c>
      <c r="J124" s="39">
        <v>353750</v>
      </c>
      <c r="K124" s="40">
        <v>353750</v>
      </c>
      <c r="L124" s="40"/>
      <c r="M124" s="40"/>
      <c r="N124" s="41"/>
      <c r="O124" s="41"/>
      <c r="P124" s="41"/>
      <c r="Q124" s="41" t="s">
        <v>8</v>
      </c>
      <c r="R124" s="42">
        <v>7527</v>
      </c>
      <c r="S124" s="42">
        <v>22581</v>
      </c>
      <c r="T124" s="43">
        <f t="shared" si="11"/>
        <v>30108</v>
      </c>
      <c r="U124" s="181">
        <f t="shared" si="10"/>
        <v>0</v>
      </c>
      <c r="V124" s="166">
        <f>7527*4</f>
        <v>30108</v>
      </c>
      <c r="W124" s="44">
        <f t="shared" ref="W124:AF124" si="18">7527*4</f>
        <v>30108</v>
      </c>
      <c r="X124" s="44">
        <f t="shared" si="18"/>
        <v>30108</v>
      </c>
      <c r="Y124" s="44">
        <f t="shared" si="18"/>
        <v>30108</v>
      </c>
      <c r="Z124" s="44">
        <f t="shared" si="18"/>
        <v>30108</v>
      </c>
      <c r="AA124" s="44">
        <f t="shared" si="18"/>
        <v>30108</v>
      </c>
      <c r="AB124" s="44">
        <f t="shared" si="18"/>
        <v>30108</v>
      </c>
      <c r="AC124" s="44">
        <f t="shared" si="18"/>
        <v>30108</v>
      </c>
      <c r="AD124" s="44">
        <f t="shared" si="18"/>
        <v>30108</v>
      </c>
      <c r="AE124" s="44">
        <f t="shared" si="18"/>
        <v>30108</v>
      </c>
      <c r="AF124" s="44">
        <f t="shared" si="18"/>
        <v>30108</v>
      </c>
      <c r="AG124" s="44">
        <f>7527*2+7508</f>
        <v>22562</v>
      </c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5">
        <f t="shared" si="12"/>
        <v>353750</v>
      </c>
      <c r="BA124" s="46">
        <f t="shared" si="15"/>
        <v>0</v>
      </c>
      <c r="BB124" s="47">
        <f t="shared" si="13"/>
        <v>142994</v>
      </c>
      <c r="BC124" s="48">
        <f t="shared" si="17"/>
        <v>353750</v>
      </c>
      <c r="BE124" s="70" t="b">
        <f t="shared" si="16"/>
        <v>1</v>
      </c>
      <c r="BF124" s="71"/>
    </row>
    <row r="125" spans="2:58" s="13" customFormat="1" x14ac:dyDescent="0.3">
      <c r="B125" s="72" t="s">
        <v>750</v>
      </c>
      <c r="C125" s="73"/>
      <c r="D125" s="74" t="s">
        <v>857</v>
      </c>
      <c r="E125" s="53"/>
      <c r="F125" s="53"/>
      <c r="G125" s="53"/>
      <c r="H125" s="53"/>
      <c r="I125" s="53"/>
      <c r="J125" s="55"/>
      <c r="K125" s="55"/>
      <c r="L125" s="55"/>
      <c r="M125" s="55"/>
      <c r="N125" s="56">
        <f t="shared" si="14"/>
        <v>4.5910000000000002</v>
      </c>
      <c r="O125" s="56">
        <v>4.5910000000000002</v>
      </c>
      <c r="P125" s="56"/>
      <c r="Q125" s="56" t="s">
        <v>10</v>
      </c>
      <c r="R125" s="57">
        <v>5238.16</v>
      </c>
      <c r="S125" s="57">
        <v>7767.25</v>
      </c>
      <c r="T125" s="58">
        <f t="shared" si="11"/>
        <v>13005.41</v>
      </c>
      <c r="U125" s="182">
        <f t="shared" si="10"/>
        <v>0.25250000000050932</v>
      </c>
      <c r="V125" s="165">
        <f>SUM(V124:$AW124)*$N125/100-3235</f>
        <v>13005.6625</v>
      </c>
      <c r="W125" s="59">
        <f>SUM(W124:$AW124)*$N125/100</f>
        <v>14858.40422</v>
      </c>
      <c r="X125" s="59">
        <f>SUM(X124:$AW124)*$N125/100</f>
        <v>13476.14594</v>
      </c>
      <c r="Y125" s="59">
        <f>SUM(Y124:$AW124)*$N125/100</f>
        <v>12093.88766</v>
      </c>
      <c r="Z125" s="59">
        <f>SUM(Z124:$AW124)*$N125/100</f>
        <v>10711.62938</v>
      </c>
      <c r="AA125" s="59">
        <f>SUM(AA124:$AW124)*$N125/100</f>
        <v>9329.3711000000003</v>
      </c>
      <c r="AB125" s="59">
        <f>SUM(AB124:$AW124)*$N125/100</f>
        <v>7947.1128200000003</v>
      </c>
      <c r="AC125" s="59">
        <f>SUM(AC124:$AW124)*$N125/100</f>
        <v>6564.8545400000003</v>
      </c>
      <c r="AD125" s="59">
        <f>SUM(AD124:$AW124)*$N125/100</f>
        <v>5182.5962600000003</v>
      </c>
      <c r="AE125" s="59">
        <f>SUM(AE124:$AW124)*$N125/100</f>
        <v>3800.3379800000002</v>
      </c>
      <c r="AF125" s="59">
        <f>SUM(AF124:$AW124)*$N125/100</f>
        <v>2418.0797000000002</v>
      </c>
      <c r="AG125" s="59">
        <f>SUM(AG124:$AW124)*$N125/100</f>
        <v>1035.82142</v>
      </c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60">
        <f t="shared" si="12"/>
        <v>100423.90351999999</v>
      </c>
      <c r="BA125" s="46">
        <f t="shared" si="15"/>
        <v>0</v>
      </c>
      <c r="BB125" s="61">
        <f t="shared" si="13"/>
        <v>19001.689900000001</v>
      </c>
      <c r="BC125" s="62">
        <f t="shared" si="17"/>
        <v>100423.90351999999</v>
      </c>
      <c r="BE125" s="70" t="b">
        <f t="shared" si="16"/>
        <v>1</v>
      </c>
    </row>
    <row r="126" spans="2:58" s="147" customFormat="1" x14ac:dyDescent="0.3">
      <c r="B126" s="136" t="s">
        <v>751</v>
      </c>
      <c r="C126" s="137">
        <v>61</v>
      </c>
      <c r="D126" s="138" t="s">
        <v>774</v>
      </c>
      <c r="E126" s="138" t="s">
        <v>752</v>
      </c>
      <c r="F126" s="138"/>
      <c r="G126" s="138">
        <v>2024</v>
      </c>
      <c r="H126" s="138">
        <v>2029</v>
      </c>
      <c r="I126" s="138" t="s">
        <v>9</v>
      </c>
      <c r="J126" s="139">
        <v>196584</v>
      </c>
      <c r="K126" s="139"/>
      <c r="L126" s="139"/>
      <c r="M126" s="139"/>
      <c r="N126" s="140"/>
      <c r="O126" s="140"/>
      <c r="P126" s="140"/>
      <c r="Q126" s="141" t="s">
        <v>8</v>
      </c>
      <c r="R126" s="142"/>
      <c r="S126" s="142"/>
      <c r="T126" s="143"/>
      <c r="U126" s="181">
        <f t="shared" si="10"/>
        <v>0</v>
      </c>
      <c r="V126" s="143"/>
      <c r="W126" s="143"/>
      <c r="X126" s="143">
        <f>$J$126/5</f>
        <v>39316.800000000003</v>
      </c>
      <c r="Y126" s="143">
        <f t="shared" ref="Y126:AB126" si="19">$J$126/5</f>
        <v>39316.800000000003</v>
      </c>
      <c r="Z126" s="143">
        <f t="shared" si="19"/>
        <v>39316.800000000003</v>
      </c>
      <c r="AA126" s="143">
        <f t="shared" si="19"/>
        <v>39316.800000000003</v>
      </c>
      <c r="AB126" s="143">
        <f t="shared" si="19"/>
        <v>39316.800000000003</v>
      </c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4">
        <f t="shared" si="12"/>
        <v>196584</v>
      </c>
      <c r="BA126" s="145">
        <f t="shared" si="15"/>
        <v>0</v>
      </c>
      <c r="BB126" s="146">
        <f t="shared" si="13"/>
        <v>0</v>
      </c>
      <c r="BC126" s="144">
        <f t="shared" si="17"/>
        <v>196584</v>
      </c>
      <c r="BE126" s="148" t="b">
        <f t="shared" si="16"/>
        <v>1</v>
      </c>
      <c r="BF126" s="149"/>
    </row>
    <row r="127" spans="2:58" s="147" customFormat="1" x14ac:dyDescent="0.3">
      <c r="B127" s="150" t="s">
        <v>751</v>
      </c>
      <c r="C127" s="151"/>
      <c r="D127" s="152" t="s">
        <v>775</v>
      </c>
      <c r="E127" s="152"/>
      <c r="F127" s="152"/>
      <c r="G127" s="152"/>
      <c r="H127" s="152"/>
      <c r="I127" s="152"/>
      <c r="J127" s="153"/>
      <c r="K127" s="153"/>
      <c r="L127" s="153"/>
      <c r="M127" s="153"/>
      <c r="N127" s="154">
        <f t="shared" si="14"/>
        <v>4.4470000000000001</v>
      </c>
      <c r="O127" s="154">
        <v>4.4470000000000001</v>
      </c>
      <c r="P127" s="154">
        <f>$P$4</f>
        <v>0</v>
      </c>
      <c r="Q127" s="154" t="s">
        <v>10</v>
      </c>
      <c r="R127" s="155"/>
      <c r="S127" s="155"/>
      <c r="T127" s="156"/>
      <c r="U127" s="182">
        <f t="shared" si="10"/>
        <v>0</v>
      </c>
      <c r="V127" s="156"/>
      <c r="W127" s="156">
        <f>SUM(W126:$AW126)*$N127/100</f>
        <v>8742.0904800000008</v>
      </c>
      <c r="X127" s="156">
        <f>SUM(X126:$AW126)*$N127/100</f>
        <v>8742.0904800000008</v>
      </c>
      <c r="Y127" s="156">
        <f>SUM(Y126:$AW126)*$N127/100</f>
        <v>6993.6723840000004</v>
      </c>
      <c r="Z127" s="156">
        <f>SUM(Z126:$AW126)*$N127/100</f>
        <v>5245.2542880000001</v>
      </c>
      <c r="AA127" s="156">
        <f>SUM(AA126:$AW126)*$N127/100</f>
        <v>3496.8361920000002</v>
      </c>
      <c r="AB127" s="156">
        <f>SUM(AB126:$AW126)*$N127/100</f>
        <v>1748.4180960000001</v>
      </c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7">
        <f t="shared" si="12"/>
        <v>34968.361920000003</v>
      </c>
      <c r="BA127" s="145">
        <f t="shared" si="15"/>
        <v>0</v>
      </c>
      <c r="BB127" s="158">
        <f t="shared" si="13"/>
        <v>0</v>
      </c>
      <c r="BC127" s="157">
        <f t="shared" si="17"/>
        <v>34968.361920000003</v>
      </c>
      <c r="BE127" s="148" t="b">
        <f t="shared" si="16"/>
        <v>1</v>
      </c>
    </row>
    <row r="128" spans="2:58" s="147" customFormat="1" x14ac:dyDescent="0.3">
      <c r="B128" s="136" t="s">
        <v>751</v>
      </c>
      <c r="C128" s="137">
        <v>62</v>
      </c>
      <c r="D128" s="138" t="s">
        <v>753</v>
      </c>
      <c r="E128" s="138" t="s">
        <v>752</v>
      </c>
      <c r="F128" s="138"/>
      <c r="G128" s="138">
        <v>2024</v>
      </c>
      <c r="H128" s="138">
        <v>2039</v>
      </c>
      <c r="I128" s="138" t="s">
        <v>9</v>
      </c>
      <c r="J128" s="139">
        <v>787514</v>
      </c>
      <c r="K128" s="139"/>
      <c r="L128" s="139"/>
      <c r="M128" s="139"/>
      <c r="N128" s="140"/>
      <c r="O128" s="140"/>
      <c r="P128" s="140"/>
      <c r="Q128" s="141" t="s">
        <v>8</v>
      </c>
      <c r="R128" s="142"/>
      <c r="S128" s="142"/>
      <c r="T128" s="143"/>
      <c r="U128" s="181">
        <f t="shared" si="10"/>
        <v>0</v>
      </c>
      <c r="V128" s="143"/>
      <c r="W128" s="143"/>
      <c r="X128" s="143"/>
      <c r="Y128" s="143">
        <f>$J$128/15</f>
        <v>52500.933333333334</v>
      </c>
      <c r="Z128" s="143">
        <f t="shared" ref="Z128:AM128" si="20">$J$128/15</f>
        <v>52500.933333333334</v>
      </c>
      <c r="AA128" s="143">
        <f t="shared" si="20"/>
        <v>52500.933333333334</v>
      </c>
      <c r="AB128" s="143">
        <f t="shared" si="20"/>
        <v>52500.933333333334</v>
      </c>
      <c r="AC128" s="143">
        <f t="shared" si="20"/>
        <v>52500.933333333334</v>
      </c>
      <c r="AD128" s="143">
        <f t="shared" si="20"/>
        <v>52500.933333333334</v>
      </c>
      <c r="AE128" s="143">
        <f t="shared" si="20"/>
        <v>52500.933333333334</v>
      </c>
      <c r="AF128" s="143">
        <f t="shared" si="20"/>
        <v>52500.933333333334</v>
      </c>
      <c r="AG128" s="143">
        <f t="shared" si="20"/>
        <v>52500.933333333334</v>
      </c>
      <c r="AH128" s="143">
        <f t="shared" si="20"/>
        <v>52500.933333333334</v>
      </c>
      <c r="AI128" s="143">
        <f t="shared" si="20"/>
        <v>52500.933333333334</v>
      </c>
      <c r="AJ128" s="143">
        <f t="shared" si="20"/>
        <v>52500.933333333334</v>
      </c>
      <c r="AK128" s="143">
        <f t="shared" si="20"/>
        <v>52500.933333333334</v>
      </c>
      <c r="AL128" s="143">
        <f t="shared" si="20"/>
        <v>52500.933333333334</v>
      </c>
      <c r="AM128" s="143">
        <f t="shared" si="20"/>
        <v>52500.933333333334</v>
      </c>
      <c r="AN128" s="143"/>
      <c r="AO128" s="143"/>
      <c r="AP128" s="143"/>
      <c r="AQ128" s="143"/>
      <c r="AR128" s="143"/>
      <c r="AS128" s="143"/>
      <c r="AT128" s="143"/>
      <c r="AU128" s="143"/>
      <c r="AV128" s="143"/>
      <c r="AW128" s="143"/>
      <c r="AX128" s="143"/>
      <c r="AY128" s="143"/>
      <c r="AZ128" s="144">
        <f t="shared" si="12"/>
        <v>787514.00000000012</v>
      </c>
      <c r="BA128" s="145">
        <f t="shared" si="15"/>
        <v>0</v>
      </c>
      <c r="BB128" s="146">
        <f t="shared" si="13"/>
        <v>577510.26666666672</v>
      </c>
      <c r="BC128" s="144">
        <f t="shared" si="17"/>
        <v>787514</v>
      </c>
      <c r="BE128" s="148" t="b">
        <f t="shared" si="16"/>
        <v>1</v>
      </c>
      <c r="BF128" s="149"/>
    </row>
    <row r="129" spans="2:59" s="147" customFormat="1" x14ac:dyDescent="0.3">
      <c r="B129" s="150" t="s">
        <v>751</v>
      </c>
      <c r="C129" s="151"/>
      <c r="D129" s="152"/>
      <c r="E129" s="152"/>
      <c r="F129" s="152"/>
      <c r="G129" s="152"/>
      <c r="H129" s="152"/>
      <c r="I129" s="152"/>
      <c r="J129" s="152"/>
      <c r="K129" s="153"/>
      <c r="L129" s="153"/>
      <c r="M129" s="153"/>
      <c r="N129" s="154">
        <f t="shared" ref="N129" si="21">SUM(O129:P129)</f>
        <v>4.944</v>
      </c>
      <c r="O129" s="154">
        <v>4.944</v>
      </c>
      <c r="P129" s="154">
        <f>$P$4</f>
        <v>0</v>
      </c>
      <c r="Q129" s="154" t="s">
        <v>10</v>
      </c>
      <c r="R129" s="155"/>
      <c r="S129" s="155"/>
      <c r="T129" s="156"/>
      <c r="U129" s="182">
        <f t="shared" si="10"/>
        <v>0</v>
      </c>
      <c r="V129" s="156"/>
      <c r="W129" s="156">
        <f>SUM(W128:$AW128)*$N129/100</f>
        <v>38934.692160000006</v>
      </c>
      <c r="X129" s="156">
        <f>SUM(X128:$AW128)*$N129/100</f>
        <v>38934.692160000006</v>
      </c>
      <c r="Y129" s="156">
        <f>SUM(Y128:$AW128)*$N129/100</f>
        <v>38934.692160000006</v>
      </c>
      <c r="Z129" s="156">
        <f>SUM(Z128:$AW128)*$N129/100</f>
        <v>36339.046016000008</v>
      </c>
      <c r="AA129" s="156">
        <f>SUM(AA128:$AW128)*$N129/100</f>
        <v>33743.399872000002</v>
      </c>
      <c r="AB129" s="156">
        <f>SUM(AB128:$AW128)*$N129/100</f>
        <v>31147.753728000003</v>
      </c>
      <c r="AC129" s="156">
        <f>SUM(AC128:$AW128)*$N129/100</f>
        <v>28552.107584000001</v>
      </c>
      <c r="AD129" s="156">
        <f>SUM(AD128:$AW128)*$N129/100</f>
        <v>25956.461440000003</v>
      </c>
      <c r="AE129" s="156">
        <f>SUM(AE128:$AW128)*$N129/100</f>
        <v>23360.815296000004</v>
      </c>
      <c r="AF129" s="156">
        <f>SUM(AF128:$AW128)*$N129/100</f>
        <v>20765.169152000002</v>
      </c>
      <c r="AG129" s="156">
        <f>SUM(AG128:$AW128)*$N129/100</f>
        <v>18169.523008000004</v>
      </c>
      <c r="AH129" s="156">
        <f>SUM(AH128:$AW128)*$N129/100</f>
        <v>15573.876864000002</v>
      </c>
      <c r="AI129" s="156">
        <f>SUM(AI128:$AW128)*$N129/100</f>
        <v>12978.230720000001</v>
      </c>
      <c r="AJ129" s="156">
        <f>SUM(AJ128:$AW128)*$N129/100</f>
        <v>10382.584575999999</v>
      </c>
      <c r="AK129" s="156">
        <f>SUM(AK128:$AW128)*$N129/100</f>
        <v>7786.938431999999</v>
      </c>
      <c r="AL129" s="156">
        <f>SUM(AL128:$AW128)*$N129/100</f>
        <v>5191.2922879999996</v>
      </c>
      <c r="AM129" s="156">
        <f>SUM(AM128:$AW128)*$N129/100</f>
        <v>2595.6461439999998</v>
      </c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7">
        <f t="shared" si="12"/>
        <v>389346.9216</v>
      </c>
      <c r="BA129" s="145">
        <f t="shared" si="15"/>
        <v>0</v>
      </c>
      <c r="BB129" s="158">
        <f t="shared" si="13"/>
        <v>171312.64550399999</v>
      </c>
      <c r="BC129" s="157">
        <f t="shared" si="17"/>
        <v>389346.9216</v>
      </c>
      <c r="BE129" s="148" t="b">
        <f t="shared" si="16"/>
        <v>1</v>
      </c>
    </row>
    <row r="130" spans="2:59" s="147" customFormat="1" x14ac:dyDescent="0.3">
      <c r="B130" s="136" t="s">
        <v>750</v>
      </c>
      <c r="C130" s="137">
        <v>63</v>
      </c>
      <c r="D130" s="138" t="s">
        <v>773</v>
      </c>
      <c r="E130" s="138" t="s">
        <v>752</v>
      </c>
      <c r="F130" s="138"/>
      <c r="G130" s="138">
        <v>2024</v>
      </c>
      <c r="H130" s="138">
        <v>2029</v>
      </c>
      <c r="I130" s="138" t="s">
        <v>9</v>
      </c>
      <c r="J130" s="170">
        <v>123379.93</v>
      </c>
      <c r="K130" s="170"/>
      <c r="L130" s="170"/>
      <c r="M130" s="170"/>
      <c r="N130" s="171"/>
      <c r="O130" s="171"/>
      <c r="P130" s="171"/>
      <c r="Q130" s="172" t="s">
        <v>8</v>
      </c>
      <c r="R130" s="173"/>
      <c r="S130" s="173"/>
      <c r="T130" s="174"/>
      <c r="U130" s="184">
        <f t="shared" si="10"/>
        <v>0</v>
      </c>
      <c r="V130" s="174"/>
      <c r="W130" s="174">
        <f>$J$130/4/4*3</f>
        <v>23133.736874999999</v>
      </c>
      <c r="X130" s="174">
        <f>$J$130/4</f>
        <v>30844.982499999998</v>
      </c>
      <c r="Y130" s="174">
        <f>$J$130/4</f>
        <v>30844.982499999998</v>
      </c>
      <c r="Z130" s="174">
        <f>$J$130/4</f>
        <v>30844.982499999998</v>
      </c>
      <c r="AA130" s="174">
        <f>$J$130/4/4</f>
        <v>7711.2456249999996</v>
      </c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>
        <f t="shared" si="12"/>
        <v>123379.93</v>
      </c>
      <c r="BA130" s="145">
        <f t="shared" si="15"/>
        <v>0</v>
      </c>
      <c r="BB130" s="175">
        <f t="shared" si="13"/>
        <v>0</v>
      </c>
      <c r="BC130" s="174">
        <f t="shared" si="17"/>
        <v>123379.93</v>
      </c>
      <c r="BE130" s="148" t="b">
        <f t="shared" si="16"/>
        <v>1</v>
      </c>
      <c r="BF130" s="149"/>
    </row>
    <row r="131" spans="2:59" s="147" customFormat="1" x14ac:dyDescent="0.3">
      <c r="B131" s="150" t="s">
        <v>750</v>
      </c>
      <c r="C131" s="151"/>
      <c r="D131" s="152"/>
      <c r="E131" s="152"/>
      <c r="F131" s="152"/>
      <c r="G131" s="152"/>
      <c r="H131" s="152"/>
      <c r="I131" s="152"/>
      <c r="J131" s="176"/>
      <c r="K131" s="176"/>
      <c r="L131" s="176"/>
      <c r="M131" s="176"/>
      <c r="N131" s="177">
        <f t="shared" ref="N131:N135" si="22">SUM(O131:P131)</f>
        <v>4.4470000000000001</v>
      </c>
      <c r="O131" s="177">
        <v>4.4470000000000001</v>
      </c>
      <c r="P131" s="177">
        <f>$P$4</f>
        <v>0</v>
      </c>
      <c r="Q131" s="177" t="s">
        <v>10</v>
      </c>
      <c r="R131" s="178"/>
      <c r="S131" s="178"/>
      <c r="T131" s="179"/>
      <c r="U131" s="185">
        <f t="shared" si="10"/>
        <v>4115.029115325</v>
      </c>
      <c r="V131" s="179">
        <f>SUM(V130:$AW130)*$N131/100/4*3</f>
        <v>4115.029115325</v>
      </c>
      <c r="W131" s="179">
        <f>SUM(W130:$AW130)*$N131/100</f>
        <v>5486.7054871</v>
      </c>
      <c r="X131" s="179">
        <f>SUM(X130:$AW130)*$N131/100</f>
        <v>4457.94820826875</v>
      </c>
      <c r="Y131" s="179">
        <f>SUM(Y130:$AW130)*$N131/100</f>
        <v>3086.27183649375</v>
      </c>
      <c r="Z131" s="179">
        <f>SUM(Z130:$AW130)*$N131/100</f>
        <v>1714.5954647187498</v>
      </c>
      <c r="AA131" s="179">
        <f>SUM(AA130:$AW130)*$N131/100</f>
        <v>342.91909294375</v>
      </c>
      <c r="AB131" s="179"/>
      <c r="AC131" s="179"/>
      <c r="AD131" s="179"/>
      <c r="AE131" s="179"/>
      <c r="AF131" s="179"/>
      <c r="AG131" s="179"/>
      <c r="AH131" s="179"/>
      <c r="AI131" s="179"/>
      <c r="AJ131" s="179"/>
      <c r="AK131" s="179"/>
      <c r="AL131" s="179"/>
      <c r="AM131" s="179"/>
      <c r="AN131" s="179"/>
      <c r="AO131" s="179"/>
      <c r="AP131" s="179"/>
      <c r="AQ131" s="179"/>
      <c r="AR131" s="179"/>
      <c r="AS131" s="179"/>
      <c r="AT131" s="179"/>
      <c r="AU131" s="179"/>
      <c r="AV131" s="179"/>
      <c r="AW131" s="179"/>
      <c r="AX131" s="179"/>
      <c r="AY131" s="179"/>
      <c r="AZ131" s="179">
        <f t="shared" si="12"/>
        <v>19203.46920485</v>
      </c>
      <c r="BA131" s="145">
        <f t="shared" si="15"/>
        <v>0</v>
      </c>
      <c r="BB131" s="180">
        <f t="shared" si="13"/>
        <v>0</v>
      </c>
      <c r="BC131" s="179">
        <f t="shared" si="17"/>
        <v>19203.46920485</v>
      </c>
      <c r="BE131" s="148" t="b">
        <f t="shared" si="16"/>
        <v>1</v>
      </c>
    </row>
    <row r="132" spans="2:59" s="147" customFormat="1" x14ac:dyDescent="0.3">
      <c r="B132" s="136"/>
      <c r="C132" s="137">
        <v>64</v>
      </c>
      <c r="D132" s="138" t="s">
        <v>798</v>
      </c>
      <c r="E132" s="138" t="s">
        <v>752</v>
      </c>
      <c r="F132" s="138"/>
      <c r="G132" s="138">
        <v>2024</v>
      </c>
      <c r="H132" s="138">
        <v>2034</v>
      </c>
      <c r="I132" s="138" t="s">
        <v>9</v>
      </c>
      <c r="J132" s="139">
        <v>729424</v>
      </c>
      <c r="K132" s="139"/>
      <c r="L132" s="139"/>
      <c r="M132" s="139"/>
      <c r="N132" s="140"/>
      <c r="O132" s="140"/>
      <c r="P132" s="140"/>
      <c r="Q132" s="141" t="s">
        <v>8</v>
      </c>
      <c r="R132" s="142"/>
      <c r="S132" s="142"/>
      <c r="T132" s="143"/>
      <c r="U132" s="181">
        <f t="shared" si="10"/>
        <v>0</v>
      </c>
      <c r="V132" s="143"/>
      <c r="W132" s="143">
        <f>$J$132/38*2</f>
        <v>38390.73684210526</v>
      </c>
      <c r="X132" s="143">
        <f>$J$132/38*4</f>
        <v>76781.473684210519</v>
      </c>
      <c r="Y132" s="143">
        <f t="shared" ref="Y132:AF132" si="23">$J$132/38*4</f>
        <v>76781.473684210519</v>
      </c>
      <c r="Z132" s="143">
        <f t="shared" si="23"/>
        <v>76781.473684210519</v>
      </c>
      <c r="AA132" s="143">
        <f t="shared" si="23"/>
        <v>76781.473684210519</v>
      </c>
      <c r="AB132" s="143">
        <f t="shared" si="23"/>
        <v>76781.473684210519</v>
      </c>
      <c r="AC132" s="143">
        <f t="shared" si="23"/>
        <v>76781.473684210519</v>
      </c>
      <c r="AD132" s="143">
        <f t="shared" si="23"/>
        <v>76781.473684210519</v>
      </c>
      <c r="AE132" s="143">
        <f t="shared" si="23"/>
        <v>76781.473684210519</v>
      </c>
      <c r="AF132" s="143">
        <f t="shared" si="23"/>
        <v>76781.473684210519</v>
      </c>
      <c r="AG132" s="143"/>
      <c r="AH132" s="143"/>
      <c r="AI132" s="143"/>
      <c r="AJ132" s="143"/>
      <c r="AK132" s="143"/>
      <c r="AL132" s="143"/>
      <c r="AM132" s="143"/>
      <c r="AN132" s="143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4">
        <f t="shared" si="12"/>
        <v>729424</v>
      </c>
      <c r="BA132" s="145"/>
      <c r="BB132" s="146">
        <f t="shared" si="13"/>
        <v>307125.89473684208</v>
      </c>
      <c r="BC132" s="144">
        <f t="shared" si="17"/>
        <v>729423.99999999988</v>
      </c>
      <c r="BE132" s="148" t="b">
        <f t="shared" si="16"/>
        <v>1</v>
      </c>
      <c r="BF132" s="149"/>
    </row>
    <row r="133" spans="2:59" s="147" customFormat="1" x14ac:dyDescent="0.3">
      <c r="B133" s="150"/>
      <c r="C133" s="151"/>
      <c r="D133" s="152" t="s">
        <v>799</v>
      </c>
      <c r="E133" s="152"/>
      <c r="F133" s="152"/>
      <c r="G133" s="152"/>
      <c r="H133" s="152"/>
      <c r="I133" s="152"/>
      <c r="J133" s="153"/>
      <c r="K133" s="153"/>
      <c r="L133" s="153"/>
      <c r="M133" s="153"/>
      <c r="N133" s="154">
        <f t="shared" ref="N133" si="24">SUM(O133:P133)</f>
        <v>4.4470000000000001</v>
      </c>
      <c r="O133" s="154">
        <v>4.4470000000000001</v>
      </c>
      <c r="P133" s="154">
        <f>$P$4</f>
        <v>0</v>
      </c>
      <c r="Q133" s="154" t="s">
        <v>10</v>
      </c>
      <c r="R133" s="155"/>
      <c r="S133" s="155"/>
      <c r="T133" s="156"/>
      <c r="U133" s="182">
        <f t="shared" si="10"/>
        <v>0</v>
      </c>
      <c r="V133" s="156"/>
      <c r="W133" s="156">
        <f>SUM(W132:$AW132)*$N133/100</f>
        <v>32437.485280000001</v>
      </c>
      <c r="X133" s="156">
        <f>SUM(X132:$AW132)*$N133/100</f>
        <v>30730.249212631577</v>
      </c>
      <c r="Y133" s="156">
        <f>SUM(Y132:$AW132)*$N133/100</f>
        <v>27315.777077894738</v>
      </c>
      <c r="Z133" s="156">
        <f>SUM(Z132:$AW132)*$N133/100</f>
        <v>23901.304943157891</v>
      </c>
      <c r="AA133" s="156">
        <f>SUM(AA132:$AW132)*$N133/100</f>
        <v>20486.832808421048</v>
      </c>
      <c r="AB133" s="156">
        <f>SUM(AB132:$AW132)*$N133/100</f>
        <v>17072.360673684208</v>
      </c>
      <c r="AC133" s="156">
        <f>SUM(AC132:$AW132)*$N133/100</f>
        <v>13657.888538947369</v>
      </c>
      <c r="AD133" s="156">
        <f>SUM(AD132:$AW132)*$N133/100</f>
        <v>10243.416404210526</v>
      </c>
      <c r="AE133" s="156">
        <f>SUM(AE132:$AW132)*$N133/100</f>
        <v>6828.9442694736845</v>
      </c>
      <c r="AF133" s="156">
        <f>SUM(AF132:$AW132)*$N133/100</f>
        <v>3414.4721347368422</v>
      </c>
      <c r="AG133" s="156">
        <f>SUM(AG132:$AW132)*$N133/100</f>
        <v>0</v>
      </c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7">
        <f t="shared" si="12"/>
        <v>186088.73134315788</v>
      </c>
      <c r="BA133" s="145"/>
      <c r="BB133" s="158">
        <f t="shared" si="13"/>
        <v>34144.721347368417</v>
      </c>
      <c r="BC133" s="157">
        <f t="shared" si="17"/>
        <v>186088.73134315788</v>
      </c>
      <c r="BE133" s="148" t="b">
        <f t="shared" si="16"/>
        <v>1</v>
      </c>
    </row>
    <row r="134" spans="2:59" s="147" customFormat="1" x14ac:dyDescent="0.3">
      <c r="B134" s="136" t="s">
        <v>750</v>
      </c>
      <c r="C134" s="137">
        <v>65</v>
      </c>
      <c r="D134" s="138" t="s">
        <v>776</v>
      </c>
      <c r="E134" s="138" t="s">
        <v>752</v>
      </c>
      <c r="F134" s="138"/>
      <c r="G134" s="138">
        <v>2025</v>
      </c>
      <c r="H134" s="138">
        <v>2045</v>
      </c>
      <c r="I134" s="138" t="s">
        <v>9</v>
      </c>
      <c r="J134" s="139">
        <f>4890000+800000</f>
        <v>5690000</v>
      </c>
      <c r="K134" s="139"/>
      <c r="L134" s="139"/>
      <c r="M134" s="139"/>
      <c r="N134" s="140"/>
      <c r="O134" s="140"/>
      <c r="P134" s="140"/>
      <c r="Q134" s="141" t="s">
        <v>8</v>
      </c>
      <c r="R134" s="142"/>
      <c r="S134" s="142"/>
      <c r="T134" s="143"/>
      <c r="U134" s="181">
        <f t="shared" si="10"/>
        <v>0</v>
      </c>
      <c r="V134" s="143"/>
      <c r="W134" s="143"/>
      <c r="X134" s="143"/>
      <c r="Y134" s="143">
        <f>$J$134/18/2</f>
        <v>158055.55555555556</v>
      </c>
      <c r="Z134" s="143">
        <f t="shared" ref="Z134:AO134" si="25">$J$134/18</f>
        <v>316111.11111111112</v>
      </c>
      <c r="AA134" s="143">
        <f t="shared" si="25"/>
        <v>316111.11111111112</v>
      </c>
      <c r="AB134" s="143">
        <f t="shared" si="25"/>
        <v>316111.11111111112</v>
      </c>
      <c r="AC134" s="143">
        <f t="shared" si="25"/>
        <v>316111.11111111112</v>
      </c>
      <c r="AD134" s="143">
        <f t="shared" si="25"/>
        <v>316111.11111111112</v>
      </c>
      <c r="AE134" s="143">
        <f t="shared" si="25"/>
        <v>316111.11111111112</v>
      </c>
      <c r="AF134" s="143">
        <f t="shared" si="25"/>
        <v>316111.11111111112</v>
      </c>
      <c r="AG134" s="143">
        <f t="shared" si="25"/>
        <v>316111.11111111112</v>
      </c>
      <c r="AH134" s="143">
        <f t="shared" si="25"/>
        <v>316111.11111111112</v>
      </c>
      <c r="AI134" s="143">
        <f t="shared" si="25"/>
        <v>316111.11111111112</v>
      </c>
      <c r="AJ134" s="143">
        <f t="shared" si="25"/>
        <v>316111.11111111112</v>
      </c>
      <c r="AK134" s="143">
        <f t="shared" si="25"/>
        <v>316111.11111111112</v>
      </c>
      <c r="AL134" s="143">
        <f t="shared" si="25"/>
        <v>316111.11111111112</v>
      </c>
      <c r="AM134" s="143">
        <f t="shared" si="25"/>
        <v>316111.11111111112</v>
      </c>
      <c r="AN134" s="143">
        <f t="shared" si="25"/>
        <v>316111.11111111112</v>
      </c>
      <c r="AO134" s="143">
        <f t="shared" si="25"/>
        <v>316111.11111111112</v>
      </c>
      <c r="AP134" s="143">
        <f>$J$134/18+$J$134/18/2</f>
        <v>474166.66666666669</v>
      </c>
      <c r="AQ134" s="143"/>
      <c r="AR134" s="143"/>
      <c r="AS134" s="143"/>
      <c r="AT134" s="143"/>
      <c r="AU134" s="143"/>
      <c r="AV134" s="143"/>
      <c r="AW134" s="143"/>
      <c r="AX134" s="143"/>
      <c r="AY134" s="143"/>
      <c r="AZ134" s="144">
        <f>SUM(V134:AY134)</f>
        <v>5689999.9999999991</v>
      </c>
      <c r="BA134" s="145">
        <f t="shared" si="15"/>
        <v>0</v>
      </c>
      <c r="BB134" s="146">
        <f t="shared" si="13"/>
        <v>4583611.1111111101</v>
      </c>
      <c r="BC134" s="144">
        <f t="shared" si="17"/>
        <v>5689999.9999999991</v>
      </c>
      <c r="BE134" s="148" t="b">
        <f t="shared" si="16"/>
        <v>1</v>
      </c>
      <c r="BF134" s="149"/>
    </row>
    <row r="135" spans="2:59" s="147" customFormat="1" x14ac:dyDescent="0.3">
      <c r="B135" s="150" t="s">
        <v>750</v>
      </c>
      <c r="C135" s="151"/>
      <c r="D135" s="152"/>
      <c r="E135" s="152"/>
      <c r="F135" s="152"/>
      <c r="G135" s="152"/>
      <c r="H135" s="152"/>
      <c r="I135" s="152"/>
      <c r="J135" s="153"/>
      <c r="K135" s="153"/>
      <c r="L135" s="153"/>
      <c r="M135" s="153" t="s">
        <v>748</v>
      </c>
      <c r="N135" s="154">
        <f t="shared" si="22"/>
        <v>5.1029999999999998</v>
      </c>
      <c r="O135" s="154">
        <v>5.1029999999999998</v>
      </c>
      <c r="P135" s="154">
        <f>$P$4</f>
        <v>0</v>
      </c>
      <c r="Q135" s="154" t="s">
        <v>10</v>
      </c>
      <c r="R135" s="155"/>
      <c r="S135" s="155"/>
      <c r="T135" s="156"/>
      <c r="U135" s="182">
        <f t="shared" ref="U135" si="26">V135-T135</f>
        <v>0</v>
      </c>
      <c r="V135" s="156"/>
      <c r="W135" s="156">
        <f>SUM(W134:$AW134)*$N135/100/4</f>
        <v>72590.174999999988</v>
      </c>
      <c r="X135" s="156">
        <f>SUM(X134:$AW134)*$N135/100</f>
        <v>290360.69999999995</v>
      </c>
      <c r="Y135" s="156">
        <f>SUM(Y134:$AW134)*$N135/100</f>
        <v>290360.69999999995</v>
      </c>
      <c r="Z135" s="156">
        <f>SUM(Z134:$AW134)*$N135/100</f>
        <v>282295.12499999994</v>
      </c>
      <c r="AA135" s="156">
        <f>SUM(AA134:$AW134)*$N135/100</f>
        <v>266163.97499999998</v>
      </c>
      <c r="AB135" s="156">
        <f>SUM(AB134:$AW134)*$N135/100</f>
        <v>250032.82499999995</v>
      </c>
      <c r="AC135" s="156">
        <f>SUM(AC134:$AW134)*$N135/100</f>
        <v>233901.67499999993</v>
      </c>
      <c r="AD135" s="156">
        <f>SUM(AD134:$AW134)*$N135/100</f>
        <v>217770.52499999994</v>
      </c>
      <c r="AE135" s="156">
        <f>SUM(AE134:$AW134)*$N135/100</f>
        <v>201639.37499999997</v>
      </c>
      <c r="AF135" s="156">
        <f>SUM(AF134:$AW134)*$N135/100</f>
        <v>185508.22499999998</v>
      </c>
      <c r="AG135" s="156">
        <f>SUM(AG134:$AW134)*$N135/100</f>
        <v>169377.07499999995</v>
      </c>
      <c r="AH135" s="156">
        <f>SUM(AH134:$AW134)*$N135/100</f>
        <v>153245.92499999996</v>
      </c>
      <c r="AI135" s="156">
        <f>SUM(AI134:$AW134)*$N135/100</f>
        <v>137114.77499999999</v>
      </c>
      <c r="AJ135" s="156">
        <f>SUM(AJ134:$AW134)*$N135/100</f>
        <v>120983.62499999999</v>
      </c>
      <c r="AK135" s="156">
        <f>SUM(AK134:$AW134)*$N135/100</f>
        <v>104852.47500000001</v>
      </c>
      <c r="AL135" s="156">
        <f>SUM(AL134:$AW134)*$N135/100</f>
        <v>88721.324999999997</v>
      </c>
      <c r="AM135" s="156">
        <f>SUM(AM134:$AW134)*$N135/100</f>
        <v>72590.175000000003</v>
      </c>
      <c r="AN135" s="156">
        <f>SUM(AN134:$AW134)*$N135/100</f>
        <v>56459.025000000001</v>
      </c>
      <c r="AO135" s="156">
        <f>SUM(AO134:$AW134)*$N135/100</f>
        <v>40327.874999999993</v>
      </c>
      <c r="AP135" s="156">
        <f>SUM(AP134:$AW134)*$N135/100</f>
        <v>24196.724999999999</v>
      </c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7">
        <f t="shared" si="12"/>
        <v>3258492.3</v>
      </c>
      <c r="BA135" s="159">
        <f t="shared" si="15"/>
        <v>0</v>
      </c>
      <c r="BB135" s="158">
        <f t="shared" si="13"/>
        <v>1806688.7999999998</v>
      </c>
      <c r="BC135" s="157">
        <f t="shared" si="17"/>
        <v>3258492.3</v>
      </c>
      <c r="BE135" s="148" t="b">
        <f t="shared" si="16"/>
        <v>1</v>
      </c>
    </row>
    <row r="136" spans="2:59" x14ac:dyDescent="0.3">
      <c r="J136" s="75"/>
      <c r="K136" s="75"/>
      <c r="L136" s="75"/>
      <c r="M136" s="75"/>
      <c r="N136" s="76"/>
      <c r="O136" s="76"/>
      <c r="P136" s="76"/>
      <c r="Q136" s="77"/>
      <c r="R136" s="76"/>
      <c r="S136" s="78"/>
      <c r="T136" s="79"/>
      <c r="U136" s="186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17">
        <f t="shared" si="15"/>
        <v>0</v>
      </c>
      <c r="BB136" s="75"/>
      <c r="BC136" s="75"/>
      <c r="BE136" s="33" t="b">
        <f t="shared" si="16"/>
        <v>1</v>
      </c>
    </row>
    <row r="137" spans="2:59" hidden="1" outlineLevel="1" x14ac:dyDescent="0.3">
      <c r="J137" s="80">
        <f>SUM(J6:J135)</f>
        <v>74718248.960000008</v>
      </c>
      <c r="K137" s="75"/>
      <c r="L137" s="75"/>
      <c r="M137" s="75"/>
      <c r="N137" s="76"/>
      <c r="O137" s="76"/>
      <c r="P137" s="76"/>
      <c r="Q137" s="76"/>
      <c r="R137" s="76"/>
      <c r="S137" s="78"/>
      <c r="T137" s="79"/>
      <c r="U137" s="186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17"/>
      <c r="BB137" s="75"/>
      <c r="BC137" s="75"/>
      <c r="BE137" s="33"/>
    </row>
    <row r="138" spans="2:59" s="33" customFormat="1" collapsed="1" x14ac:dyDescent="0.3">
      <c r="E138" s="70"/>
      <c r="H138" s="164"/>
      <c r="I138" s="81"/>
      <c r="J138" s="49"/>
      <c r="K138" s="82">
        <f>SUM(K6:K135)</f>
        <v>51982169.109999999</v>
      </c>
      <c r="L138" s="49"/>
      <c r="M138" s="49"/>
      <c r="N138" s="83">
        <f>AVERAGE(N7:N135)</f>
        <v>4.1256249999999994</v>
      </c>
      <c r="O138" s="84"/>
      <c r="P138" s="84"/>
      <c r="Q138" s="85" t="s">
        <v>8</v>
      </c>
      <c r="R138" s="86">
        <f t="shared" ref="R138:AH139" si="27">SUMIF($Q$6:$Q$135,$Q138,R$6:R$135)</f>
        <v>1072077</v>
      </c>
      <c r="S138" s="86">
        <f t="shared" si="27"/>
        <v>2585053.37</v>
      </c>
      <c r="T138" s="87">
        <f t="shared" si="27"/>
        <v>3657130.37</v>
      </c>
      <c r="U138" s="187">
        <f t="shared" si="27"/>
        <v>67.810000000008301</v>
      </c>
      <c r="V138" s="88">
        <f t="shared" si="27"/>
        <v>3657198.1799999997</v>
      </c>
      <c r="W138" s="88">
        <f t="shared" si="27"/>
        <v>3469646.9637171053</v>
      </c>
      <c r="X138" s="88">
        <f t="shared" si="27"/>
        <v>3499857.4161842102</v>
      </c>
      <c r="Y138" s="88">
        <f t="shared" si="27"/>
        <v>3552026.2050730987</v>
      </c>
      <c r="Z138" s="88">
        <f t="shared" si="27"/>
        <v>3671306.4606286543</v>
      </c>
      <c r="AA138" s="88">
        <f t="shared" si="27"/>
        <v>3590395.7237536544</v>
      </c>
      <c r="AB138" s="88">
        <f t="shared" si="27"/>
        <v>3553621.4781286544</v>
      </c>
      <c r="AC138" s="88">
        <f t="shared" si="27"/>
        <v>3467302.3381286543</v>
      </c>
      <c r="AD138" s="88">
        <f t="shared" si="27"/>
        <v>2808675.2281286544</v>
      </c>
      <c r="AE138" s="88">
        <f t="shared" si="27"/>
        <v>2604955.4981286544</v>
      </c>
      <c r="AF138" s="88">
        <f t="shared" si="27"/>
        <v>2247875.2781286552</v>
      </c>
      <c r="AG138" s="88">
        <f t="shared" si="27"/>
        <v>2072237.8044444444</v>
      </c>
      <c r="AH138" s="88">
        <f t="shared" si="27"/>
        <v>1943128.7544444446</v>
      </c>
      <c r="AI138" s="88">
        <f t="shared" ref="AI138:AX139" si="28">SUMIF($Q$6:$Q$135,$Q138,AI$6:AI$135)</f>
        <v>1832316.0444444446</v>
      </c>
      <c r="AJ138" s="88">
        <f t="shared" si="28"/>
        <v>1697912.0444444446</v>
      </c>
      <c r="AK138" s="88">
        <f t="shared" si="28"/>
        <v>1625784.0444444446</v>
      </c>
      <c r="AL138" s="88">
        <f t="shared" si="28"/>
        <v>1584734.0844444446</v>
      </c>
      <c r="AM138" s="88">
        <f t="shared" si="28"/>
        <v>1559973.1144444444</v>
      </c>
      <c r="AN138" s="88">
        <f t="shared" si="28"/>
        <v>1500459.111111111</v>
      </c>
      <c r="AO138" s="88">
        <f t="shared" si="28"/>
        <v>1500459.111111111</v>
      </c>
      <c r="AP138" s="88">
        <f t="shared" si="28"/>
        <v>1658514.6666666667</v>
      </c>
      <c r="AQ138" s="88">
        <f t="shared" si="28"/>
        <v>1184348</v>
      </c>
      <c r="AR138" s="88">
        <f t="shared" si="28"/>
        <v>1184348</v>
      </c>
      <c r="AS138" s="88">
        <f t="shared" si="28"/>
        <v>1184348</v>
      </c>
      <c r="AT138" s="88">
        <f t="shared" si="28"/>
        <v>867315.83000000007</v>
      </c>
      <c r="AU138" s="88">
        <f t="shared" si="28"/>
        <v>452632</v>
      </c>
      <c r="AV138" s="88">
        <f t="shared" si="28"/>
        <v>409981</v>
      </c>
      <c r="AW138" s="88">
        <f t="shared" si="28"/>
        <v>55587.92</v>
      </c>
      <c r="AX138" s="88">
        <f t="shared" si="28"/>
        <v>0</v>
      </c>
      <c r="AY138" s="88">
        <f t="shared" ref="AY138:AY139" si="29">SUMIF($Q$6:$Q$135,$Q138,AY$6:AY$135)</f>
        <v>0</v>
      </c>
      <c r="AZ138" s="88">
        <f>SUM(V138:AY138)</f>
        <v>58436940.299999982</v>
      </c>
      <c r="BA138" s="17">
        <f t="shared" si="15"/>
        <v>0</v>
      </c>
      <c r="BB138" s="88">
        <f t="shared" ref="BB138:BB140" si="30">SUM(AC138:AY138)</f>
        <v>33442887.872514628</v>
      </c>
      <c r="BC138" s="88">
        <f t="shared" ref="BC138:BC140" si="31">SUM(V138:AB138,BB138)</f>
        <v>58436940.300000004</v>
      </c>
      <c r="BE138" s="33" t="b">
        <f t="shared" si="16"/>
        <v>1</v>
      </c>
      <c r="BF138" s="49"/>
    </row>
    <row r="139" spans="2:59" x14ac:dyDescent="0.3">
      <c r="H139" s="164"/>
      <c r="J139" s="49"/>
      <c r="K139" s="17"/>
      <c r="L139" s="17"/>
      <c r="M139" s="17"/>
      <c r="Q139" s="89" t="s">
        <v>10</v>
      </c>
      <c r="R139" s="90">
        <f t="shared" si="27"/>
        <v>1074399.5700000005</v>
      </c>
      <c r="S139" s="90">
        <f t="shared" si="27"/>
        <v>1057577.7</v>
      </c>
      <c r="T139" s="91">
        <f t="shared" si="27"/>
        <v>2131977.2700000009</v>
      </c>
      <c r="U139" s="188">
        <f t="shared" si="27"/>
        <v>46637.812334224946</v>
      </c>
      <c r="V139" s="92">
        <f t="shared" si="27"/>
        <v>2178615.0823342255</v>
      </c>
      <c r="W139" s="92">
        <f t="shared" si="27"/>
        <v>2238832.7567470004</v>
      </c>
      <c r="X139" s="92">
        <f t="shared" si="27"/>
        <v>2307047.8206518004</v>
      </c>
      <c r="Y139" s="92">
        <f t="shared" si="27"/>
        <v>2155647.6451652884</v>
      </c>
      <c r="Z139" s="92">
        <f t="shared" si="27"/>
        <v>1999161.0042553763</v>
      </c>
      <c r="AA139" s="92">
        <f t="shared" si="27"/>
        <v>1836477.0152248652</v>
      </c>
      <c r="AB139" s="92">
        <f t="shared" si="27"/>
        <v>1677183.1625631843</v>
      </c>
      <c r="AC139" s="92">
        <f t="shared" si="27"/>
        <v>1519389.4945244472</v>
      </c>
      <c r="AD139" s="92">
        <f t="shared" si="27"/>
        <v>1365648.6975313106</v>
      </c>
      <c r="AE139" s="92">
        <f t="shared" si="27"/>
        <v>1239162.7844785731</v>
      </c>
      <c r="AF139" s="92">
        <f t="shared" si="27"/>
        <v>1122233.6155841369</v>
      </c>
      <c r="AG139" s="92">
        <f t="shared" si="27"/>
        <v>1020292.0111166001</v>
      </c>
      <c r="AH139" s="92">
        <f t="shared" si="27"/>
        <v>926221.77864379983</v>
      </c>
      <c r="AI139" s="92">
        <f t="shared" si="28"/>
        <v>837831.63125500013</v>
      </c>
      <c r="AJ139" s="92">
        <f t="shared" si="28"/>
        <v>753822.72227100015</v>
      </c>
      <c r="AK139" s="92">
        <f t="shared" si="28"/>
        <v>675771.50826699985</v>
      </c>
      <c r="AL139" s="92">
        <f t="shared" si="28"/>
        <v>600907.595203</v>
      </c>
      <c r="AM139" s="92">
        <f t="shared" si="28"/>
        <v>527827.85213899997</v>
      </c>
      <c r="AN139" s="92">
        <f t="shared" si="28"/>
        <v>455910.62948799995</v>
      </c>
      <c r="AO139" s="92">
        <f t="shared" si="28"/>
        <v>386898.32936799998</v>
      </c>
      <c r="AP139" s="92">
        <f t="shared" si="28"/>
        <v>317886.02924799989</v>
      </c>
      <c r="AQ139" s="92">
        <f t="shared" si="28"/>
        <v>240808.15412799999</v>
      </c>
      <c r="AR139" s="92">
        <f t="shared" si="28"/>
        <v>187927.00400799996</v>
      </c>
      <c r="AS139" s="92">
        <f t="shared" si="28"/>
        <v>135045.85388799998</v>
      </c>
      <c r="AT139" s="92">
        <f t="shared" si="28"/>
        <v>82164.703767999992</v>
      </c>
      <c r="AU139" s="92">
        <f t="shared" si="28"/>
        <v>43306.896070000003</v>
      </c>
      <c r="AV139" s="92">
        <f t="shared" si="28"/>
        <v>22024.558349999996</v>
      </c>
      <c r="AW139" s="92">
        <f t="shared" si="28"/>
        <v>2596.5674300000001</v>
      </c>
      <c r="AX139" s="92">
        <f t="shared" si="28"/>
        <v>0</v>
      </c>
      <c r="AY139" s="92">
        <f t="shared" si="29"/>
        <v>0</v>
      </c>
      <c r="AZ139" s="92">
        <f t="shared" ref="AZ139:AZ140" si="32">SUM(V139:AY139)</f>
        <v>26856642.903701603</v>
      </c>
      <c r="BA139" s="17">
        <f t="shared" ref="BA139:BA140" si="33">AZ139-SUM(V139:AY139)</f>
        <v>0</v>
      </c>
      <c r="BB139" s="92">
        <f t="shared" si="30"/>
        <v>12463678.416759869</v>
      </c>
      <c r="BC139" s="92">
        <f t="shared" si="31"/>
        <v>26856642.903701611</v>
      </c>
      <c r="BE139" s="33" t="b">
        <f t="shared" ref="BE139:BE140" si="34">AZ139=BC139</f>
        <v>1</v>
      </c>
      <c r="BF139" s="49"/>
    </row>
    <row r="140" spans="2:59" s="70" customFormat="1" x14ac:dyDescent="0.3">
      <c r="H140" s="164"/>
      <c r="J140" s="49"/>
      <c r="Q140" s="85" t="s">
        <v>767</v>
      </c>
      <c r="R140" s="93">
        <f>SUM(R138:R139)</f>
        <v>2146476.5700000003</v>
      </c>
      <c r="S140" s="93">
        <f>SUM(S138:S139)</f>
        <v>3642631.0700000003</v>
      </c>
      <c r="T140" s="94">
        <f t="shared" ref="T140:AY140" si="35">SUM(T138:T139)</f>
        <v>5789107.6400000006</v>
      </c>
      <c r="U140" s="189">
        <f t="shared" si="35"/>
        <v>46705.62233422495</v>
      </c>
      <c r="V140" s="95">
        <f t="shared" si="35"/>
        <v>5835813.2623342257</v>
      </c>
      <c r="W140" s="95">
        <f t="shared" si="35"/>
        <v>5708479.7204641057</v>
      </c>
      <c r="X140" s="95">
        <f t="shared" si="35"/>
        <v>5806905.2368360106</v>
      </c>
      <c r="Y140" s="95">
        <f t="shared" si="35"/>
        <v>5707673.8502383865</v>
      </c>
      <c r="Z140" s="95">
        <f t="shared" si="35"/>
        <v>5670467.4648840306</v>
      </c>
      <c r="AA140" s="95">
        <f t="shared" si="35"/>
        <v>5426872.73897852</v>
      </c>
      <c r="AB140" s="95">
        <f t="shared" si="35"/>
        <v>5230804.6406918392</v>
      </c>
      <c r="AC140" s="95">
        <f t="shared" si="35"/>
        <v>4986691.8326531015</v>
      </c>
      <c r="AD140" s="95">
        <f t="shared" si="35"/>
        <v>4174323.9256599648</v>
      </c>
      <c r="AE140" s="95">
        <f t="shared" si="35"/>
        <v>3844118.2826072276</v>
      </c>
      <c r="AF140" s="95">
        <f t="shared" si="35"/>
        <v>3370108.8937127921</v>
      </c>
      <c r="AG140" s="95">
        <f t="shared" si="35"/>
        <v>3092529.8155610445</v>
      </c>
      <c r="AH140" s="95">
        <f t="shared" si="35"/>
        <v>2869350.5330882445</v>
      </c>
      <c r="AI140" s="95">
        <f t="shared" si="35"/>
        <v>2670147.6756994445</v>
      </c>
      <c r="AJ140" s="95">
        <f t="shared" si="35"/>
        <v>2451734.7667154446</v>
      </c>
      <c r="AK140" s="95">
        <f t="shared" si="35"/>
        <v>2301555.5527114444</v>
      </c>
      <c r="AL140" s="95">
        <f t="shared" si="35"/>
        <v>2185641.6796474447</v>
      </c>
      <c r="AM140" s="95">
        <f t="shared" si="35"/>
        <v>2087800.9665834443</v>
      </c>
      <c r="AN140" s="95">
        <f t="shared" si="35"/>
        <v>1956369.740599111</v>
      </c>
      <c r="AO140" s="95">
        <f t="shared" si="35"/>
        <v>1887357.4404791109</v>
      </c>
      <c r="AP140" s="95">
        <f t="shared" si="35"/>
        <v>1976400.6959146666</v>
      </c>
      <c r="AQ140" s="95">
        <f t="shared" si="35"/>
        <v>1425156.1541279999</v>
      </c>
      <c r="AR140" s="95">
        <f t="shared" si="35"/>
        <v>1372275.004008</v>
      </c>
      <c r="AS140" s="95">
        <f t="shared" si="35"/>
        <v>1319393.8538879999</v>
      </c>
      <c r="AT140" s="95">
        <f t="shared" si="35"/>
        <v>949480.53376800008</v>
      </c>
      <c r="AU140" s="95">
        <f t="shared" si="35"/>
        <v>495938.89607000002</v>
      </c>
      <c r="AV140" s="95">
        <f t="shared" si="35"/>
        <v>432005.55835000001</v>
      </c>
      <c r="AW140" s="95">
        <f t="shared" si="35"/>
        <v>58184.487430000001</v>
      </c>
      <c r="AX140" s="95">
        <f t="shared" si="35"/>
        <v>0</v>
      </c>
      <c r="AY140" s="95">
        <f t="shared" si="35"/>
        <v>0</v>
      </c>
      <c r="AZ140" s="95">
        <f t="shared" si="32"/>
        <v>85293583.203701615</v>
      </c>
      <c r="BA140" s="17">
        <f t="shared" si="33"/>
        <v>0</v>
      </c>
      <c r="BB140" s="95">
        <f t="shared" si="30"/>
        <v>45906566.289274484</v>
      </c>
      <c r="BC140" s="95">
        <f t="shared" si="31"/>
        <v>85293583.2037016</v>
      </c>
      <c r="BE140" s="33" t="b">
        <f t="shared" si="34"/>
        <v>1</v>
      </c>
      <c r="BF140" s="49"/>
      <c r="BG140" s="71">
        <f>SUM(V6:AY135)</f>
        <v>85293583.203701526</v>
      </c>
    </row>
    <row r="141" spans="2:59" x14ac:dyDescent="0.3">
      <c r="K141" s="96">
        <f>K142/K138</f>
        <v>0.58275019451184273</v>
      </c>
      <c r="V141" s="17">
        <f>SUM(V130:V131)</f>
        <v>4115.029115325</v>
      </c>
      <c r="W141" s="17">
        <f t="shared" ref="W141:AB141" si="36">SUM(W130:W131)</f>
        <v>28620.442362099999</v>
      </c>
      <c r="X141" s="17">
        <f t="shared" si="36"/>
        <v>35302.930708268745</v>
      </c>
      <c r="Y141" s="17">
        <f t="shared" si="36"/>
        <v>33931.254336493745</v>
      </c>
      <c r="Z141" s="17">
        <f t="shared" si="36"/>
        <v>32559.577964718748</v>
      </c>
      <c r="AA141" s="17">
        <f t="shared" si="36"/>
        <v>8054.1647179437496</v>
      </c>
      <c r="AB141" s="17">
        <f t="shared" si="36"/>
        <v>0</v>
      </c>
      <c r="BC141" s="17">
        <f>SUM(V141:AB141)</f>
        <v>142583.39920484999</v>
      </c>
      <c r="BG141" s="17">
        <f>BG140-BC140</f>
        <v>0</v>
      </c>
    </row>
    <row r="142" spans="2:59" x14ac:dyDescent="0.3">
      <c r="I142" s="97"/>
      <c r="J142" s="98"/>
      <c r="K142" s="99">
        <f>K125+K124+K119+K118+K113+K112+K111+K110+K107+K106+K105+K104+K97+K96+K79+K78+K77+K76+K75+K74+K71+K70+K59+K58+K55+K54+K35+K34+K33+K32+K19+K18</f>
        <v>30292619.16</v>
      </c>
      <c r="S142" s="100"/>
      <c r="T142" s="100">
        <f>T140-SUM(T6:T135)</f>
        <v>0</v>
      </c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</row>
    <row r="143" spans="2:59" ht="15.6" x14ac:dyDescent="0.3">
      <c r="C143" s="8" t="s">
        <v>754</v>
      </c>
      <c r="J143" s="101"/>
      <c r="W143" s="16"/>
    </row>
    <row r="144" spans="2:59" ht="57.6" x14ac:dyDescent="0.3">
      <c r="C144" s="25" t="s">
        <v>744</v>
      </c>
      <c r="D144" s="24" t="s">
        <v>755</v>
      </c>
      <c r="E144" s="24" t="s">
        <v>756</v>
      </c>
      <c r="F144" s="24" t="s">
        <v>757</v>
      </c>
      <c r="G144" s="24" t="s">
        <v>266</v>
      </c>
      <c r="H144" s="24" t="s">
        <v>265</v>
      </c>
      <c r="I144" s="24" t="s">
        <v>264</v>
      </c>
      <c r="J144" s="26" t="s">
        <v>263</v>
      </c>
      <c r="K144" s="26" t="s">
        <v>262</v>
      </c>
      <c r="L144" s="26" t="s">
        <v>746</v>
      </c>
      <c r="M144" s="26" t="s">
        <v>747</v>
      </c>
      <c r="N144" s="26" t="s">
        <v>125</v>
      </c>
      <c r="O144" s="26" t="s">
        <v>126</v>
      </c>
      <c r="P144" s="26" t="s">
        <v>127</v>
      </c>
      <c r="Q144" s="28" t="s">
        <v>2</v>
      </c>
      <c r="R144" s="28"/>
      <c r="S144" s="28"/>
      <c r="T144" s="31">
        <v>2023</v>
      </c>
      <c r="U144" s="31"/>
      <c r="V144" s="25">
        <v>2024</v>
      </c>
      <c r="W144" s="25">
        <v>2025</v>
      </c>
      <c r="X144" s="25">
        <v>2026</v>
      </c>
      <c r="Y144" s="25">
        <v>2027</v>
      </c>
      <c r="Z144" s="25">
        <v>2028</v>
      </c>
      <c r="AA144" s="25">
        <v>2029</v>
      </c>
      <c r="AB144" s="25">
        <v>2030</v>
      </c>
      <c r="AC144" s="25">
        <v>2031</v>
      </c>
      <c r="AD144" s="25">
        <v>2032</v>
      </c>
      <c r="AE144" s="25">
        <v>2033</v>
      </c>
      <c r="AF144" s="25">
        <v>2034</v>
      </c>
      <c r="AG144" s="25">
        <v>2035</v>
      </c>
      <c r="AH144" s="25">
        <v>2036</v>
      </c>
      <c r="AI144" s="25">
        <v>2037</v>
      </c>
      <c r="AJ144" s="25">
        <v>2038</v>
      </c>
      <c r="AK144" s="25">
        <v>2039</v>
      </c>
      <c r="AL144" s="25">
        <v>2040</v>
      </c>
      <c r="AM144" s="25">
        <v>2041</v>
      </c>
      <c r="AN144" s="25">
        <v>2042</v>
      </c>
      <c r="AO144" s="25">
        <v>2043</v>
      </c>
      <c r="AP144" s="25">
        <v>2044</v>
      </c>
      <c r="AQ144" s="25">
        <v>2045</v>
      </c>
      <c r="AR144" s="25">
        <v>2046</v>
      </c>
      <c r="AS144" s="25">
        <v>2047</v>
      </c>
      <c r="AT144" s="25">
        <v>2048</v>
      </c>
      <c r="AU144" s="25">
        <v>2049</v>
      </c>
      <c r="AV144" s="25">
        <v>2050</v>
      </c>
      <c r="AW144" s="25">
        <v>2051</v>
      </c>
      <c r="AX144" s="25">
        <v>2052</v>
      </c>
      <c r="AY144" s="25">
        <v>2053</v>
      </c>
      <c r="AZ144" s="24" t="s">
        <v>745</v>
      </c>
      <c r="BB144" s="23" t="s">
        <v>797</v>
      </c>
      <c r="BC144" s="24" t="s">
        <v>796</v>
      </c>
    </row>
    <row r="145" spans="2:59" s="33" customFormat="1" x14ac:dyDescent="0.3">
      <c r="B145" s="34"/>
      <c r="C145" s="36">
        <v>1</v>
      </c>
      <c r="D145" s="36" t="s">
        <v>758</v>
      </c>
      <c r="E145" s="68"/>
      <c r="F145" s="36"/>
      <c r="G145" s="36">
        <v>3.2017000000000002</v>
      </c>
      <c r="H145" s="36">
        <v>3.2031999999999998</v>
      </c>
      <c r="I145" s="36" t="s">
        <v>9</v>
      </c>
      <c r="J145" s="40">
        <v>129553</v>
      </c>
      <c r="K145" s="40"/>
      <c r="L145" s="40"/>
      <c r="M145" s="40"/>
      <c r="N145" s="41"/>
      <c r="O145" s="41"/>
      <c r="P145" s="41"/>
      <c r="Q145" s="41" t="s">
        <v>8</v>
      </c>
      <c r="R145" s="41"/>
      <c r="S145" s="41"/>
      <c r="T145" s="43">
        <v>8936</v>
      </c>
      <c r="U145" s="43"/>
      <c r="V145" s="44">
        <v>8936</v>
      </c>
      <c r="W145" s="44">
        <v>8936</v>
      </c>
      <c r="X145" s="44">
        <v>8936</v>
      </c>
      <c r="Y145" s="44">
        <v>8936</v>
      </c>
      <c r="Z145" s="44">
        <v>8936</v>
      </c>
      <c r="AA145" s="44">
        <v>8936</v>
      </c>
      <c r="AB145" s="44">
        <v>8936</v>
      </c>
      <c r="AC145" s="44">
        <v>8936</v>
      </c>
      <c r="AD145" s="44">
        <v>2234</v>
      </c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8">
        <f>SUM(V145:AY145)</f>
        <v>73722</v>
      </c>
      <c r="BA145" s="122"/>
      <c r="BB145" s="47">
        <f>SUM(AC145:AY145)</f>
        <v>11170</v>
      </c>
      <c r="BC145" s="48">
        <f>SUM(V145:AB145,BB145)</f>
        <v>73722</v>
      </c>
      <c r="BE145" s="33" t="b">
        <f t="shared" ref="BE145:BE159" si="37">AZ145=BC145</f>
        <v>1</v>
      </c>
    </row>
    <row r="146" spans="2:59" x14ac:dyDescent="0.3">
      <c r="B146" s="50"/>
      <c r="C146" s="54"/>
      <c r="D146" s="54"/>
      <c r="E146" s="53"/>
      <c r="F146" s="54"/>
      <c r="G146" s="54"/>
      <c r="H146" s="54"/>
      <c r="I146" s="54"/>
      <c r="J146" s="55"/>
      <c r="K146" s="55"/>
      <c r="L146" s="55"/>
      <c r="M146" s="55"/>
      <c r="N146" s="56">
        <f t="shared" ref="N146:N156" si="38">SUM(O146:P146)</f>
        <v>3.0089999999999999</v>
      </c>
      <c r="O146" s="56">
        <v>2.7589999999999999</v>
      </c>
      <c r="P146" s="56">
        <v>0.25</v>
      </c>
      <c r="Q146" s="56" t="s">
        <v>10</v>
      </c>
      <c r="R146" s="56"/>
      <c r="S146" s="56"/>
      <c r="T146" s="58">
        <v>2756.0634599999998</v>
      </c>
      <c r="U146" s="58"/>
      <c r="V146" s="59">
        <f>SUM(V145:$AW145)*$N146/100</f>
        <v>2218.2949800000001</v>
      </c>
      <c r="W146" s="59">
        <f>SUM(W145:$AW145)*$N146/100</f>
        <v>1949.41074</v>
      </c>
      <c r="X146" s="59">
        <f>SUM(X145:$AW145)*$N146/100</f>
        <v>1680.5264999999999</v>
      </c>
      <c r="Y146" s="59">
        <f>SUM(Y145:$AW145)*$N146/100</f>
        <v>1411.6422599999999</v>
      </c>
      <c r="Z146" s="59">
        <f>SUM(Z145:$AW145)*$N146/100</f>
        <v>1142.75802</v>
      </c>
      <c r="AA146" s="59">
        <f>SUM(AA145:$AW145)*$N146/100</f>
        <v>873.87378000000001</v>
      </c>
      <c r="AB146" s="59">
        <f>SUM(AB145:$AW145)*$N146/100</f>
        <v>604.98954000000003</v>
      </c>
      <c r="AC146" s="59">
        <f>SUM(AC145:$AW145)*$N146/100</f>
        <v>336.1053</v>
      </c>
      <c r="AD146" s="59">
        <f>SUM(AD145:$AW145)*$N146/100</f>
        <v>67.221059999999994</v>
      </c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62">
        <f t="shared" ref="AZ146:AZ159" si="39">SUM(V146:AY146)</f>
        <v>10284.822179999999</v>
      </c>
      <c r="BA146" s="123"/>
      <c r="BB146" s="61">
        <f t="shared" ref="BB146:BB158" si="40">SUM(AC146:AY146)</f>
        <v>403.32636000000002</v>
      </c>
      <c r="BC146" s="62">
        <f t="shared" ref="BC146:BC158" si="41">SUM(V146:AB146,BB146)</f>
        <v>10284.822179999999</v>
      </c>
      <c r="BE146" s="12" t="b">
        <f t="shared" si="37"/>
        <v>1</v>
      </c>
    </row>
    <row r="147" spans="2:59" s="33" customFormat="1" x14ac:dyDescent="0.3">
      <c r="B147" s="34"/>
      <c r="C147" s="36">
        <v>2</v>
      </c>
      <c r="D147" s="36" t="s">
        <v>759</v>
      </c>
      <c r="E147" s="68"/>
      <c r="F147" s="36"/>
      <c r="G147" s="124">
        <v>43832</v>
      </c>
      <c r="H147" s="124">
        <v>45656</v>
      </c>
      <c r="I147" s="36" t="s">
        <v>9</v>
      </c>
      <c r="J147" s="40">
        <v>44681</v>
      </c>
      <c r="K147" s="40"/>
      <c r="L147" s="40"/>
      <c r="M147" s="40"/>
      <c r="N147" s="41"/>
      <c r="O147" s="41"/>
      <c r="P147" s="41"/>
      <c r="Q147" s="41" t="s">
        <v>8</v>
      </c>
      <c r="R147" s="41"/>
      <c r="S147" s="41"/>
      <c r="T147" s="43">
        <v>5976</v>
      </c>
      <c r="U147" s="43"/>
      <c r="V147" s="44">
        <v>5976</v>
      </c>
      <c r="W147" s="44">
        <v>446.95</v>
      </c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8">
        <f t="shared" si="39"/>
        <v>6422.95</v>
      </c>
      <c r="BA147" s="122"/>
      <c r="BB147" s="47">
        <f t="shared" si="40"/>
        <v>0</v>
      </c>
      <c r="BC147" s="48">
        <f t="shared" si="41"/>
        <v>6422.95</v>
      </c>
      <c r="BE147" s="33" t="b">
        <f t="shared" si="37"/>
        <v>1</v>
      </c>
    </row>
    <row r="148" spans="2:59" x14ac:dyDescent="0.3">
      <c r="B148" s="50"/>
      <c r="C148" s="54"/>
      <c r="D148" s="54" t="s">
        <v>778</v>
      </c>
      <c r="E148" s="53"/>
      <c r="F148" s="54"/>
      <c r="G148" s="54"/>
      <c r="H148" s="54"/>
      <c r="I148" s="54"/>
      <c r="J148" s="55"/>
      <c r="K148" s="55"/>
      <c r="L148" s="55"/>
      <c r="M148" s="55"/>
      <c r="N148" s="56">
        <f t="shared" si="38"/>
        <v>0.85599999999999998</v>
      </c>
      <c r="O148" s="56">
        <v>0.35599999999999998</v>
      </c>
      <c r="P148" s="56">
        <v>0.5</v>
      </c>
      <c r="Q148" s="56" t="s">
        <v>10</v>
      </c>
      <c r="R148" s="56"/>
      <c r="S148" s="56"/>
      <c r="T148" s="58"/>
      <c r="U148" s="58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62">
        <f t="shared" si="39"/>
        <v>0</v>
      </c>
      <c r="BA148" s="123"/>
      <c r="BB148" s="61">
        <f t="shared" si="40"/>
        <v>0</v>
      </c>
      <c r="BC148" s="62">
        <f t="shared" si="41"/>
        <v>0</v>
      </c>
      <c r="BE148" s="12" t="b">
        <f t="shared" si="37"/>
        <v>1</v>
      </c>
    </row>
    <row r="149" spans="2:59" s="33" customFormat="1" x14ac:dyDescent="0.3">
      <c r="B149" s="34"/>
      <c r="C149" s="36">
        <v>3</v>
      </c>
      <c r="D149" s="36" t="s">
        <v>760</v>
      </c>
      <c r="E149" s="68"/>
      <c r="F149" s="36"/>
      <c r="G149" s="124">
        <v>44151</v>
      </c>
      <c r="H149" s="124">
        <v>45981</v>
      </c>
      <c r="I149" s="36" t="s">
        <v>9</v>
      </c>
      <c r="J149" s="40">
        <v>82111</v>
      </c>
      <c r="K149" s="40"/>
      <c r="L149" s="40"/>
      <c r="M149" s="40"/>
      <c r="N149" s="41"/>
      <c r="O149" s="41"/>
      <c r="P149" s="41"/>
      <c r="Q149" s="41" t="s">
        <v>8</v>
      </c>
      <c r="R149" s="41"/>
      <c r="S149" s="41"/>
      <c r="T149" s="43">
        <v>15204.36</v>
      </c>
      <c r="U149" s="43"/>
      <c r="V149" s="44">
        <v>15204.36</v>
      </c>
      <c r="W149" s="44">
        <v>13937.16</v>
      </c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8">
        <f t="shared" si="39"/>
        <v>29141.52</v>
      </c>
      <c r="BA149" s="122"/>
      <c r="BB149" s="47">
        <f t="shared" si="40"/>
        <v>0</v>
      </c>
      <c r="BC149" s="48">
        <f t="shared" si="41"/>
        <v>29141.52</v>
      </c>
      <c r="BE149" s="33" t="b">
        <f t="shared" si="37"/>
        <v>1</v>
      </c>
    </row>
    <row r="150" spans="2:59" x14ac:dyDescent="0.3">
      <c r="B150" s="50"/>
      <c r="C150" s="54"/>
      <c r="D150" s="54" t="s">
        <v>778</v>
      </c>
      <c r="E150" s="53"/>
      <c r="F150" s="54"/>
      <c r="G150" s="54"/>
      <c r="H150" s="54"/>
      <c r="I150" s="54"/>
      <c r="J150" s="55"/>
      <c r="K150" s="55"/>
      <c r="L150" s="55"/>
      <c r="M150" s="55"/>
      <c r="N150" s="56">
        <f t="shared" si="38"/>
        <v>0.85599999999999998</v>
      </c>
      <c r="O150" s="56">
        <v>0.35599999999999998</v>
      </c>
      <c r="P150" s="56">
        <v>0.5</v>
      </c>
      <c r="Q150" s="56" t="s">
        <v>10</v>
      </c>
      <c r="R150" s="56"/>
      <c r="S150" s="56"/>
      <c r="T150" s="58"/>
      <c r="U150" s="58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62">
        <f t="shared" si="39"/>
        <v>0</v>
      </c>
      <c r="BA150" s="123"/>
      <c r="BB150" s="61">
        <f t="shared" si="40"/>
        <v>0</v>
      </c>
      <c r="BC150" s="62">
        <f t="shared" si="41"/>
        <v>0</v>
      </c>
      <c r="BE150" s="12" t="b">
        <f t="shared" si="37"/>
        <v>1</v>
      </c>
    </row>
    <row r="151" spans="2:59" s="33" customFormat="1" x14ac:dyDescent="0.3">
      <c r="B151" s="34"/>
      <c r="C151" s="36">
        <v>4</v>
      </c>
      <c r="D151" s="36" t="s">
        <v>761</v>
      </c>
      <c r="E151" s="68"/>
      <c r="F151" s="36"/>
      <c r="G151" s="124">
        <v>44313</v>
      </c>
      <c r="H151" s="124">
        <v>45774</v>
      </c>
      <c r="I151" s="36" t="s">
        <v>9</v>
      </c>
      <c r="J151" s="40">
        <v>33649.81</v>
      </c>
      <c r="K151" s="40"/>
      <c r="L151" s="40"/>
      <c r="M151" s="40"/>
      <c r="N151" s="41"/>
      <c r="O151" s="41"/>
      <c r="P151" s="41"/>
      <c r="Q151" s="41" t="s">
        <v>8</v>
      </c>
      <c r="R151" s="41"/>
      <c r="S151" s="41"/>
      <c r="T151" s="43">
        <v>8424</v>
      </c>
      <c r="U151" s="43"/>
      <c r="V151" s="44">
        <v>8424</v>
      </c>
      <c r="W151" s="44">
        <v>2808</v>
      </c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8">
        <f t="shared" si="39"/>
        <v>11232</v>
      </c>
      <c r="BA151" s="122"/>
      <c r="BB151" s="47">
        <f t="shared" si="40"/>
        <v>0</v>
      </c>
      <c r="BC151" s="48">
        <f t="shared" si="41"/>
        <v>11232</v>
      </c>
      <c r="BE151" s="33" t="b">
        <f t="shared" si="37"/>
        <v>1</v>
      </c>
    </row>
    <row r="152" spans="2:59" ht="13.95" customHeight="1" x14ac:dyDescent="0.3">
      <c r="B152" s="50"/>
      <c r="C152" s="54"/>
      <c r="D152" s="54" t="s">
        <v>778</v>
      </c>
      <c r="E152" s="53"/>
      <c r="F152" s="54"/>
      <c r="G152" s="54"/>
      <c r="H152" s="54"/>
      <c r="I152" s="54"/>
      <c r="J152" s="55"/>
      <c r="K152" s="55"/>
      <c r="L152" s="55"/>
      <c r="M152" s="55"/>
      <c r="N152" s="56">
        <f t="shared" si="38"/>
        <v>0.85599999999999998</v>
      </c>
      <c r="O152" s="56">
        <v>0.35599999999999998</v>
      </c>
      <c r="P152" s="56">
        <v>0.5</v>
      </c>
      <c r="Q152" s="56" t="s">
        <v>10</v>
      </c>
      <c r="R152" s="56"/>
      <c r="S152" s="56"/>
      <c r="T152" s="58"/>
      <c r="U152" s="58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62">
        <f t="shared" si="39"/>
        <v>0</v>
      </c>
      <c r="BA152" s="123"/>
      <c r="BB152" s="61">
        <f t="shared" si="40"/>
        <v>0</v>
      </c>
      <c r="BC152" s="62">
        <f t="shared" si="41"/>
        <v>0</v>
      </c>
      <c r="BE152" s="12" t="b">
        <f t="shared" si="37"/>
        <v>1</v>
      </c>
    </row>
    <row r="153" spans="2:59" s="33" customFormat="1" x14ac:dyDescent="0.3">
      <c r="B153" s="34"/>
      <c r="C153" s="36">
        <v>5</v>
      </c>
      <c r="D153" s="36" t="s">
        <v>758</v>
      </c>
      <c r="E153" s="68"/>
      <c r="F153" s="36"/>
      <c r="G153" s="124">
        <v>44655</v>
      </c>
      <c r="H153" s="124">
        <v>55598</v>
      </c>
      <c r="I153" s="36" t="s">
        <v>9</v>
      </c>
      <c r="J153" s="40">
        <v>2209678</v>
      </c>
      <c r="K153" s="40"/>
      <c r="L153" s="40"/>
      <c r="M153" s="40"/>
      <c r="N153" s="41"/>
      <c r="O153" s="41"/>
      <c r="P153" s="41"/>
      <c r="Q153" s="41" t="s">
        <v>8</v>
      </c>
      <c r="R153" s="41"/>
      <c r="S153" s="41"/>
      <c r="T153" s="43">
        <v>0</v>
      </c>
      <c r="U153" s="43"/>
      <c r="V153" s="44"/>
      <c r="W153" s="44">
        <v>67990</v>
      </c>
      <c r="X153" s="44">
        <v>81588</v>
      </c>
      <c r="Y153" s="44">
        <v>81588</v>
      </c>
      <c r="Z153" s="44">
        <v>81588</v>
      </c>
      <c r="AA153" s="44">
        <v>81588</v>
      </c>
      <c r="AB153" s="44">
        <v>81588</v>
      </c>
      <c r="AC153" s="44">
        <v>81588</v>
      </c>
      <c r="AD153" s="44">
        <v>81588</v>
      </c>
      <c r="AE153" s="44">
        <v>81588</v>
      </c>
      <c r="AF153" s="44">
        <v>81588</v>
      </c>
      <c r="AG153" s="44">
        <v>81588</v>
      </c>
      <c r="AH153" s="44">
        <v>81588</v>
      </c>
      <c r="AI153" s="44">
        <v>81588</v>
      </c>
      <c r="AJ153" s="44">
        <v>81588</v>
      </c>
      <c r="AK153" s="44">
        <v>81588</v>
      </c>
      <c r="AL153" s="44">
        <v>81588</v>
      </c>
      <c r="AM153" s="44">
        <v>81588</v>
      </c>
      <c r="AN153" s="44">
        <v>81588</v>
      </c>
      <c r="AO153" s="44">
        <v>81588</v>
      </c>
      <c r="AP153" s="44">
        <v>81588</v>
      </c>
      <c r="AQ153" s="44">
        <v>81588</v>
      </c>
      <c r="AR153" s="44">
        <v>81588</v>
      </c>
      <c r="AS153" s="44">
        <v>81588</v>
      </c>
      <c r="AT153" s="44">
        <v>81588</v>
      </c>
      <c r="AU153" s="44">
        <v>81588</v>
      </c>
      <c r="AV153" s="44">
        <v>81588</v>
      </c>
      <c r="AW153" s="44">
        <v>81588</v>
      </c>
      <c r="AX153" s="44">
        <v>81588</v>
      </c>
      <c r="AY153" s="44">
        <v>20400</v>
      </c>
      <c r="AZ153" s="48">
        <f t="shared" si="39"/>
        <v>2291266</v>
      </c>
      <c r="BA153" s="122"/>
      <c r="BB153" s="47">
        <f t="shared" si="40"/>
        <v>1815336</v>
      </c>
      <c r="BC153" s="48">
        <f t="shared" si="41"/>
        <v>2291266</v>
      </c>
      <c r="BE153" s="33" t="b">
        <f t="shared" si="37"/>
        <v>1</v>
      </c>
    </row>
    <row r="154" spans="2:59" x14ac:dyDescent="0.3">
      <c r="B154" s="50"/>
      <c r="C154" s="54"/>
      <c r="D154" s="54"/>
      <c r="E154" s="53"/>
      <c r="F154" s="54"/>
      <c r="G154" s="54"/>
      <c r="H154" s="54"/>
      <c r="I154" s="54"/>
      <c r="J154" s="55"/>
      <c r="K154" s="55"/>
      <c r="L154" s="55"/>
      <c r="M154" s="55"/>
      <c r="N154" s="56">
        <f t="shared" si="38"/>
        <v>3.008</v>
      </c>
      <c r="O154" s="56">
        <v>2.758</v>
      </c>
      <c r="P154" s="56">
        <v>0.25</v>
      </c>
      <c r="Q154" s="56" t="s">
        <v>10</v>
      </c>
      <c r="R154" s="56"/>
      <c r="S154" s="56"/>
      <c r="T154" s="58">
        <v>46207.281279999996</v>
      </c>
      <c r="U154" s="58"/>
      <c r="V154" s="59">
        <f>SUM(V153:$AY153)*$N154/100</f>
        <v>68921.281279999996</v>
      </c>
      <c r="W154" s="59">
        <f>SUM(W153:$AY153)*$N154/100</f>
        <v>68921.281279999996</v>
      </c>
      <c r="X154" s="59">
        <f>SUM(X153:$AY153)*$N154/100</f>
        <v>66876.142079999991</v>
      </c>
      <c r="Y154" s="59">
        <f>SUM(Y153:$AY153)*$N154/100</f>
        <v>64421.975039999998</v>
      </c>
      <c r="Z154" s="59">
        <f>SUM(Z153:$AY153)*$N154/100</f>
        <v>61967.807999999997</v>
      </c>
      <c r="AA154" s="59">
        <f>SUM(AA153:$AY153)*$N154/100</f>
        <v>59513.640959999997</v>
      </c>
      <c r="AB154" s="59">
        <f>SUM(AB153:$AY153)*$N154/100</f>
        <v>57059.473919999997</v>
      </c>
      <c r="AC154" s="59">
        <f>SUM(AC153:$AY153)*$N154/100</f>
        <v>54605.306880000004</v>
      </c>
      <c r="AD154" s="59">
        <f>SUM(AD153:$AY153)*$N154/100</f>
        <v>52151.139840000003</v>
      </c>
      <c r="AE154" s="59">
        <f>SUM(AE153:$AY153)*$N154/100</f>
        <v>49696.972800000003</v>
      </c>
      <c r="AF154" s="59">
        <f>SUM(AF153:$AY153)*$N154/100</f>
        <v>47242.805760000003</v>
      </c>
      <c r="AG154" s="59">
        <f>SUM(AG153:$AY153)*$N154/100</f>
        <v>44788.638720000003</v>
      </c>
      <c r="AH154" s="59">
        <f>SUM(AH153:$AY153)*$N154/100</f>
        <v>42334.471679999995</v>
      </c>
      <c r="AI154" s="59">
        <f>SUM(AI153:$AY153)*$N154/100</f>
        <v>39880.304640000002</v>
      </c>
      <c r="AJ154" s="59">
        <f>SUM(AJ153:$AY153)*$N154/100</f>
        <v>37426.137599999995</v>
      </c>
      <c r="AK154" s="59">
        <f>SUM(AK153:$AY153)*$N154/100</f>
        <v>34971.970560000002</v>
      </c>
      <c r="AL154" s="59">
        <f>SUM(AL153:$AY153)*$N154/100</f>
        <v>32517.803520000001</v>
      </c>
      <c r="AM154" s="59">
        <f>SUM(AM153:$AY153)*$N154/100</f>
        <v>30063.636480000001</v>
      </c>
      <c r="AN154" s="59">
        <f>SUM(AN153:$AY153)*$N154/100</f>
        <v>27609.469440000001</v>
      </c>
      <c r="AO154" s="59">
        <f>SUM(AO153:$AY153)*$N154/100</f>
        <v>25155.3024</v>
      </c>
      <c r="AP154" s="59">
        <f>SUM(AP153:$AY153)*$N154/100</f>
        <v>22701.13536</v>
      </c>
      <c r="AQ154" s="59">
        <f>SUM(AQ153:$AY153)*$N154/100</f>
        <v>20246.96832</v>
      </c>
      <c r="AR154" s="59">
        <f>SUM(AR153:$AY153)*$N154/100</f>
        <v>17792.80128</v>
      </c>
      <c r="AS154" s="59">
        <f>SUM(AS153:$AY153)*$N154/100</f>
        <v>15338.634240000001</v>
      </c>
      <c r="AT154" s="59">
        <f>SUM(AT153:$AY153)*$N154/100</f>
        <v>12884.467199999999</v>
      </c>
      <c r="AU154" s="59">
        <f>SUM(AU153:$AY153)*$N154/100</f>
        <v>10430.300159999999</v>
      </c>
      <c r="AV154" s="59">
        <f>SUM(AV153:$AY153)*$N154/100</f>
        <v>7976.1331200000004</v>
      </c>
      <c r="AW154" s="59">
        <f>SUM(AW153:$AY153)*$N154/100</f>
        <v>5521.9660800000001</v>
      </c>
      <c r="AX154" s="59">
        <f>SUM(AX153:$AY153)*$N154/100</f>
        <v>3067.7990399999999</v>
      </c>
      <c r="AY154" s="59">
        <f>SUM(AY153:$AY153)*$N154/100</f>
        <v>613.63199999999995</v>
      </c>
      <c r="AZ154" s="62">
        <f t="shared" si="39"/>
        <v>1082699.39968</v>
      </c>
      <c r="BA154" s="46"/>
      <c r="BB154" s="61">
        <f t="shared" si="40"/>
        <v>635017.79712</v>
      </c>
      <c r="BC154" s="62">
        <f t="shared" si="41"/>
        <v>1082699.39968</v>
      </c>
      <c r="BE154" s="12" t="b">
        <f t="shared" si="37"/>
        <v>1</v>
      </c>
    </row>
    <row r="155" spans="2:59" s="33" customFormat="1" x14ac:dyDescent="0.3">
      <c r="B155" s="34"/>
      <c r="C155" s="36">
        <v>6</v>
      </c>
      <c r="D155" s="36" t="s">
        <v>762</v>
      </c>
      <c r="E155" s="68"/>
      <c r="F155" s="36"/>
      <c r="G155" s="124">
        <v>45112</v>
      </c>
      <c r="H155" s="124">
        <v>46965</v>
      </c>
      <c r="I155" s="36" t="s">
        <v>9</v>
      </c>
      <c r="J155" s="40">
        <v>134432.07999999999</v>
      </c>
      <c r="K155" s="40"/>
      <c r="L155" s="40"/>
      <c r="M155" s="40"/>
      <c r="N155" s="41"/>
      <c r="O155" s="41"/>
      <c r="P155" s="41"/>
      <c r="Q155" s="41" t="s">
        <v>8</v>
      </c>
      <c r="R155" s="41"/>
      <c r="S155" s="41"/>
      <c r="T155" s="43">
        <v>27121</v>
      </c>
      <c r="U155" s="43"/>
      <c r="V155" s="44">
        <v>24300</v>
      </c>
      <c r="W155" s="44">
        <v>24300</v>
      </c>
      <c r="X155" s="44">
        <v>24300</v>
      </c>
      <c r="Y155" s="44">
        <v>24300</v>
      </c>
      <c r="Z155" s="44">
        <v>10125</v>
      </c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8">
        <f t="shared" si="39"/>
        <v>107325</v>
      </c>
      <c r="BA155" s="122"/>
      <c r="BB155" s="47">
        <f t="shared" si="40"/>
        <v>0</v>
      </c>
      <c r="BC155" s="48">
        <f t="shared" si="41"/>
        <v>107325</v>
      </c>
      <c r="BE155" s="33" t="b">
        <f t="shared" si="37"/>
        <v>1</v>
      </c>
    </row>
    <row r="156" spans="2:59" x14ac:dyDescent="0.3">
      <c r="B156" s="50"/>
      <c r="C156" s="54"/>
      <c r="D156" s="54"/>
      <c r="E156" s="53"/>
      <c r="F156" s="54"/>
      <c r="G156" s="54"/>
      <c r="H156" s="54"/>
      <c r="I156" s="54"/>
      <c r="J156" s="55"/>
      <c r="K156" s="55"/>
      <c r="L156" s="55"/>
      <c r="M156" s="55"/>
      <c r="N156" s="56">
        <f t="shared" si="38"/>
        <v>3.008</v>
      </c>
      <c r="O156" s="56">
        <v>2.758</v>
      </c>
      <c r="P156" s="56">
        <v>0.25</v>
      </c>
      <c r="Q156" s="56" t="s">
        <v>10</v>
      </c>
      <c r="R156" s="56"/>
      <c r="S156" s="56"/>
      <c r="T156" s="58"/>
      <c r="U156" s="58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62">
        <f t="shared" si="39"/>
        <v>0</v>
      </c>
      <c r="BA156" s="123"/>
      <c r="BB156" s="61">
        <f t="shared" si="40"/>
        <v>0</v>
      </c>
      <c r="BC156" s="62">
        <f t="shared" si="41"/>
        <v>0</v>
      </c>
      <c r="BE156" s="12" t="b">
        <f t="shared" si="37"/>
        <v>1</v>
      </c>
    </row>
    <row r="157" spans="2:59" s="148" customFormat="1" x14ac:dyDescent="0.3">
      <c r="B157" s="136"/>
      <c r="C157" s="160">
        <v>7</v>
      </c>
      <c r="D157" s="138" t="s">
        <v>758</v>
      </c>
      <c r="E157" s="160"/>
      <c r="F157" s="160"/>
      <c r="G157" s="161" t="s">
        <v>752</v>
      </c>
      <c r="H157" s="161">
        <v>49572</v>
      </c>
      <c r="I157" s="138" t="s">
        <v>9</v>
      </c>
      <c r="J157" s="139">
        <v>801681</v>
      </c>
      <c r="K157" s="162"/>
      <c r="L157" s="162"/>
      <c r="M157" s="162"/>
      <c r="N157" s="141"/>
      <c r="O157" s="141"/>
      <c r="P157" s="141"/>
      <c r="Q157" s="141" t="s">
        <v>8</v>
      </c>
      <c r="R157" s="141"/>
      <c r="S157" s="141"/>
      <c r="T157" s="143"/>
      <c r="U157" s="143"/>
      <c r="V157" s="143"/>
      <c r="W157" s="143"/>
      <c r="X157" s="143"/>
      <c r="Y157" s="143">
        <f t="shared" ref="Y157:AH157" si="42">$J$157/40*4</f>
        <v>80168.100000000006</v>
      </c>
      <c r="Z157" s="143">
        <f t="shared" si="42"/>
        <v>80168.100000000006</v>
      </c>
      <c r="AA157" s="143">
        <f t="shared" si="42"/>
        <v>80168.100000000006</v>
      </c>
      <c r="AB157" s="143">
        <f t="shared" si="42"/>
        <v>80168.100000000006</v>
      </c>
      <c r="AC157" s="143">
        <f t="shared" si="42"/>
        <v>80168.100000000006</v>
      </c>
      <c r="AD157" s="143">
        <f t="shared" si="42"/>
        <v>80168.100000000006</v>
      </c>
      <c r="AE157" s="143">
        <f t="shared" si="42"/>
        <v>80168.100000000006</v>
      </c>
      <c r="AF157" s="143">
        <f t="shared" si="42"/>
        <v>80168.100000000006</v>
      </c>
      <c r="AG157" s="143">
        <f t="shared" si="42"/>
        <v>80168.100000000006</v>
      </c>
      <c r="AH157" s="143">
        <f t="shared" si="42"/>
        <v>80168.100000000006</v>
      </c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43"/>
      <c r="AT157" s="143"/>
      <c r="AU157" s="143"/>
      <c r="AV157" s="143"/>
      <c r="AW157" s="143"/>
      <c r="AX157" s="143"/>
      <c r="AY157" s="143"/>
      <c r="AZ157" s="144">
        <f t="shared" si="39"/>
        <v>801680.99999999988</v>
      </c>
      <c r="BA157" s="163"/>
      <c r="BB157" s="146">
        <f t="shared" si="40"/>
        <v>481008.6</v>
      </c>
      <c r="BC157" s="144">
        <f t="shared" si="41"/>
        <v>801681</v>
      </c>
      <c r="BE157" s="148" t="b">
        <f t="shared" si="37"/>
        <v>1</v>
      </c>
    </row>
    <row r="158" spans="2:59" s="147" customFormat="1" x14ac:dyDescent="0.3">
      <c r="B158" s="150"/>
      <c r="C158" s="152"/>
      <c r="D158" s="152" t="s">
        <v>777</v>
      </c>
      <c r="E158" s="152"/>
      <c r="F158" s="152"/>
      <c r="G158" s="152"/>
      <c r="H158" s="152"/>
      <c r="I158" s="152"/>
      <c r="J158" s="153"/>
      <c r="K158" s="153"/>
      <c r="L158" s="153"/>
      <c r="M158" s="153"/>
      <c r="N158" s="154">
        <f t="shared" ref="N158" si="43">SUM(O158:P158)</f>
        <v>4.915</v>
      </c>
      <c r="O158" s="154">
        <v>4.665</v>
      </c>
      <c r="P158" s="154">
        <v>0.25</v>
      </c>
      <c r="Q158" s="154" t="s">
        <v>10</v>
      </c>
      <c r="R158" s="154"/>
      <c r="S158" s="154"/>
      <c r="T158" s="156"/>
      <c r="U158" s="156"/>
      <c r="V158" s="156">
        <f>SUM(V157:$AY157)*$N158/100</f>
        <v>39402.621149999992</v>
      </c>
      <c r="W158" s="156">
        <f>SUM(W157:$AY157)*$N158/100</f>
        <v>39402.621149999992</v>
      </c>
      <c r="X158" s="156">
        <f>SUM(X157:$AY157)*$N158/100</f>
        <v>39402.621149999992</v>
      </c>
      <c r="Y158" s="156">
        <f>SUM(Y157:$AY157)*$N158/100</f>
        <v>39402.621149999992</v>
      </c>
      <c r="Z158" s="156">
        <f>SUM(Z157:$AY157)*$N158/100</f>
        <v>35462.359034999994</v>
      </c>
      <c r="AA158" s="156">
        <f>SUM(AA157:$AY157)*$N158/100</f>
        <v>31522.096919999996</v>
      </c>
      <c r="AB158" s="156">
        <f>SUM(AB157:$AY157)*$N158/100</f>
        <v>27581.834804999995</v>
      </c>
      <c r="AC158" s="156">
        <f>SUM(AC157:$AY157)*$N158/100</f>
        <v>23641.572689999997</v>
      </c>
      <c r="AD158" s="156">
        <f>SUM(AD157:$AY157)*$N158/100</f>
        <v>19701.310575</v>
      </c>
      <c r="AE158" s="156">
        <f>SUM(AE157:$AY157)*$N158/100</f>
        <v>15761.048460000002</v>
      </c>
      <c r="AF158" s="156">
        <f>SUM(AF157:$AY157)*$N158/100</f>
        <v>11820.786345000002</v>
      </c>
      <c r="AG158" s="156">
        <f>SUM(AG157:$AY157)*$N158/100</f>
        <v>7880.5242300000009</v>
      </c>
      <c r="AH158" s="156">
        <f>SUM(AH157:$AY157)*$N158/100</f>
        <v>3940.2621150000004</v>
      </c>
      <c r="AI158" s="156">
        <f>SUM(AI157:$AY157)*$N158/100</f>
        <v>0</v>
      </c>
      <c r="AJ158" s="156">
        <f>SUM(AJ157:$AY157)*$N158/100</f>
        <v>0</v>
      </c>
      <c r="AK158" s="156">
        <f>SUM(AK157:$AY157)*$N158/100</f>
        <v>0</v>
      </c>
      <c r="AL158" s="156">
        <f>SUM(AL157:$AY157)*$N158/100</f>
        <v>0</v>
      </c>
      <c r="AM158" s="156">
        <f>SUM(AM157:$AY157)*$N158/100</f>
        <v>0</v>
      </c>
      <c r="AN158" s="156">
        <f>SUM(AN157:$AY157)*$N158/100</f>
        <v>0</v>
      </c>
      <c r="AO158" s="156">
        <f>SUM(AO157:$AY157)*$N158/100</f>
        <v>0</v>
      </c>
      <c r="AP158" s="156">
        <f>SUM(AP157:$AY157)*$N158/100</f>
        <v>0</v>
      </c>
      <c r="AQ158" s="156">
        <f>SUM(AQ157:$AY157)*$N158/100</f>
        <v>0</v>
      </c>
      <c r="AR158" s="156">
        <f>SUM(AR157:$AY157)*$N158/100</f>
        <v>0</v>
      </c>
      <c r="AS158" s="156">
        <f>SUM(AS157:$AY157)*$N158/100</f>
        <v>0</v>
      </c>
      <c r="AT158" s="156">
        <f>SUM(AT157:$AY157)*$N158/100</f>
        <v>0</v>
      </c>
      <c r="AU158" s="156">
        <f>SUM(AU157:$AY157)*$N158/100</f>
        <v>0</v>
      </c>
      <c r="AV158" s="156">
        <f>SUM(AV157:$AY157)*$N158/100</f>
        <v>0</v>
      </c>
      <c r="AW158" s="156">
        <f>SUM(AW157:$AY157)*$N158/100</f>
        <v>0</v>
      </c>
      <c r="AX158" s="156">
        <f>SUM(AX157:$AY157)*$N158/100</f>
        <v>0</v>
      </c>
      <c r="AY158" s="156">
        <f>SUM(AY157:$AY157)*$N158/100</f>
        <v>0</v>
      </c>
      <c r="AZ158" s="157">
        <f t="shared" si="39"/>
        <v>334922.279775</v>
      </c>
      <c r="BA158" s="145"/>
      <c r="BB158" s="158">
        <f t="shared" si="40"/>
        <v>82745.504415000003</v>
      </c>
      <c r="BC158" s="157">
        <f t="shared" si="41"/>
        <v>334922.27977499994</v>
      </c>
      <c r="BE158" s="147" t="b">
        <f t="shared" si="37"/>
        <v>1</v>
      </c>
    </row>
    <row r="159" spans="2:59" s="70" customFormat="1" x14ac:dyDescent="0.3"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6" t="s">
        <v>765</v>
      </c>
      <c r="R159" s="126"/>
      <c r="S159" s="125"/>
      <c r="T159" s="127">
        <f>SUM(T145:T158)</f>
        <v>114624.70473999999</v>
      </c>
      <c r="U159" s="127"/>
      <c r="V159" s="128">
        <f t="shared" ref="V159:AY159" si="44">SUM(V145:V158)</f>
        <v>173382.55740999998</v>
      </c>
      <c r="W159" s="128">
        <f>SUM(W145:W158)</f>
        <v>228691.42316999999</v>
      </c>
      <c r="X159" s="128">
        <f t="shared" si="44"/>
        <v>222783.28972999999</v>
      </c>
      <c r="Y159" s="128">
        <f t="shared" si="44"/>
        <v>300228.33844999998</v>
      </c>
      <c r="Z159" s="128">
        <f t="shared" si="44"/>
        <v>279390.02505499998</v>
      </c>
      <c r="AA159" s="128">
        <f t="shared" si="44"/>
        <v>262601.71165999997</v>
      </c>
      <c r="AB159" s="128">
        <f t="shared" si="44"/>
        <v>255938.398265</v>
      </c>
      <c r="AC159" s="128">
        <f t="shared" si="44"/>
        <v>249275.08486999999</v>
      </c>
      <c r="AD159" s="128">
        <f t="shared" si="44"/>
        <v>235909.77147500002</v>
      </c>
      <c r="AE159" s="128">
        <f t="shared" si="44"/>
        <v>227214.12125999999</v>
      </c>
      <c r="AF159" s="128">
        <f t="shared" si="44"/>
        <v>220819.69210499999</v>
      </c>
      <c r="AG159" s="128">
        <f t="shared" si="44"/>
        <v>214425.26295000003</v>
      </c>
      <c r="AH159" s="128">
        <f t="shared" si="44"/>
        <v>208030.83379499998</v>
      </c>
      <c r="AI159" s="128">
        <f t="shared" si="44"/>
        <v>121468.30464</v>
      </c>
      <c r="AJ159" s="128">
        <f t="shared" si="44"/>
        <v>119014.13759999999</v>
      </c>
      <c r="AK159" s="128">
        <f t="shared" si="44"/>
        <v>116559.97056</v>
      </c>
      <c r="AL159" s="128">
        <f t="shared" si="44"/>
        <v>114105.80352</v>
      </c>
      <c r="AM159" s="128">
        <f t="shared" si="44"/>
        <v>111651.63648</v>
      </c>
      <c r="AN159" s="128">
        <f t="shared" si="44"/>
        <v>109197.46944</v>
      </c>
      <c r="AO159" s="128">
        <f t="shared" si="44"/>
        <v>106743.3024</v>
      </c>
      <c r="AP159" s="128">
        <f t="shared" si="44"/>
        <v>104289.13536</v>
      </c>
      <c r="AQ159" s="128">
        <f t="shared" si="44"/>
        <v>101834.96832</v>
      </c>
      <c r="AR159" s="128">
        <f t="shared" si="44"/>
        <v>99380.80128</v>
      </c>
      <c r="AS159" s="128">
        <f t="shared" si="44"/>
        <v>96926.634239999999</v>
      </c>
      <c r="AT159" s="128">
        <f t="shared" si="44"/>
        <v>94472.467199999999</v>
      </c>
      <c r="AU159" s="128">
        <f t="shared" si="44"/>
        <v>92018.300159999999</v>
      </c>
      <c r="AV159" s="128">
        <f t="shared" si="44"/>
        <v>89564.133119999999</v>
      </c>
      <c r="AW159" s="128">
        <f t="shared" si="44"/>
        <v>87109.966079999998</v>
      </c>
      <c r="AX159" s="128">
        <f t="shared" si="44"/>
        <v>84655.799039999998</v>
      </c>
      <c r="AY159" s="128">
        <f t="shared" si="44"/>
        <v>21013.632000000001</v>
      </c>
      <c r="AZ159" s="103">
        <f t="shared" si="39"/>
        <v>4748696.9716349989</v>
      </c>
      <c r="BA159" s="125"/>
      <c r="BB159" s="129">
        <f>SUM(BB145:BB158)</f>
        <v>3025681.227895</v>
      </c>
      <c r="BC159" s="129">
        <f>SUM(BC145:BC158)</f>
        <v>4748696.9716349998</v>
      </c>
      <c r="BE159" s="70" t="b">
        <f t="shared" si="37"/>
        <v>1</v>
      </c>
      <c r="BG159" s="71">
        <f>SUM(V145:AY158)</f>
        <v>4748696.9716349998</v>
      </c>
    </row>
    <row r="160" spans="2:59" x14ac:dyDescent="0.3">
      <c r="BG160" s="17">
        <f>BG159-BC159</f>
        <v>0</v>
      </c>
    </row>
    <row r="162" spans="6:55" ht="28.8" x14ac:dyDescent="0.3">
      <c r="R162" s="26"/>
      <c r="S162" s="26"/>
      <c r="T162" s="31">
        <v>2023</v>
      </c>
      <c r="U162" s="31"/>
      <c r="V162" s="25">
        <v>2024</v>
      </c>
      <c r="W162" s="25">
        <v>2025</v>
      </c>
      <c r="X162" s="25">
        <v>2026</v>
      </c>
      <c r="Y162" s="25">
        <v>2027</v>
      </c>
      <c r="Z162" s="25">
        <v>2028</v>
      </c>
      <c r="AA162" s="25">
        <v>2029</v>
      </c>
      <c r="AB162" s="25">
        <v>2030</v>
      </c>
      <c r="AC162" s="25">
        <v>2031</v>
      </c>
      <c r="AD162" s="25">
        <v>2032</v>
      </c>
      <c r="AE162" s="25">
        <v>2033</v>
      </c>
      <c r="AF162" s="25">
        <v>2034</v>
      </c>
      <c r="AG162" s="25">
        <v>2035</v>
      </c>
      <c r="AH162" s="25">
        <v>2036</v>
      </c>
      <c r="AI162" s="25">
        <v>2037</v>
      </c>
      <c r="AJ162" s="25">
        <v>2038</v>
      </c>
      <c r="AK162" s="25">
        <v>2039</v>
      </c>
      <c r="AL162" s="25">
        <v>2040</v>
      </c>
      <c r="AM162" s="25">
        <v>2041</v>
      </c>
      <c r="AN162" s="25">
        <v>2042</v>
      </c>
      <c r="AO162" s="25">
        <v>2043</v>
      </c>
      <c r="AP162" s="25">
        <v>2044</v>
      </c>
      <c r="AQ162" s="25">
        <v>2045</v>
      </c>
      <c r="AR162" s="25">
        <v>2046</v>
      </c>
      <c r="AS162" s="25">
        <v>2047</v>
      </c>
      <c r="AT162" s="25">
        <v>2048</v>
      </c>
      <c r="AU162" s="25">
        <v>2049</v>
      </c>
      <c r="AV162" s="25">
        <v>2050</v>
      </c>
      <c r="AW162" s="25">
        <v>2051</v>
      </c>
      <c r="AX162" s="25">
        <v>2052</v>
      </c>
      <c r="AY162" s="25">
        <v>2053</v>
      </c>
      <c r="AZ162" s="24" t="s">
        <v>745</v>
      </c>
      <c r="BB162" s="25" t="s">
        <v>797</v>
      </c>
      <c r="BC162" s="24" t="s">
        <v>796</v>
      </c>
    </row>
    <row r="163" spans="6:55" x14ac:dyDescent="0.3">
      <c r="Q163" s="10" t="s">
        <v>770</v>
      </c>
      <c r="R163" s="105"/>
      <c r="S163" s="105"/>
      <c r="T163" s="106">
        <f t="shared" ref="T163:AY164" si="45">T138</f>
        <v>3657130.37</v>
      </c>
      <c r="U163" s="106"/>
      <c r="V163" s="105">
        <f t="shared" si="45"/>
        <v>3657198.1799999997</v>
      </c>
      <c r="W163" s="105">
        <f t="shared" si="45"/>
        <v>3469646.9637171053</v>
      </c>
      <c r="X163" s="105">
        <f t="shared" si="45"/>
        <v>3499857.4161842102</v>
      </c>
      <c r="Y163" s="105">
        <f t="shared" si="45"/>
        <v>3552026.2050730987</v>
      </c>
      <c r="Z163" s="105">
        <f t="shared" si="45"/>
        <v>3671306.4606286543</v>
      </c>
      <c r="AA163" s="105">
        <f t="shared" si="45"/>
        <v>3590395.7237536544</v>
      </c>
      <c r="AB163" s="105">
        <f t="shared" si="45"/>
        <v>3553621.4781286544</v>
      </c>
      <c r="AC163" s="105">
        <f t="shared" si="45"/>
        <v>3467302.3381286543</v>
      </c>
      <c r="AD163" s="105">
        <f t="shared" si="45"/>
        <v>2808675.2281286544</v>
      </c>
      <c r="AE163" s="105">
        <f t="shared" si="45"/>
        <v>2604955.4981286544</v>
      </c>
      <c r="AF163" s="105">
        <f t="shared" si="45"/>
        <v>2247875.2781286552</v>
      </c>
      <c r="AG163" s="105">
        <f t="shared" si="45"/>
        <v>2072237.8044444444</v>
      </c>
      <c r="AH163" s="105">
        <f t="shared" si="45"/>
        <v>1943128.7544444446</v>
      </c>
      <c r="AI163" s="105">
        <f t="shared" si="45"/>
        <v>1832316.0444444446</v>
      </c>
      <c r="AJ163" s="105">
        <f t="shared" si="45"/>
        <v>1697912.0444444446</v>
      </c>
      <c r="AK163" s="105">
        <f t="shared" si="45"/>
        <v>1625784.0444444446</v>
      </c>
      <c r="AL163" s="105">
        <f t="shared" si="45"/>
        <v>1584734.0844444446</v>
      </c>
      <c r="AM163" s="105">
        <f t="shared" si="45"/>
        <v>1559973.1144444444</v>
      </c>
      <c r="AN163" s="105">
        <f t="shared" si="45"/>
        <v>1500459.111111111</v>
      </c>
      <c r="AO163" s="105">
        <f t="shared" si="45"/>
        <v>1500459.111111111</v>
      </c>
      <c r="AP163" s="105">
        <f t="shared" si="45"/>
        <v>1658514.6666666667</v>
      </c>
      <c r="AQ163" s="105">
        <f t="shared" si="45"/>
        <v>1184348</v>
      </c>
      <c r="AR163" s="105">
        <f t="shared" si="45"/>
        <v>1184348</v>
      </c>
      <c r="AS163" s="105">
        <f t="shared" si="45"/>
        <v>1184348</v>
      </c>
      <c r="AT163" s="105">
        <f t="shared" si="45"/>
        <v>867315.83000000007</v>
      </c>
      <c r="AU163" s="105">
        <f t="shared" si="45"/>
        <v>452632</v>
      </c>
      <c r="AV163" s="105">
        <f t="shared" si="45"/>
        <v>409981</v>
      </c>
      <c r="AW163" s="105">
        <f t="shared" si="45"/>
        <v>55587.92</v>
      </c>
      <c r="AX163" s="105">
        <f t="shared" si="45"/>
        <v>0</v>
      </c>
      <c r="AY163" s="105">
        <f t="shared" si="45"/>
        <v>0</v>
      </c>
      <c r="AZ163" s="107">
        <f t="shared" ref="AZ163:AZ166" si="46">SUM(V163:AY163)</f>
        <v>58436940.299999982</v>
      </c>
      <c r="BB163" s="108">
        <f t="shared" ref="BB163:BB165" si="47">SUM(AC163:AY163)</f>
        <v>33442887.872514628</v>
      </c>
      <c r="BC163" s="48">
        <f t="shared" ref="BC163:BC165" si="48">SUM(V163:AB163,BB163)</f>
        <v>58436940.300000004</v>
      </c>
    </row>
    <row r="164" spans="6:55" x14ac:dyDescent="0.3">
      <c r="Q164" s="10" t="s">
        <v>771</v>
      </c>
      <c r="R164" s="105"/>
      <c r="S164" s="105"/>
      <c r="T164" s="106">
        <f t="shared" si="45"/>
        <v>2131977.2700000009</v>
      </c>
      <c r="U164" s="106"/>
      <c r="V164" s="105">
        <f t="shared" si="45"/>
        <v>2178615.0823342255</v>
      </c>
      <c r="W164" s="105">
        <f t="shared" si="45"/>
        <v>2238832.7567470004</v>
      </c>
      <c r="X164" s="105">
        <f t="shared" si="45"/>
        <v>2307047.8206518004</v>
      </c>
      <c r="Y164" s="105">
        <f t="shared" si="45"/>
        <v>2155647.6451652884</v>
      </c>
      <c r="Z164" s="105">
        <f t="shared" si="45"/>
        <v>1999161.0042553763</v>
      </c>
      <c r="AA164" s="105">
        <f t="shared" si="45"/>
        <v>1836477.0152248652</v>
      </c>
      <c r="AB164" s="105">
        <f t="shared" si="45"/>
        <v>1677183.1625631843</v>
      </c>
      <c r="AC164" s="105">
        <f t="shared" si="45"/>
        <v>1519389.4945244472</v>
      </c>
      <c r="AD164" s="105">
        <f t="shared" si="45"/>
        <v>1365648.6975313106</v>
      </c>
      <c r="AE164" s="105">
        <f t="shared" si="45"/>
        <v>1239162.7844785731</v>
      </c>
      <c r="AF164" s="105">
        <f t="shared" si="45"/>
        <v>1122233.6155841369</v>
      </c>
      <c r="AG164" s="105">
        <f t="shared" si="45"/>
        <v>1020292.0111166001</v>
      </c>
      <c r="AH164" s="105">
        <f t="shared" si="45"/>
        <v>926221.77864379983</v>
      </c>
      <c r="AI164" s="105">
        <f t="shared" si="45"/>
        <v>837831.63125500013</v>
      </c>
      <c r="AJ164" s="105">
        <f t="shared" si="45"/>
        <v>753822.72227100015</v>
      </c>
      <c r="AK164" s="105">
        <f t="shared" si="45"/>
        <v>675771.50826699985</v>
      </c>
      <c r="AL164" s="105">
        <f t="shared" si="45"/>
        <v>600907.595203</v>
      </c>
      <c r="AM164" s="105">
        <f t="shared" si="45"/>
        <v>527827.85213899997</v>
      </c>
      <c r="AN164" s="105">
        <f t="shared" si="45"/>
        <v>455910.62948799995</v>
      </c>
      <c r="AO164" s="105">
        <f t="shared" si="45"/>
        <v>386898.32936799998</v>
      </c>
      <c r="AP164" s="105">
        <f t="shared" si="45"/>
        <v>317886.02924799989</v>
      </c>
      <c r="AQ164" s="105">
        <f t="shared" si="45"/>
        <v>240808.15412799999</v>
      </c>
      <c r="AR164" s="105">
        <f t="shared" si="45"/>
        <v>187927.00400799996</v>
      </c>
      <c r="AS164" s="105">
        <f t="shared" si="45"/>
        <v>135045.85388799998</v>
      </c>
      <c r="AT164" s="105">
        <f t="shared" si="45"/>
        <v>82164.703767999992</v>
      </c>
      <c r="AU164" s="105">
        <f t="shared" si="45"/>
        <v>43306.896070000003</v>
      </c>
      <c r="AV164" s="105">
        <f t="shared" si="45"/>
        <v>22024.558349999996</v>
      </c>
      <c r="AW164" s="105">
        <f t="shared" si="45"/>
        <v>2596.5674300000001</v>
      </c>
      <c r="AX164" s="105">
        <f t="shared" si="45"/>
        <v>0</v>
      </c>
      <c r="AY164" s="105">
        <f t="shared" si="45"/>
        <v>0</v>
      </c>
      <c r="AZ164" s="107">
        <f t="shared" si="46"/>
        <v>26856642.903701603</v>
      </c>
      <c r="BB164" s="108">
        <f t="shared" si="47"/>
        <v>12463678.416759869</v>
      </c>
      <c r="BC164" s="107">
        <f t="shared" si="48"/>
        <v>26856642.903701611</v>
      </c>
    </row>
    <row r="165" spans="6:55" x14ac:dyDescent="0.3">
      <c r="Q165" s="10" t="s">
        <v>772</v>
      </c>
      <c r="R165" s="105"/>
      <c r="S165" s="105"/>
      <c r="T165" s="106">
        <f t="shared" ref="T165:AY165" si="49">T159</f>
        <v>114624.70473999999</v>
      </c>
      <c r="U165" s="106"/>
      <c r="V165" s="105">
        <f t="shared" si="49"/>
        <v>173382.55740999998</v>
      </c>
      <c r="W165" s="105">
        <f t="shared" si="49"/>
        <v>228691.42316999999</v>
      </c>
      <c r="X165" s="105">
        <f t="shared" si="49"/>
        <v>222783.28972999999</v>
      </c>
      <c r="Y165" s="105">
        <f t="shared" si="49"/>
        <v>300228.33844999998</v>
      </c>
      <c r="Z165" s="105">
        <f t="shared" si="49"/>
        <v>279390.02505499998</v>
      </c>
      <c r="AA165" s="105">
        <f t="shared" si="49"/>
        <v>262601.71165999997</v>
      </c>
      <c r="AB165" s="105">
        <f t="shared" si="49"/>
        <v>255938.398265</v>
      </c>
      <c r="AC165" s="105">
        <f t="shared" si="49"/>
        <v>249275.08486999999</v>
      </c>
      <c r="AD165" s="105">
        <f t="shared" si="49"/>
        <v>235909.77147500002</v>
      </c>
      <c r="AE165" s="105">
        <f t="shared" si="49"/>
        <v>227214.12125999999</v>
      </c>
      <c r="AF165" s="105">
        <f t="shared" si="49"/>
        <v>220819.69210499999</v>
      </c>
      <c r="AG165" s="105">
        <f t="shared" si="49"/>
        <v>214425.26295000003</v>
      </c>
      <c r="AH165" s="105">
        <f t="shared" si="49"/>
        <v>208030.83379499998</v>
      </c>
      <c r="AI165" s="105">
        <f t="shared" si="49"/>
        <v>121468.30464</v>
      </c>
      <c r="AJ165" s="105">
        <f t="shared" si="49"/>
        <v>119014.13759999999</v>
      </c>
      <c r="AK165" s="105">
        <f t="shared" si="49"/>
        <v>116559.97056</v>
      </c>
      <c r="AL165" s="105">
        <f t="shared" si="49"/>
        <v>114105.80352</v>
      </c>
      <c r="AM165" s="105">
        <f t="shared" si="49"/>
        <v>111651.63648</v>
      </c>
      <c r="AN165" s="105">
        <f t="shared" si="49"/>
        <v>109197.46944</v>
      </c>
      <c r="AO165" s="105">
        <f t="shared" si="49"/>
        <v>106743.3024</v>
      </c>
      <c r="AP165" s="105">
        <f t="shared" si="49"/>
        <v>104289.13536</v>
      </c>
      <c r="AQ165" s="105">
        <f t="shared" si="49"/>
        <v>101834.96832</v>
      </c>
      <c r="AR165" s="105">
        <f t="shared" si="49"/>
        <v>99380.80128</v>
      </c>
      <c r="AS165" s="105">
        <f t="shared" si="49"/>
        <v>96926.634239999999</v>
      </c>
      <c r="AT165" s="105">
        <f t="shared" si="49"/>
        <v>94472.467199999999</v>
      </c>
      <c r="AU165" s="105">
        <f t="shared" si="49"/>
        <v>92018.300159999999</v>
      </c>
      <c r="AV165" s="105">
        <f t="shared" si="49"/>
        <v>89564.133119999999</v>
      </c>
      <c r="AW165" s="105">
        <f t="shared" si="49"/>
        <v>87109.966079999998</v>
      </c>
      <c r="AX165" s="105">
        <f t="shared" si="49"/>
        <v>84655.799039999998</v>
      </c>
      <c r="AY165" s="105">
        <f t="shared" si="49"/>
        <v>21013.632000000001</v>
      </c>
      <c r="AZ165" s="107">
        <f t="shared" si="46"/>
        <v>4748696.9716349989</v>
      </c>
      <c r="BB165" s="59">
        <f t="shared" si="47"/>
        <v>3025681.227895</v>
      </c>
      <c r="BC165" s="107">
        <f t="shared" si="48"/>
        <v>4748696.9716349998</v>
      </c>
    </row>
    <row r="166" spans="6:55" s="70" customFormat="1" x14ac:dyDescent="0.3">
      <c r="Q166" s="102" t="s">
        <v>766</v>
      </c>
      <c r="R166" s="104"/>
      <c r="S166" s="104"/>
      <c r="T166" s="109">
        <f>SUM(T163:T165)</f>
        <v>5903732.3447400006</v>
      </c>
      <c r="U166" s="109"/>
      <c r="V166" s="104">
        <f>SUM(V163:V165)</f>
        <v>6009195.8197442256</v>
      </c>
      <c r="W166" s="104">
        <f t="shared" ref="W166:AY166" si="50">SUM(W163:W165)</f>
        <v>5937171.143634106</v>
      </c>
      <c r="X166" s="104">
        <f t="shared" si="50"/>
        <v>6029688.5265660109</v>
      </c>
      <c r="Y166" s="104">
        <f t="shared" si="50"/>
        <v>6007902.1886883862</v>
      </c>
      <c r="Z166" s="104">
        <f t="shared" si="50"/>
        <v>5949857.4899390303</v>
      </c>
      <c r="AA166" s="104">
        <f t="shared" si="50"/>
        <v>5689474.4506385196</v>
      </c>
      <c r="AB166" s="104">
        <f t="shared" si="50"/>
        <v>5486743.0389568396</v>
      </c>
      <c r="AC166" s="104">
        <f t="shared" si="50"/>
        <v>5235966.9175231019</v>
      </c>
      <c r="AD166" s="104">
        <f t="shared" si="50"/>
        <v>4410233.6971349651</v>
      </c>
      <c r="AE166" s="104">
        <f t="shared" si="50"/>
        <v>4071332.4038672275</v>
      </c>
      <c r="AF166" s="104">
        <f t="shared" si="50"/>
        <v>3590928.585817792</v>
      </c>
      <c r="AG166" s="104">
        <f t="shared" si="50"/>
        <v>3306955.0785110444</v>
      </c>
      <c r="AH166" s="104">
        <f t="shared" si="50"/>
        <v>3077381.3668832444</v>
      </c>
      <c r="AI166" s="104">
        <f t="shared" si="50"/>
        <v>2791615.9803394447</v>
      </c>
      <c r="AJ166" s="104">
        <f t="shared" si="50"/>
        <v>2570748.9043154446</v>
      </c>
      <c r="AK166" s="104">
        <f t="shared" si="50"/>
        <v>2418115.5232714443</v>
      </c>
      <c r="AL166" s="104">
        <f t="shared" si="50"/>
        <v>2299747.4831674448</v>
      </c>
      <c r="AM166" s="104">
        <f t="shared" si="50"/>
        <v>2199452.6030634441</v>
      </c>
      <c r="AN166" s="104">
        <f t="shared" si="50"/>
        <v>2065567.2100391109</v>
      </c>
      <c r="AO166" s="104">
        <f t="shared" si="50"/>
        <v>1994100.7428791109</v>
      </c>
      <c r="AP166" s="104">
        <f t="shared" si="50"/>
        <v>2080689.8312746666</v>
      </c>
      <c r="AQ166" s="104">
        <f t="shared" si="50"/>
        <v>1526991.1224479999</v>
      </c>
      <c r="AR166" s="104">
        <f t="shared" si="50"/>
        <v>1471655.805288</v>
      </c>
      <c r="AS166" s="104">
        <f t="shared" si="50"/>
        <v>1416320.4881279999</v>
      </c>
      <c r="AT166" s="104">
        <f t="shared" si="50"/>
        <v>1043953.000968</v>
      </c>
      <c r="AU166" s="104">
        <f t="shared" si="50"/>
        <v>587957.19623</v>
      </c>
      <c r="AV166" s="104">
        <f t="shared" si="50"/>
        <v>521569.69147000002</v>
      </c>
      <c r="AW166" s="104">
        <f t="shared" si="50"/>
        <v>145294.45350999999</v>
      </c>
      <c r="AX166" s="104">
        <f t="shared" si="50"/>
        <v>84655.799039999998</v>
      </c>
      <c r="AY166" s="104">
        <f t="shared" si="50"/>
        <v>21013.632000000001</v>
      </c>
      <c r="AZ166" s="104">
        <f t="shared" si="46"/>
        <v>90042280.175336599</v>
      </c>
      <c r="BB166" s="104">
        <f t="shared" ref="BB166:BC166" si="51">SUM(BB163:BB165)</f>
        <v>48932247.517169498</v>
      </c>
      <c r="BC166" s="104">
        <f t="shared" si="51"/>
        <v>90042280.175336614</v>
      </c>
    </row>
    <row r="167" spans="6:55" x14ac:dyDescent="0.3">
      <c r="R167" s="16"/>
      <c r="T167" s="110"/>
      <c r="U167" s="110"/>
    </row>
    <row r="168" spans="6:55" s="70" customFormat="1" x14ac:dyDescent="0.3">
      <c r="Q168" s="102" t="s">
        <v>768</v>
      </c>
      <c r="R168" s="111"/>
      <c r="S168" s="111"/>
      <c r="T168" s="112">
        <f t="shared" ref="T168:AY168" si="52">T166/$Q$169</f>
        <v>0.16719597025679936</v>
      </c>
      <c r="U168" s="112"/>
      <c r="V168" s="111">
        <f t="shared" si="52"/>
        <v>0.17018273642442475</v>
      </c>
      <c r="W168" s="111">
        <f t="shared" si="52"/>
        <v>0.16814296990022037</v>
      </c>
      <c r="X168" s="111">
        <f t="shared" si="52"/>
        <v>0.17076309776199608</v>
      </c>
      <c r="Y168" s="111">
        <f t="shared" si="52"/>
        <v>0.17014610029546334</v>
      </c>
      <c r="Z168" s="111">
        <f t="shared" si="52"/>
        <v>0.16850225210605332</v>
      </c>
      <c r="AA168" s="111">
        <f t="shared" si="52"/>
        <v>0.16112810430393434</v>
      </c>
      <c r="AB168" s="111">
        <f t="shared" si="52"/>
        <v>0.15538667276565518</v>
      </c>
      <c r="AC168" s="111">
        <f t="shared" si="52"/>
        <v>0.14828459657182033</v>
      </c>
      <c r="AD168" s="111">
        <f t="shared" si="52"/>
        <v>0.12489951423842635</v>
      </c>
      <c r="AE168" s="111">
        <f t="shared" si="52"/>
        <v>0.11530169929011352</v>
      </c>
      <c r="AF168" s="111">
        <f t="shared" si="52"/>
        <v>0.10169647842582252</v>
      </c>
      <c r="AG168" s="111">
        <f t="shared" si="52"/>
        <v>9.3654239498158376E-2</v>
      </c>
      <c r="AH168" s="111">
        <f t="shared" si="52"/>
        <v>8.7152623703319179E-2</v>
      </c>
      <c r="AI168" s="111">
        <f t="shared" si="52"/>
        <v>7.90596380666026E-2</v>
      </c>
      <c r="AJ168" s="111">
        <f t="shared" si="52"/>
        <v>7.2804597540160637E-2</v>
      </c>
      <c r="AK168" s="111">
        <f t="shared" si="52"/>
        <v>6.8481961494513258E-2</v>
      </c>
      <c r="AL168" s="111">
        <f t="shared" si="52"/>
        <v>6.5129733080869709E-2</v>
      </c>
      <c r="AM168" s="111">
        <f t="shared" si="52"/>
        <v>6.2289343508378635E-2</v>
      </c>
      <c r="AN168" s="111">
        <f t="shared" si="52"/>
        <v>5.8497657692902834E-2</v>
      </c>
      <c r="AO168" s="111">
        <f t="shared" si="52"/>
        <v>5.647369986082261E-2</v>
      </c>
      <c r="AP168" s="111">
        <f t="shared" si="52"/>
        <v>5.8925936141629866E-2</v>
      </c>
      <c r="AQ168" s="111">
        <f t="shared" si="52"/>
        <v>4.3244975785306561E-2</v>
      </c>
      <c r="AR168" s="111">
        <f t="shared" si="52"/>
        <v>4.1677858324387633E-2</v>
      </c>
      <c r="AS168" s="111">
        <f t="shared" si="52"/>
        <v>4.0110740863468698E-2</v>
      </c>
      <c r="AT168" s="111">
        <f t="shared" si="52"/>
        <v>2.9565150434852427E-2</v>
      </c>
      <c r="AU168" s="111">
        <f t="shared" si="52"/>
        <v>1.6651173893533197E-2</v>
      </c>
      <c r="AV168" s="111">
        <f t="shared" si="52"/>
        <v>1.4771054229713153E-2</v>
      </c>
      <c r="AW168" s="111">
        <f t="shared" si="52"/>
        <v>4.1147947957328544E-3</v>
      </c>
      <c r="AX168" s="111">
        <f t="shared" si="52"/>
        <v>2.3974847828201751E-3</v>
      </c>
      <c r="AY168" s="111">
        <f t="shared" si="52"/>
        <v>5.9511413893782424E-4</v>
      </c>
      <c r="BB168" s="113"/>
      <c r="BC168" s="113"/>
    </row>
    <row r="169" spans="6:55" x14ac:dyDescent="0.3">
      <c r="J169" s="11" t="s">
        <v>769</v>
      </c>
      <c r="Q169" s="169">
        <v>35310255</v>
      </c>
      <c r="R169" s="114"/>
      <c r="S169" s="115"/>
      <c r="T169" s="116"/>
      <c r="U169" s="116"/>
      <c r="W169" s="117"/>
      <c r="X169" s="117"/>
      <c r="Y169" s="117"/>
      <c r="Z169" s="117"/>
      <c r="AA169" s="117"/>
    </row>
    <row r="170" spans="6:55" x14ac:dyDescent="0.3">
      <c r="R170" s="118"/>
      <c r="V170" s="164"/>
    </row>
    <row r="171" spans="6:55" x14ac:dyDescent="0.3">
      <c r="F171" s="119"/>
      <c r="J171" s="120"/>
      <c r="K171" s="121"/>
      <c r="L171" s="121"/>
      <c r="M171" s="121"/>
      <c r="N171" s="121"/>
      <c r="O171" s="121"/>
      <c r="P171" s="121"/>
      <c r="Q171" s="121"/>
      <c r="V171" s="17">
        <v>3657198</v>
      </c>
      <c r="W171" s="17"/>
      <c r="X171" s="17"/>
      <c r="Y171" s="17"/>
    </row>
    <row r="172" spans="6:55" x14ac:dyDescent="0.3">
      <c r="V172" s="17">
        <f>V171-V163</f>
        <v>-0.17999999970197678</v>
      </c>
    </row>
    <row r="173" spans="6:55" x14ac:dyDescent="0.3">
      <c r="V173" s="164">
        <v>2178615</v>
      </c>
    </row>
    <row r="174" spans="6:55" x14ac:dyDescent="0.3">
      <c r="V174" s="17">
        <f>V164-V173</f>
        <v>8.2334225531667471E-2</v>
      </c>
      <c r="W174" s="164">
        <v>-42481.917665774468</v>
      </c>
      <c r="X174" s="12" t="s">
        <v>867</v>
      </c>
    </row>
    <row r="175" spans="6:55" x14ac:dyDescent="0.3">
      <c r="Q175" s="16"/>
    </row>
  </sheetData>
  <pageMargins left="0.25" right="0.25" top="0.75" bottom="0.75" header="0.3" footer="0.3"/>
  <pageSetup paperSize="9" scale="48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90DD-8E71-44DA-A6AA-A95B0B2E2AD7}">
  <sheetPr>
    <tabColor theme="9" tint="0.39997558519241921"/>
    <pageSetUpPr fitToPage="1"/>
  </sheetPr>
  <dimension ref="A1:BB160"/>
  <sheetViews>
    <sheetView tabSelected="1" zoomScaleNormal="100" workbookViewId="0">
      <pane xSplit="3" topLeftCell="D1" activePane="topRight" state="frozen"/>
      <selection activeCell="C1" sqref="C1"/>
      <selection pane="topRight" activeCell="R154" sqref="R154:BA162"/>
    </sheetView>
  </sheetViews>
  <sheetFormatPr defaultColWidth="8.88671875" defaultRowHeight="14.4" outlineLevelRow="1" outlineLevelCol="1" x14ac:dyDescent="0.3"/>
  <cols>
    <col min="1" max="1" width="5" style="12" hidden="1" customWidth="1" outlineLevel="1"/>
    <col min="2" max="2" width="3.5546875" style="12" hidden="1" customWidth="1" outlineLevel="1"/>
    <col min="3" max="3" width="4.33203125" style="12" customWidth="1" collapsed="1"/>
    <col min="4" max="4" width="31.88671875" style="12" customWidth="1"/>
    <col min="5" max="5" width="12.33203125" style="13" customWidth="1"/>
    <col min="6" max="6" width="11.5546875" style="12" customWidth="1"/>
    <col min="7" max="8" width="11" style="12" customWidth="1"/>
    <col min="9" max="9" width="6.44140625" style="12" hidden="1" customWidth="1" outlineLevel="1"/>
    <col min="10" max="10" width="11.88671875" style="13" customWidth="1" collapsed="1"/>
    <col min="11" max="12" width="13.33203125" style="12" hidden="1" customWidth="1" outlineLevel="1"/>
    <col min="13" max="13" width="6" style="12" hidden="1" customWidth="1" outlineLevel="1"/>
    <col min="14" max="16" width="13.33203125" style="12" hidden="1" customWidth="1" outlineLevel="1"/>
    <col min="17" max="17" width="14.44140625" style="12" customWidth="1" collapsed="1"/>
    <col min="18" max="18" width="12.6640625" style="12" customWidth="1"/>
    <col min="19" max="24" width="10.33203125" style="12" customWidth="1"/>
    <col min="25" max="46" width="10.33203125" style="12" hidden="1" customWidth="1" outlineLevel="1"/>
    <col min="47" max="47" width="11.33203125" style="12" hidden="1" customWidth="1" outlineLevel="1"/>
    <col min="48" max="48" width="10.33203125" style="12" hidden="1" customWidth="1" outlineLevel="1"/>
    <col min="49" max="49" width="12.33203125" style="12" customWidth="1" collapsed="1"/>
    <col min="50" max="50" width="11.5546875" style="12" customWidth="1" collapsed="1"/>
    <col min="51" max="51" width="8.88671875" style="12"/>
    <col min="52" max="52" width="9" style="12" bestFit="1" customWidth="1"/>
    <col min="53" max="53" width="10.6640625" style="12" customWidth="1"/>
    <col min="54" max="54" width="12.33203125" style="12" bestFit="1" customWidth="1"/>
    <col min="55" max="16384" width="8.88671875" style="12"/>
  </cols>
  <sheetData>
    <row r="1" spans="1:53" ht="18" x14ac:dyDescent="0.35">
      <c r="C1" s="9" t="s">
        <v>763</v>
      </c>
      <c r="K1" s="14"/>
      <c r="L1" s="14"/>
      <c r="M1" s="14"/>
      <c r="N1" s="14"/>
      <c r="O1" s="14"/>
      <c r="Q1" s="15"/>
    </row>
    <row r="2" spans="1:53" ht="18" x14ac:dyDescent="0.35">
      <c r="C2" s="9"/>
      <c r="K2" s="15"/>
      <c r="L2" s="15"/>
      <c r="M2" s="15"/>
      <c r="N2" s="15"/>
      <c r="O2" s="15"/>
      <c r="Q2" s="15"/>
      <c r="S2" s="17"/>
    </row>
    <row r="3" spans="1:53" ht="15.6" x14ac:dyDescent="0.3">
      <c r="C3" s="8" t="s">
        <v>764</v>
      </c>
      <c r="K3" s="14"/>
      <c r="L3" s="14"/>
      <c r="M3" s="14"/>
      <c r="N3" s="14"/>
      <c r="O3" s="14"/>
      <c r="P3" s="14"/>
      <c r="Q3" s="15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3" hidden="1" outlineLevel="1" x14ac:dyDescent="0.3">
      <c r="C4" s="19"/>
      <c r="K4" s="15"/>
      <c r="L4" s="15"/>
      <c r="M4" s="15"/>
      <c r="N4" s="15"/>
      <c r="O4" s="15"/>
      <c r="P4" s="20">
        <v>0</v>
      </c>
      <c r="Q4" s="15"/>
      <c r="R4" s="21"/>
      <c r="S4" s="21"/>
      <c r="T4" s="21"/>
      <c r="U4" s="21"/>
      <c r="V4" s="21"/>
      <c r="W4" s="21"/>
      <c r="X4" s="21"/>
      <c r="Y4" s="21"/>
      <c r="Z4" s="21"/>
    </row>
    <row r="5" spans="1:53" s="22" customFormat="1" ht="57.6" collapsed="1" x14ac:dyDescent="0.3">
      <c r="B5" s="23" t="s">
        <v>749</v>
      </c>
      <c r="C5" s="24" t="s">
        <v>744</v>
      </c>
      <c r="D5" s="25" t="s">
        <v>725</v>
      </c>
      <c r="E5" s="24" t="s">
        <v>0</v>
      </c>
      <c r="F5" s="24" t="s">
        <v>1</v>
      </c>
      <c r="G5" s="24" t="s">
        <v>266</v>
      </c>
      <c r="H5" s="24" t="s">
        <v>265</v>
      </c>
      <c r="I5" s="24" t="s">
        <v>264</v>
      </c>
      <c r="J5" s="26" t="s">
        <v>800</v>
      </c>
      <c r="K5" s="27" t="s">
        <v>262</v>
      </c>
      <c r="L5" s="27" t="s">
        <v>746</v>
      </c>
      <c r="M5" s="27" t="s">
        <v>747</v>
      </c>
      <c r="N5" s="27" t="s">
        <v>125</v>
      </c>
      <c r="O5" s="27" t="s">
        <v>126</v>
      </c>
      <c r="P5" s="27" t="s">
        <v>127</v>
      </c>
      <c r="Q5" s="28" t="s">
        <v>2</v>
      </c>
      <c r="R5" s="25">
        <v>2025</v>
      </c>
      <c r="S5" s="25">
        <v>2026</v>
      </c>
      <c r="T5" s="25">
        <v>2027</v>
      </c>
      <c r="U5" s="25">
        <v>2028</v>
      </c>
      <c r="V5" s="25">
        <v>2029</v>
      </c>
      <c r="W5" s="25">
        <v>2030</v>
      </c>
      <c r="X5" s="25">
        <v>2031</v>
      </c>
      <c r="Y5" s="25">
        <v>2032</v>
      </c>
      <c r="Z5" s="25">
        <v>2033</v>
      </c>
      <c r="AA5" s="25">
        <v>2034</v>
      </c>
      <c r="AB5" s="25">
        <v>2035</v>
      </c>
      <c r="AC5" s="25">
        <v>2036</v>
      </c>
      <c r="AD5" s="25">
        <v>2037</v>
      </c>
      <c r="AE5" s="25">
        <v>2038</v>
      </c>
      <c r="AF5" s="25">
        <v>2039</v>
      </c>
      <c r="AG5" s="25">
        <v>2040</v>
      </c>
      <c r="AH5" s="25">
        <v>2041</v>
      </c>
      <c r="AI5" s="25">
        <v>2042</v>
      </c>
      <c r="AJ5" s="25">
        <v>2043</v>
      </c>
      <c r="AK5" s="25">
        <v>2044</v>
      </c>
      <c r="AL5" s="25">
        <v>2045</v>
      </c>
      <c r="AM5" s="25">
        <v>2046</v>
      </c>
      <c r="AN5" s="25">
        <v>2047</v>
      </c>
      <c r="AO5" s="25">
        <v>2048</v>
      </c>
      <c r="AP5" s="25">
        <v>2049</v>
      </c>
      <c r="AQ5" s="25">
        <v>2050</v>
      </c>
      <c r="AR5" s="25">
        <v>2051</v>
      </c>
      <c r="AS5" s="25">
        <v>2052</v>
      </c>
      <c r="AT5" s="25">
        <v>2053</v>
      </c>
      <c r="AU5" s="24" t="s">
        <v>745</v>
      </c>
      <c r="AV5" s="32"/>
      <c r="AW5" s="23" t="s">
        <v>870</v>
      </c>
      <c r="AX5" s="24" t="s">
        <v>871</v>
      </c>
    </row>
    <row r="6" spans="1:53" s="33" customFormat="1" outlineLevel="1" x14ac:dyDescent="0.3">
      <c r="B6" s="34" t="s">
        <v>750</v>
      </c>
      <c r="C6" s="35">
        <v>1</v>
      </c>
      <c r="D6" s="36" t="s">
        <v>801</v>
      </c>
      <c r="E6" s="37" t="s">
        <v>6</v>
      </c>
      <c r="F6" s="38" t="s">
        <v>7</v>
      </c>
      <c r="G6" s="38" t="s">
        <v>129</v>
      </c>
      <c r="H6" s="38" t="s">
        <v>130</v>
      </c>
      <c r="I6" s="38" t="s">
        <v>9</v>
      </c>
      <c r="J6" s="39">
        <v>2099988.0499999998</v>
      </c>
      <c r="K6" s="40">
        <v>1343825.59</v>
      </c>
      <c r="L6" s="40"/>
      <c r="M6" s="40"/>
      <c r="N6" s="36"/>
      <c r="O6" s="36"/>
      <c r="P6" s="36"/>
      <c r="Q6" s="41" t="s">
        <v>8</v>
      </c>
      <c r="R6" s="44">
        <v>97944.8</v>
      </c>
      <c r="S6" s="44">
        <v>97944.8</v>
      </c>
      <c r="T6" s="44">
        <v>97944.8</v>
      </c>
      <c r="U6" s="44">
        <v>97944.8</v>
      </c>
      <c r="V6" s="44">
        <v>97944.8</v>
      </c>
      <c r="W6" s="44">
        <v>97944.8</v>
      </c>
      <c r="X6" s="44">
        <v>97944.8</v>
      </c>
      <c r="Y6" s="44">
        <v>97944.8</v>
      </c>
      <c r="Z6" s="44">
        <v>113829.75999999999</v>
      </c>
      <c r="AA6" s="44">
        <v>113829.75999999999</v>
      </c>
      <c r="AB6" s="44">
        <v>113829.75999999999</v>
      </c>
      <c r="AC6" s="44">
        <v>71860.709999999992</v>
      </c>
      <c r="AD6" s="44">
        <v>0</v>
      </c>
      <c r="AE6" s="44">
        <v>0</v>
      </c>
      <c r="AF6" s="44">
        <v>0</v>
      </c>
      <c r="AG6" s="44">
        <v>0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>
        <v>0</v>
      </c>
      <c r="AO6" s="44">
        <v>0</v>
      </c>
      <c r="AP6" s="44">
        <v>0</v>
      </c>
      <c r="AQ6" s="44">
        <v>0</v>
      </c>
      <c r="AR6" s="44">
        <v>0</v>
      </c>
      <c r="AS6" s="44"/>
      <c r="AT6" s="44"/>
      <c r="AU6" s="45">
        <f>SUM(R6:AT6)</f>
        <v>1196908.3900000001</v>
      </c>
      <c r="AV6" s="46">
        <f>AU6-SUM(R6:AT6)</f>
        <v>0</v>
      </c>
      <c r="AW6" s="47">
        <f>SUM(Y6:AT6)</f>
        <v>511294.79000000004</v>
      </c>
      <c r="AX6" s="48">
        <f>SUM(R6:X6,AW6)</f>
        <v>1196908.3900000001</v>
      </c>
      <c r="AZ6" s="33" t="b">
        <f>AU6=AX6</f>
        <v>1</v>
      </c>
      <c r="BA6" s="49"/>
    </row>
    <row r="7" spans="1:53" outlineLevel="1" x14ac:dyDescent="0.3">
      <c r="B7" s="50" t="s">
        <v>750</v>
      </c>
      <c r="C7" s="51"/>
      <c r="D7" s="52" t="s">
        <v>802</v>
      </c>
      <c r="E7" s="53"/>
      <c r="F7" s="54"/>
      <c r="G7" s="54"/>
      <c r="H7" s="54"/>
      <c r="I7" s="54"/>
      <c r="J7" s="55"/>
      <c r="K7" s="55"/>
      <c r="L7" s="55" t="s">
        <v>128</v>
      </c>
      <c r="M7" s="55"/>
      <c r="N7" s="56">
        <f>SUM(O7:P7)</f>
        <v>4.0279999999999996</v>
      </c>
      <c r="O7" s="56">
        <v>4.0279999999999996</v>
      </c>
      <c r="P7" s="56">
        <f>$P$4</f>
        <v>0</v>
      </c>
      <c r="Q7" s="56" t="s">
        <v>10</v>
      </c>
      <c r="R7" s="59">
        <f>SUM(R6:$AR6)*$N7/100</f>
        <v>48211.469949200007</v>
      </c>
      <c r="S7" s="59">
        <f>SUM(S6:$AR6)*$N7/100</f>
        <v>44266.253405199997</v>
      </c>
      <c r="T7" s="59">
        <f>SUM(T6:$AR6)*$N7/100</f>
        <v>40321.036861199995</v>
      </c>
      <c r="U7" s="59">
        <f>SUM(U6:$AR6)*$N7/100</f>
        <v>36375.820317199992</v>
      </c>
      <c r="V7" s="59">
        <f>SUM(V6:$AR6)*$N7/100</f>
        <v>32430.603773199997</v>
      </c>
      <c r="W7" s="59">
        <f>SUM(W6:$AR6)*$N7/100</f>
        <v>28485.387229199998</v>
      </c>
      <c r="X7" s="59">
        <f>SUM(X6:$AR6)*$N7/100</f>
        <v>24540.170685199999</v>
      </c>
      <c r="Y7" s="59">
        <f>SUM(Y6:$AR6)*$N7/100</f>
        <v>20594.9541412</v>
      </c>
      <c r="Z7" s="59">
        <f>SUM(Z6:$AR6)*$N7/100</f>
        <v>16649.737597199997</v>
      </c>
      <c r="AA7" s="59">
        <f>SUM(AA6:$AR6)*$N7/100</f>
        <v>12064.674864399998</v>
      </c>
      <c r="AB7" s="59">
        <f>SUM(AB6:$AR6)*$N7/100</f>
        <v>7479.6121315999981</v>
      </c>
      <c r="AC7" s="59">
        <f>SUM(AC6:$AR6)*$N7/100</f>
        <v>2894.5493987999998</v>
      </c>
      <c r="AD7" s="59">
        <v>0</v>
      </c>
      <c r="AE7" s="59">
        <v>0</v>
      </c>
      <c r="AF7" s="59">
        <v>0</v>
      </c>
      <c r="AG7" s="59">
        <v>0</v>
      </c>
      <c r="AH7" s="59">
        <v>0</v>
      </c>
      <c r="AI7" s="59">
        <v>0</v>
      </c>
      <c r="AJ7" s="59">
        <v>0</v>
      </c>
      <c r="AK7" s="59">
        <v>0</v>
      </c>
      <c r="AL7" s="59">
        <v>0</v>
      </c>
      <c r="AM7" s="59">
        <v>0</v>
      </c>
      <c r="AN7" s="59">
        <v>0</v>
      </c>
      <c r="AO7" s="59">
        <v>0</v>
      </c>
      <c r="AP7" s="59">
        <v>0</v>
      </c>
      <c r="AQ7" s="59">
        <v>0</v>
      </c>
      <c r="AR7" s="59">
        <v>0</v>
      </c>
      <c r="AS7" s="59"/>
      <c r="AT7" s="59"/>
      <c r="AU7" s="60">
        <f t="shared" ref="AU7:AU68" si="0">SUM(R7:AT7)</f>
        <v>314314.27035359998</v>
      </c>
      <c r="AV7" s="46">
        <f t="shared" ref="AV7:AV68" si="1">AU7-SUM(R7:AT7)</f>
        <v>0</v>
      </c>
      <c r="AW7" s="61">
        <f t="shared" ref="AW7:AW68" si="2">SUM(Y7:AT7)</f>
        <v>59683.528133199994</v>
      </c>
      <c r="AX7" s="62">
        <f t="shared" ref="AX7:AX68" si="3">SUM(R7:X7,AW7)</f>
        <v>314314.27035359998</v>
      </c>
      <c r="AZ7" s="33" t="b">
        <f t="shared" ref="AZ7:AZ70" si="4">AU7=AX7</f>
        <v>1</v>
      </c>
    </row>
    <row r="8" spans="1:53" s="33" customFormat="1" outlineLevel="1" x14ac:dyDescent="0.3">
      <c r="B8" s="34" t="s">
        <v>750</v>
      </c>
      <c r="C8" s="35">
        <v>2</v>
      </c>
      <c r="D8" s="36" t="s">
        <v>801</v>
      </c>
      <c r="E8" s="37" t="s">
        <v>13</v>
      </c>
      <c r="F8" s="38" t="s">
        <v>14</v>
      </c>
      <c r="G8" s="38" t="s">
        <v>133</v>
      </c>
      <c r="H8" s="38" t="s">
        <v>132</v>
      </c>
      <c r="I8" s="38" t="s">
        <v>9</v>
      </c>
      <c r="J8" s="39">
        <v>6628759.9400000004</v>
      </c>
      <c r="K8" s="40">
        <v>3337088.24</v>
      </c>
      <c r="L8" s="40"/>
      <c r="M8" s="40"/>
      <c r="N8" s="41"/>
      <c r="O8" s="41"/>
      <c r="P8" s="41"/>
      <c r="Q8" s="41" t="s">
        <v>8</v>
      </c>
      <c r="R8" s="44">
        <v>392598.8</v>
      </c>
      <c r="S8" s="44">
        <v>392598.8</v>
      </c>
      <c r="T8" s="44">
        <v>392598.8</v>
      </c>
      <c r="U8" s="44">
        <v>392598.8</v>
      </c>
      <c r="V8" s="44">
        <v>392598.8</v>
      </c>
      <c r="W8" s="44">
        <v>392598.8</v>
      </c>
      <c r="X8" s="44">
        <v>392597.24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/>
      <c r="AT8" s="44"/>
      <c r="AU8" s="45">
        <f t="shared" si="0"/>
        <v>2748190.04</v>
      </c>
      <c r="AV8" s="46">
        <f t="shared" si="1"/>
        <v>0</v>
      </c>
      <c r="AW8" s="47">
        <f t="shared" si="2"/>
        <v>0</v>
      </c>
      <c r="AX8" s="48">
        <f t="shared" si="3"/>
        <v>2748190.04</v>
      </c>
      <c r="AZ8" s="33" t="b">
        <f t="shared" si="4"/>
        <v>1</v>
      </c>
      <c r="BA8" s="49"/>
    </row>
    <row r="9" spans="1:53" outlineLevel="1" x14ac:dyDescent="0.3">
      <c r="B9" s="50" t="s">
        <v>750</v>
      </c>
      <c r="C9" s="51"/>
      <c r="D9" s="52" t="s">
        <v>803</v>
      </c>
      <c r="E9" s="53"/>
      <c r="F9" s="54"/>
      <c r="G9" s="54"/>
      <c r="H9" s="54"/>
      <c r="I9" s="54"/>
      <c r="J9" s="55"/>
      <c r="K9" s="55"/>
      <c r="L9" s="63" t="s">
        <v>131</v>
      </c>
      <c r="M9" s="63"/>
      <c r="N9" s="56">
        <f t="shared" ref="N9:N69" si="5">SUM(O9:P9)</f>
        <v>3.5259999999999998</v>
      </c>
      <c r="O9" s="196">
        <v>3.5259999999999998</v>
      </c>
      <c r="P9" s="56">
        <f>$P$4</f>
        <v>0</v>
      </c>
      <c r="Q9" s="56" t="s">
        <v>10</v>
      </c>
      <c r="R9" s="59">
        <f>SUM(R8:$AR8)*$N9/100</f>
        <v>96901.180810399994</v>
      </c>
      <c r="S9" s="59">
        <f>SUM(S8:$AR8)*$N9/100</f>
        <v>83058.147122399998</v>
      </c>
      <c r="T9" s="59">
        <f>SUM(T8:$AR8)*$N9/100</f>
        <v>69215.113434399987</v>
      </c>
      <c r="U9" s="59">
        <f>SUM(U8:$AR8)*$N9/100</f>
        <v>55372.079746399999</v>
      </c>
      <c r="V9" s="59">
        <f>SUM(V8:$AR8)*$N9/100</f>
        <v>41529.046058399996</v>
      </c>
      <c r="W9" s="59">
        <f>SUM(W8:$AR8)*$N9/100</f>
        <v>27686.0123704</v>
      </c>
      <c r="X9" s="59">
        <f>SUM(X8:$AR8)*$N9/100</f>
        <v>13842.9786824</v>
      </c>
      <c r="Y9" s="59">
        <f>SUM(Y8:$AR8)*$N9/100</f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/>
      <c r="AT9" s="59"/>
      <c r="AU9" s="60">
        <f t="shared" si="0"/>
        <v>387604.55822480004</v>
      </c>
      <c r="AV9" s="46">
        <f t="shared" si="1"/>
        <v>0</v>
      </c>
      <c r="AW9" s="61">
        <f t="shared" si="2"/>
        <v>0</v>
      </c>
      <c r="AX9" s="62">
        <f t="shared" si="3"/>
        <v>387604.55822480004</v>
      </c>
      <c r="AZ9" s="33" t="b">
        <f t="shared" si="4"/>
        <v>1</v>
      </c>
    </row>
    <row r="10" spans="1:53" s="33" customFormat="1" outlineLevel="1" x14ac:dyDescent="0.3">
      <c r="A10" s="33" t="s">
        <v>781</v>
      </c>
      <c r="B10" s="34" t="s">
        <v>750</v>
      </c>
      <c r="C10" s="35">
        <v>3</v>
      </c>
      <c r="D10" s="36" t="s">
        <v>804</v>
      </c>
      <c r="E10" s="37" t="s">
        <v>15</v>
      </c>
      <c r="F10" s="38" t="s">
        <v>16</v>
      </c>
      <c r="G10" s="38" t="s">
        <v>136</v>
      </c>
      <c r="H10" s="38" t="s">
        <v>135</v>
      </c>
      <c r="I10" s="38" t="s">
        <v>9</v>
      </c>
      <c r="J10" s="39">
        <v>871076.43</v>
      </c>
      <c r="K10" s="40">
        <v>453250.01</v>
      </c>
      <c r="L10" s="40"/>
      <c r="M10" s="40"/>
      <c r="N10" s="41"/>
      <c r="O10" s="41"/>
      <c r="P10" s="41"/>
      <c r="Q10" s="41" t="s">
        <v>8</v>
      </c>
      <c r="R10" s="44">
        <v>53323.56</v>
      </c>
      <c r="S10" s="44">
        <v>53323.56</v>
      </c>
      <c r="T10" s="44">
        <v>53323.56</v>
      </c>
      <c r="U10" s="44">
        <v>53323.56</v>
      </c>
      <c r="V10" s="44">
        <v>53323.56</v>
      </c>
      <c r="W10" s="44">
        <v>53323.56</v>
      </c>
      <c r="X10" s="44">
        <v>51223.4</v>
      </c>
      <c r="Y10" s="44">
        <v>2099.91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/>
      <c r="AT10" s="44"/>
      <c r="AU10" s="45">
        <f t="shared" si="0"/>
        <v>373264.67</v>
      </c>
      <c r="AV10" s="46">
        <f t="shared" si="1"/>
        <v>0</v>
      </c>
      <c r="AW10" s="47">
        <f t="shared" si="2"/>
        <v>2099.91</v>
      </c>
      <c r="AX10" s="48">
        <f t="shared" si="3"/>
        <v>373264.67</v>
      </c>
      <c r="AZ10" s="33" t="b">
        <f t="shared" si="4"/>
        <v>1</v>
      </c>
      <c r="BA10" s="49"/>
    </row>
    <row r="11" spans="1:53" outlineLevel="1" x14ac:dyDescent="0.3">
      <c r="A11" s="33" t="s">
        <v>781</v>
      </c>
      <c r="B11" s="50" t="s">
        <v>750</v>
      </c>
      <c r="C11" s="51"/>
      <c r="D11" s="52" t="s">
        <v>805</v>
      </c>
      <c r="E11" s="53"/>
      <c r="F11" s="54"/>
      <c r="G11" s="54"/>
      <c r="H11" s="54"/>
      <c r="I11" s="54"/>
      <c r="J11" s="55"/>
      <c r="K11" s="55"/>
      <c r="L11" s="55" t="s">
        <v>134</v>
      </c>
      <c r="M11" s="55"/>
      <c r="N11" s="56">
        <f t="shared" si="5"/>
        <v>3.9790000000000001</v>
      </c>
      <c r="O11" s="196">
        <v>3.9790000000000001</v>
      </c>
      <c r="P11" s="56">
        <f>$P$4</f>
        <v>0</v>
      </c>
      <c r="Q11" s="56" t="s">
        <v>10</v>
      </c>
      <c r="R11" s="59">
        <v>15376.41</v>
      </c>
      <c r="S11" s="59">
        <v>13137.43</v>
      </c>
      <c r="T11" s="59">
        <v>10896.919999999998</v>
      </c>
      <c r="U11" s="59">
        <v>8679.44</v>
      </c>
      <c r="V11" s="59">
        <v>6409.7699999999995</v>
      </c>
      <c r="W11" s="59">
        <v>4166.21</v>
      </c>
      <c r="X11" s="59">
        <v>1941.92</v>
      </c>
      <c r="Y11" s="59">
        <v>173.87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59">
        <v>0</v>
      </c>
      <c r="AF11" s="59">
        <v>0</v>
      </c>
      <c r="AG11" s="59">
        <v>0</v>
      </c>
      <c r="AH11" s="59">
        <v>0</v>
      </c>
      <c r="AI11" s="59">
        <v>0</v>
      </c>
      <c r="AJ11" s="59">
        <v>0</v>
      </c>
      <c r="AK11" s="59">
        <v>0</v>
      </c>
      <c r="AL11" s="59">
        <v>0</v>
      </c>
      <c r="AM11" s="59">
        <v>0</v>
      </c>
      <c r="AN11" s="59">
        <v>0</v>
      </c>
      <c r="AO11" s="59">
        <v>0</v>
      </c>
      <c r="AP11" s="59">
        <v>0</v>
      </c>
      <c r="AQ11" s="59">
        <v>0</v>
      </c>
      <c r="AR11" s="59">
        <v>0</v>
      </c>
      <c r="AS11" s="59"/>
      <c r="AT11" s="59"/>
      <c r="AU11" s="60">
        <f t="shared" si="0"/>
        <v>60781.969999999994</v>
      </c>
      <c r="AV11" s="46">
        <f t="shared" si="1"/>
        <v>0</v>
      </c>
      <c r="AW11" s="61">
        <f t="shared" si="2"/>
        <v>173.87</v>
      </c>
      <c r="AX11" s="62">
        <f t="shared" si="3"/>
        <v>60781.969999999994</v>
      </c>
      <c r="AZ11" s="33" t="b">
        <f t="shared" si="4"/>
        <v>1</v>
      </c>
    </row>
    <row r="12" spans="1:53" s="33" customFormat="1" outlineLevel="1" x14ac:dyDescent="0.3">
      <c r="B12" s="34" t="s">
        <v>750</v>
      </c>
      <c r="C12" s="35">
        <v>4</v>
      </c>
      <c r="D12" s="36" t="s">
        <v>806</v>
      </c>
      <c r="E12" s="37" t="s">
        <v>19</v>
      </c>
      <c r="F12" s="38" t="s">
        <v>20</v>
      </c>
      <c r="G12" s="38" t="s">
        <v>142</v>
      </c>
      <c r="H12" s="38" t="s">
        <v>141</v>
      </c>
      <c r="I12" s="38" t="s">
        <v>9</v>
      </c>
      <c r="J12" s="39">
        <v>1925611</v>
      </c>
      <c r="K12" s="40">
        <v>1195236</v>
      </c>
      <c r="L12" s="40"/>
      <c r="M12" s="40"/>
      <c r="N12" s="41"/>
      <c r="O12" s="41"/>
      <c r="P12" s="41"/>
      <c r="Q12" s="41" t="s">
        <v>8</v>
      </c>
      <c r="R12" s="44">
        <v>132804</v>
      </c>
      <c r="S12" s="44">
        <v>132804</v>
      </c>
      <c r="T12" s="44">
        <v>132804</v>
      </c>
      <c r="U12" s="44">
        <v>132804</v>
      </c>
      <c r="V12" s="44">
        <v>132804</v>
      </c>
      <c r="W12" s="44">
        <v>132804</v>
      </c>
      <c r="X12" s="44">
        <v>132804</v>
      </c>
      <c r="Y12" s="44">
        <v>66402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/>
      <c r="AT12" s="44"/>
      <c r="AU12" s="45">
        <f t="shared" si="0"/>
        <v>996030</v>
      </c>
      <c r="AV12" s="46">
        <f t="shared" si="1"/>
        <v>0</v>
      </c>
      <c r="AW12" s="47">
        <f t="shared" si="2"/>
        <v>66402</v>
      </c>
      <c r="AX12" s="48">
        <f t="shared" si="3"/>
        <v>996030</v>
      </c>
      <c r="AZ12" s="33" t="b">
        <f t="shared" si="4"/>
        <v>1</v>
      </c>
      <c r="BA12" s="12"/>
    </row>
    <row r="13" spans="1:53" outlineLevel="1" x14ac:dyDescent="0.3">
      <c r="B13" s="50" t="s">
        <v>750</v>
      </c>
      <c r="C13" s="51"/>
      <c r="D13" s="52" t="s">
        <v>807</v>
      </c>
      <c r="E13" s="53"/>
      <c r="F13" s="54"/>
      <c r="G13" s="54"/>
      <c r="H13" s="54"/>
      <c r="I13" s="54"/>
      <c r="J13" s="55"/>
      <c r="K13" s="55"/>
      <c r="L13" s="55" t="s">
        <v>140</v>
      </c>
      <c r="M13" s="55"/>
      <c r="N13" s="56">
        <f t="shared" si="5"/>
        <v>3.9729999999999999</v>
      </c>
      <c r="O13" s="56">
        <v>3.9729999999999999</v>
      </c>
      <c r="P13" s="56">
        <f>$P$4</f>
        <v>0</v>
      </c>
      <c r="Q13" s="56" t="s">
        <v>10</v>
      </c>
      <c r="R13" s="59">
        <f>SUM(R12:$AR12)*$N13/100</f>
        <v>39572.2719</v>
      </c>
      <c r="S13" s="59">
        <f>SUM(S12:$AR12)*$N13/100</f>
        <v>34295.968979999998</v>
      </c>
      <c r="T13" s="59">
        <f>SUM(T12:$AR12)*$N13/100</f>
        <v>29019.666059999996</v>
      </c>
      <c r="U13" s="59">
        <f>SUM(U12:$AR12)*$N13/100</f>
        <v>23743.363139999998</v>
      </c>
      <c r="V13" s="59">
        <f>SUM(V12:$AR12)*$N13/100</f>
        <v>18467.060219999999</v>
      </c>
      <c r="W13" s="59">
        <f>SUM(W12:$AR12)*$N13/100</f>
        <v>13190.757299999999</v>
      </c>
      <c r="X13" s="59">
        <f>SUM(X12:$AR12)*$N13/100</f>
        <v>7914.4543799999992</v>
      </c>
      <c r="Y13" s="59">
        <f>SUM(Y12:$AR12)*$N13/100</f>
        <v>2638.15146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9">
        <v>0</v>
      </c>
      <c r="AG13" s="59">
        <v>0</v>
      </c>
      <c r="AH13" s="59">
        <v>0</v>
      </c>
      <c r="AI13" s="59">
        <v>0</v>
      </c>
      <c r="AJ13" s="59">
        <v>0</v>
      </c>
      <c r="AK13" s="59">
        <v>0</v>
      </c>
      <c r="AL13" s="59">
        <v>0</v>
      </c>
      <c r="AM13" s="59">
        <v>0</v>
      </c>
      <c r="AN13" s="59">
        <v>0</v>
      </c>
      <c r="AO13" s="59">
        <v>0</v>
      </c>
      <c r="AP13" s="59">
        <v>0</v>
      </c>
      <c r="AQ13" s="59">
        <v>0</v>
      </c>
      <c r="AR13" s="59">
        <v>0</v>
      </c>
      <c r="AS13" s="59"/>
      <c r="AT13" s="59"/>
      <c r="AU13" s="60">
        <f t="shared" si="0"/>
        <v>168841.69343999997</v>
      </c>
      <c r="AV13" s="46">
        <f t="shared" si="1"/>
        <v>0</v>
      </c>
      <c r="AW13" s="61">
        <f t="shared" si="2"/>
        <v>2638.15146</v>
      </c>
      <c r="AX13" s="62">
        <f t="shared" si="3"/>
        <v>168841.69343999997</v>
      </c>
      <c r="AZ13" s="33" t="b">
        <f t="shared" si="4"/>
        <v>1</v>
      </c>
    </row>
    <row r="14" spans="1:53" s="33" customFormat="1" outlineLevel="1" x14ac:dyDescent="0.3">
      <c r="B14" s="34" t="s">
        <v>750</v>
      </c>
      <c r="C14" s="35">
        <v>5</v>
      </c>
      <c r="D14" s="36" t="s">
        <v>806</v>
      </c>
      <c r="E14" s="37" t="s">
        <v>21</v>
      </c>
      <c r="F14" s="38" t="s">
        <v>22</v>
      </c>
      <c r="G14" s="38" t="s">
        <v>144</v>
      </c>
      <c r="H14" s="38" t="s">
        <v>143</v>
      </c>
      <c r="I14" s="38" t="s">
        <v>9</v>
      </c>
      <c r="J14" s="39">
        <v>154450.12</v>
      </c>
      <c r="K14" s="40">
        <v>96866</v>
      </c>
      <c r="L14" s="40"/>
      <c r="M14" s="40"/>
      <c r="N14" s="41"/>
      <c r="O14" s="41"/>
      <c r="P14" s="41"/>
      <c r="Q14" s="41" t="s">
        <v>8</v>
      </c>
      <c r="R14" s="44">
        <v>10472</v>
      </c>
      <c r="S14" s="44">
        <v>10472</v>
      </c>
      <c r="T14" s="44">
        <v>10472</v>
      </c>
      <c r="U14" s="44">
        <v>10472</v>
      </c>
      <c r="V14" s="44">
        <v>10472</v>
      </c>
      <c r="W14" s="44">
        <v>10472</v>
      </c>
      <c r="X14" s="44">
        <v>10472</v>
      </c>
      <c r="Y14" s="44">
        <v>7854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/>
      <c r="AT14" s="44"/>
      <c r="AU14" s="45">
        <f t="shared" si="0"/>
        <v>81158</v>
      </c>
      <c r="AV14" s="46">
        <f t="shared" si="1"/>
        <v>0</v>
      </c>
      <c r="AW14" s="47">
        <f t="shared" si="2"/>
        <v>7854</v>
      </c>
      <c r="AX14" s="48">
        <f t="shared" si="3"/>
        <v>81158</v>
      </c>
      <c r="AZ14" s="33" t="b">
        <f t="shared" si="4"/>
        <v>1</v>
      </c>
      <c r="BA14" s="49"/>
    </row>
    <row r="15" spans="1:53" outlineLevel="1" x14ac:dyDescent="0.3">
      <c r="B15" s="50" t="s">
        <v>750</v>
      </c>
      <c r="C15" s="51"/>
      <c r="D15" s="52" t="s">
        <v>808</v>
      </c>
      <c r="E15" s="53"/>
      <c r="F15" s="54"/>
      <c r="G15" s="54"/>
      <c r="H15" s="54"/>
      <c r="I15" s="54"/>
      <c r="J15" s="55"/>
      <c r="K15" s="55"/>
      <c r="L15" s="55" t="s">
        <v>724</v>
      </c>
      <c r="M15" s="55"/>
      <c r="N15" s="56">
        <f t="shared" si="5"/>
        <v>3.6560000000000001</v>
      </c>
      <c r="O15" s="56">
        <v>3.6560000000000001</v>
      </c>
      <c r="P15" s="56">
        <f>$P$4</f>
        <v>0</v>
      </c>
      <c r="Q15" s="56" t="s">
        <v>10</v>
      </c>
      <c r="R15" s="59">
        <f>SUM(R14:$AR14)*$N15/100</f>
        <v>2967.1364799999997</v>
      </c>
      <c r="S15" s="59">
        <f>SUM(S14:$AR14)*$N15/100</f>
        <v>2584.2801600000003</v>
      </c>
      <c r="T15" s="59">
        <f>SUM(T14:$AR14)*$N15/100</f>
        <v>2201.4238400000004</v>
      </c>
      <c r="U15" s="59">
        <f>SUM(U14:$AR14)*$N15/100</f>
        <v>1818.5675200000001</v>
      </c>
      <c r="V15" s="59">
        <f>SUM(V14:$AR14)*$N15/100</f>
        <v>1435.7112</v>
      </c>
      <c r="W15" s="59">
        <f>SUM(W14:$AR14)*$N15/100</f>
        <v>1052.8548799999999</v>
      </c>
      <c r="X15" s="59">
        <f>SUM(X14:$AR14)*$N15/100</f>
        <v>669.99856</v>
      </c>
      <c r="Y15" s="59">
        <f>SUM(Y14:$AR14)*$N15/100</f>
        <v>287.14224000000002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9">
        <v>0</v>
      </c>
      <c r="AO15" s="59">
        <v>0</v>
      </c>
      <c r="AP15" s="59">
        <v>0</v>
      </c>
      <c r="AQ15" s="59">
        <v>0</v>
      </c>
      <c r="AR15" s="59">
        <v>0</v>
      </c>
      <c r="AS15" s="59"/>
      <c r="AT15" s="59"/>
      <c r="AU15" s="60">
        <f t="shared" si="0"/>
        <v>13017.114879999999</v>
      </c>
      <c r="AV15" s="46">
        <f t="shared" si="1"/>
        <v>0</v>
      </c>
      <c r="AW15" s="61">
        <f t="shared" si="2"/>
        <v>287.14224000000002</v>
      </c>
      <c r="AX15" s="62">
        <f t="shared" si="3"/>
        <v>13017.114879999999</v>
      </c>
      <c r="AZ15" s="33" t="b">
        <f t="shared" si="4"/>
        <v>1</v>
      </c>
    </row>
    <row r="16" spans="1:53" s="33" customFormat="1" outlineLevel="1" x14ac:dyDescent="0.3">
      <c r="B16" s="34" t="s">
        <v>750</v>
      </c>
      <c r="C16" s="35">
        <v>6</v>
      </c>
      <c r="D16" s="36" t="s">
        <v>809</v>
      </c>
      <c r="E16" s="37" t="s">
        <v>23</v>
      </c>
      <c r="F16" s="38" t="s">
        <v>24</v>
      </c>
      <c r="G16" s="38" t="s">
        <v>147</v>
      </c>
      <c r="H16" s="38" t="s">
        <v>146</v>
      </c>
      <c r="I16" s="38" t="s">
        <v>9</v>
      </c>
      <c r="J16" s="39">
        <v>11123368</v>
      </c>
      <c r="K16" s="40">
        <v>9499600</v>
      </c>
      <c r="L16" s="40"/>
      <c r="M16" s="40"/>
      <c r="N16" s="41"/>
      <c r="O16" s="41"/>
      <c r="P16" s="41"/>
      <c r="Q16" s="41" t="s">
        <v>8</v>
      </c>
      <c r="R16" s="44">
        <v>379984</v>
      </c>
      <c r="S16" s="44">
        <v>379984</v>
      </c>
      <c r="T16" s="44">
        <v>379984</v>
      </c>
      <c r="U16" s="44">
        <v>379984</v>
      </c>
      <c r="V16" s="44">
        <v>379984</v>
      </c>
      <c r="W16" s="44">
        <v>379984</v>
      </c>
      <c r="X16" s="44">
        <v>379984</v>
      </c>
      <c r="Y16" s="44">
        <v>379984</v>
      </c>
      <c r="Z16" s="44">
        <v>379984</v>
      </c>
      <c r="AA16" s="44">
        <v>379984</v>
      </c>
      <c r="AB16" s="44">
        <v>379984</v>
      </c>
      <c r="AC16" s="44">
        <v>379984</v>
      </c>
      <c r="AD16" s="44">
        <v>379984</v>
      </c>
      <c r="AE16" s="44">
        <v>379984</v>
      </c>
      <c r="AF16" s="44">
        <v>379984</v>
      </c>
      <c r="AG16" s="44">
        <v>379984</v>
      </c>
      <c r="AH16" s="44">
        <v>379984</v>
      </c>
      <c r="AI16" s="44">
        <v>379984</v>
      </c>
      <c r="AJ16" s="44">
        <v>379984</v>
      </c>
      <c r="AK16" s="44">
        <v>379984</v>
      </c>
      <c r="AL16" s="44">
        <v>379984</v>
      </c>
      <c r="AM16" s="44">
        <v>379984</v>
      </c>
      <c r="AN16" s="44">
        <v>379984</v>
      </c>
      <c r="AO16" s="44">
        <v>189992</v>
      </c>
      <c r="AP16" s="44">
        <v>0</v>
      </c>
      <c r="AQ16" s="44">
        <v>0</v>
      </c>
      <c r="AR16" s="44">
        <v>0</v>
      </c>
      <c r="AS16" s="44"/>
      <c r="AT16" s="44"/>
      <c r="AU16" s="45">
        <f t="shared" si="0"/>
        <v>8929624</v>
      </c>
      <c r="AV16" s="46">
        <f t="shared" si="1"/>
        <v>0</v>
      </c>
      <c r="AW16" s="47">
        <f t="shared" si="2"/>
        <v>6269736</v>
      </c>
      <c r="AX16" s="48">
        <f t="shared" si="3"/>
        <v>8929624</v>
      </c>
      <c r="AZ16" s="33" t="b">
        <f t="shared" si="4"/>
        <v>1</v>
      </c>
      <c r="BA16" s="49"/>
    </row>
    <row r="17" spans="2:53" outlineLevel="1" x14ac:dyDescent="0.3">
      <c r="B17" s="50" t="s">
        <v>750</v>
      </c>
      <c r="C17" s="51"/>
      <c r="D17" s="52" t="s">
        <v>810</v>
      </c>
      <c r="E17" s="53"/>
      <c r="F17" s="54"/>
      <c r="G17" s="54"/>
      <c r="H17" s="54"/>
      <c r="I17" s="54"/>
      <c r="J17" s="55"/>
      <c r="K17" s="55"/>
      <c r="L17" s="55" t="s">
        <v>145</v>
      </c>
      <c r="M17" s="55"/>
      <c r="N17" s="56">
        <f t="shared" si="5"/>
        <v>4.0919999999999996</v>
      </c>
      <c r="O17" s="56">
        <v>4.0919999999999996</v>
      </c>
      <c r="P17" s="56">
        <f>$P$4</f>
        <v>0</v>
      </c>
      <c r="Q17" s="56" t="s">
        <v>10</v>
      </c>
      <c r="R17" s="59">
        <f>SUM(R16:$AR16)*$N17/100</f>
        <v>365400.21408000001</v>
      </c>
      <c r="S17" s="59">
        <f>SUM(S16:$AR16)*$N17/100</f>
        <v>349851.26879999996</v>
      </c>
      <c r="T17" s="59">
        <f>SUM(T16:$AR16)*$N17/100</f>
        <v>334302.32351999998</v>
      </c>
      <c r="U17" s="59">
        <f>SUM(U16:$AR16)*$N17/100</f>
        <v>318753.37823999999</v>
      </c>
      <c r="V17" s="59">
        <f>SUM(V16:$AR16)*$N17/100</f>
        <v>303204.43295999995</v>
      </c>
      <c r="W17" s="59">
        <f>SUM(W16:$AR16)*$N17/100</f>
        <v>287655.48768000002</v>
      </c>
      <c r="X17" s="59">
        <f>SUM(X16:$AR16)*$N17/100</f>
        <v>272106.54239999998</v>
      </c>
      <c r="Y17" s="59">
        <f>SUM(Y16:$AR16)*$N17/100</f>
        <v>256557.59711999996</v>
      </c>
      <c r="Z17" s="59">
        <f>SUM(Z16:$AR16)*$N17/100</f>
        <v>241008.65183999998</v>
      </c>
      <c r="AA17" s="59">
        <f>SUM(AA16:$AR16)*$N17/100</f>
        <v>225459.70655999999</v>
      </c>
      <c r="AB17" s="59">
        <f>SUM(AB16:$AR16)*$N17/100</f>
        <v>209910.76127999998</v>
      </c>
      <c r="AC17" s="59">
        <f>SUM(AC16:$AR16)*$N17/100</f>
        <v>194361.81599999999</v>
      </c>
      <c r="AD17" s="59">
        <f>SUM(AD16:$AR16)*$N17/100</f>
        <v>178812.87071999998</v>
      </c>
      <c r="AE17" s="59">
        <f>SUM(AE16:$AR16)*$N17/100</f>
        <v>163263.92543999999</v>
      </c>
      <c r="AF17" s="59">
        <f>SUM(AF16:$AR16)*$N17/100</f>
        <v>147714.98015999998</v>
      </c>
      <c r="AG17" s="59">
        <f>SUM(AG16:$AR16)*$N17/100</f>
        <v>132166.03487999999</v>
      </c>
      <c r="AH17" s="59">
        <f>SUM(AH16:$AR16)*$N17/100</f>
        <v>116617.08959999999</v>
      </c>
      <c r="AI17" s="59">
        <f>SUM(AI16:$AR16)*$N17/100</f>
        <v>101068.14432000001</v>
      </c>
      <c r="AJ17" s="59">
        <f>SUM(AJ16:$AR16)*$N17/100</f>
        <v>85519.199039999992</v>
      </c>
      <c r="AK17" s="59">
        <f>SUM(AK16:$AR16)*$N17/100</f>
        <v>69970.253759999992</v>
      </c>
      <c r="AL17" s="59">
        <f>SUM(AL16:$AR16)*$N17/100</f>
        <v>54421.308479999992</v>
      </c>
      <c r="AM17" s="59">
        <f>SUM(AM16:$AR16)*$N17/100</f>
        <v>38872.3632</v>
      </c>
      <c r="AN17" s="59">
        <f>SUM(AN16:$AR16)*$N17/100</f>
        <v>23323.41792</v>
      </c>
      <c r="AO17" s="59">
        <f>SUM(AO16:$AR16)*$N17/100</f>
        <v>7774.47264</v>
      </c>
      <c r="AP17" s="59">
        <v>0</v>
      </c>
      <c r="AQ17" s="59">
        <v>0</v>
      </c>
      <c r="AR17" s="59">
        <v>0</v>
      </c>
      <c r="AS17" s="59"/>
      <c r="AT17" s="59"/>
      <c r="AU17" s="60">
        <f t="shared" si="0"/>
        <v>4478096.2406400004</v>
      </c>
      <c r="AV17" s="46">
        <f t="shared" si="1"/>
        <v>0</v>
      </c>
      <c r="AW17" s="61">
        <f t="shared" si="2"/>
        <v>2246822.59296</v>
      </c>
      <c r="AX17" s="62">
        <f t="shared" si="3"/>
        <v>4478096.2406399995</v>
      </c>
      <c r="AZ17" s="33" t="b">
        <f t="shared" si="4"/>
        <v>1</v>
      </c>
    </row>
    <row r="18" spans="2:53" s="33" customFormat="1" outlineLevel="1" x14ac:dyDescent="0.3">
      <c r="B18" s="34" t="s">
        <v>751</v>
      </c>
      <c r="C18" s="35">
        <v>7</v>
      </c>
      <c r="D18" s="36" t="s">
        <v>811</v>
      </c>
      <c r="E18" s="37" t="s">
        <v>25</v>
      </c>
      <c r="F18" s="38" t="s">
        <v>26</v>
      </c>
      <c r="G18" s="38" t="s">
        <v>150</v>
      </c>
      <c r="H18" s="38" t="s">
        <v>149</v>
      </c>
      <c r="I18" s="38" t="s">
        <v>9</v>
      </c>
      <c r="J18" s="39">
        <v>484935.32</v>
      </c>
      <c r="K18" s="40">
        <v>299602</v>
      </c>
      <c r="L18" s="40"/>
      <c r="M18" s="40"/>
      <c r="N18" s="41"/>
      <c r="O18" s="41"/>
      <c r="P18" s="41"/>
      <c r="Q18" s="41" t="s">
        <v>8</v>
      </c>
      <c r="R18" s="44">
        <v>20312</v>
      </c>
      <c r="S18" s="44">
        <v>20312</v>
      </c>
      <c r="T18" s="44">
        <v>20312</v>
      </c>
      <c r="U18" s="44">
        <v>20312</v>
      </c>
      <c r="V18" s="44">
        <v>20312</v>
      </c>
      <c r="W18" s="44">
        <v>20312</v>
      </c>
      <c r="X18" s="44">
        <v>20312</v>
      </c>
      <c r="Y18" s="44">
        <v>20312</v>
      </c>
      <c r="Z18" s="44">
        <v>20312</v>
      </c>
      <c r="AA18" s="44">
        <v>20312</v>
      </c>
      <c r="AB18" s="44">
        <v>20312</v>
      </c>
      <c r="AC18" s="44">
        <v>20312</v>
      </c>
      <c r="AD18" s="44">
        <v>20312</v>
      </c>
      <c r="AE18" s="44">
        <v>5078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/>
      <c r="AT18" s="44"/>
      <c r="AU18" s="45">
        <f t="shared" si="0"/>
        <v>269134</v>
      </c>
      <c r="AV18" s="46">
        <f t="shared" si="1"/>
        <v>0</v>
      </c>
      <c r="AW18" s="47">
        <f t="shared" si="2"/>
        <v>126950</v>
      </c>
      <c r="AX18" s="48">
        <f t="shared" si="3"/>
        <v>269134</v>
      </c>
      <c r="AZ18" s="33" t="b">
        <f t="shared" si="4"/>
        <v>1</v>
      </c>
      <c r="BA18" s="49"/>
    </row>
    <row r="19" spans="2:53" outlineLevel="1" x14ac:dyDescent="0.3">
      <c r="B19" s="50" t="s">
        <v>751</v>
      </c>
      <c r="C19" s="51"/>
      <c r="D19" s="52" t="s">
        <v>812</v>
      </c>
      <c r="E19" s="53"/>
      <c r="F19" s="54"/>
      <c r="G19" s="54"/>
      <c r="H19" s="54"/>
      <c r="I19" s="54"/>
      <c r="J19" s="55"/>
      <c r="K19" s="55"/>
      <c r="L19" s="55" t="s">
        <v>148</v>
      </c>
      <c r="M19" s="55"/>
      <c r="N19" s="56">
        <f t="shared" si="5"/>
        <v>3.9969999999999999</v>
      </c>
      <c r="O19" s="198">
        <v>3.9969999999999999</v>
      </c>
      <c r="P19" s="56">
        <f>$P$4</f>
        <v>0</v>
      </c>
      <c r="Q19" s="56" t="s">
        <v>10</v>
      </c>
      <c r="R19" s="59">
        <f>SUM(R18:$AR18)*$N19/100</f>
        <v>10757.285980000001</v>
      </c>
      <c r="S19" s="59">
        <f>SUM(S18:$AR18)*$N19/100</f>
        <v>9945.4153399999996</v>
      </c>
      <c r="T19" s="59">
        <f>SUM(T18:$AR18)*$N19/100</f>
        <v>9133.5447000000004</v>
      </c>
      <c r="U19" s="59">
        <f>SUM(U18:$AR18)*$N19/100</f>
        <v>8321.6740599999994</v>
      </c>
      <c r="V19" s="59">
        <f>SUM(V18:$AR18)*$N19/100</f>
        <v>7509.8034199999993</v>
      </c>
      <c r="W19" s="59">
        <f>SUM(W18:$AR18)*$N19/100</f>
        <v>6697.9327799999992</v>
      </c>
      <c r="X19" s="59">
        <f>SUM(X18:$AR18)*$N19/100</f>
        <v>5886.06214</v>
      </c>
      <c r="Y19" s="59">
        <f>SUM(Y18:$AR18)*$N19/100</f>
        <v>5074.1914999999999</v>
      </c>
      <c r="Z19" s="59">
        <f>SUM(Z18:$AR18)*$N19/100</f>
        <v>4262.3208599999998</v>
      </c>
      <c r="AA19" s="59">
        <f>SUM(AA18:$AR18)*$N19/100</f>
        <v>3450.4502200000002</v>
      </c>
      <c r="AB19" s="59">
        <f>SUM(AB18:$AR18)*$N19/100</f>
        <v>2638.5795799999996</v>
      </c>
      <c r="AC19" s="59">
        <f>SUM(AC18:$AR18)*$N19/100</f>
        <v>1826.70894</v>
      </c>
      <c r="AD19" s="59">
        <f>SUM(AD18:$AR18)*$N19/100</f>
        <v>1014.8383</v>
      </c>
      <c r="AE19" s="59">
        <f>SUM(AE18:$AR18)*$N19/100</f>
        <v>202.96766</v>
      </c>
      <c r="AF19" s="59">
        <v>0</v>
      </c>
      <c r="AG19" s="59">
        <v>0</v>
      </c>
      <c r="AH19" s="59">
        <v>0</v>
      </c>
      <c r="AI19" s="59">
        <v>0</v>
      </c>
      <c r="AJ19" s="59">
        <v>0</v>
      </c>
      <c r="AK19" s="59">
        <v>0</v>
      </c>
      <c r="AL19" s="59">
        <v>0</v>
      </c>
      <c r="AM19" s="59">
        <v>0</v>
      </c>
      <c r="AN19" s="59">
        <v>0</v>
      </c>
      <c r="AO19" s="59">
        <v>0</v>
      </c>
      <c r="AP19" s="59">
        <v>0</v>
      </c>
      <c r="AQ19" s="59">
        <v>0</v>
      </c>
      <c r="AR19" s="59">
        <v>0</v>
      </c>
      <c r="AS19" s="59"/>
      <c r="AT19" s="59"/>
      <c r="AU19" s="60">
        <f t="shared" si="0"/>
        <v>76721.775479999997</v>
      </c>
      <c r="AV19" s="46">
        <f t="shared" si="1"/>
        <v>0</v>
      </c>
      <c r="AW19" s="61">
        <f t="shared" si="2"/>
        <v>18470.057059999999</v>
      </c>
      <c r="AX19" s="62">
        <f t="shared" si="3"/>
        <v>76721.775479999997</v>
      </c>
      <c r="AZ19" s="33" t="b">
        <f t="shared" si="4"/>
        <v>1</v>
      </c>
    </row>
    <row r="20" spans="2:53" s="33" customFormat="1" outlineLevel="1" x14ac:dyDescent="0.3">
      <c r="B20" s="34" t="s">
        <v>751</v>
      </c>
      <c r="C20" s="35">
        <v>8</v>
      </c>
      <c r="D20" s="36" t="s">
        <v>784</v>
      </c>
      <c r="E20" s="37" t="s">
        <v>27</v>
      </c>
      <c r="F20" s="38" t="s">
        <v>28</v>
      </c>
      <c r="G20" s="38" t="s">
        <v>153</v>
      </c>
      <c r="H20" s="38" t="s">
        <v>154</v>
      </c>
      <c r="I20" s="38" t="s">
        <v>9</v>
      </c>
      <c r="J20" s="39">
        <v>278611.39</v>
      </c>
      <c r="K20" s="40">
        <v>217140</v>
      </c>
      <c r="L20" s="40"/>
      <c r="M20" s="40"/>
      <c r="N20" s="41"/>
      <c r="O20" s="41"/>
      <c r="P20" s="41"/>
      <c r="Q20" s="41" t="s">
        <v>8</v>
      </c>
      <c r="R20" s="44">
        <v>14476</v>
      </c>
      <c r="S20" s="44">
        <v>14476</v>
      </c>
      <c r="T20" s="44">
        <v>14476</v>
      </c>
      <c r="U20" s="44">
        <v>14476</v>
      </c>
      <c r="V20" s="44">
        <v>14476</v>
      </c>
      <c r="W20" s="44">
        <v>14476</v>
      </c>
      <c r="X20" s="44">
        <v>14476</v>
      </c>
      <c r="Y20" s="44">
        <v>14476</v>
      </c>
      <c r="Z20" s="44">
        <v>14476</v>
      </c>
      <c r="AA20" s="44">
        <v>14476</v>
      </c>
      <c r="AB20" s="44">
        <v>14476</v>
      </c>
      <c r="AC20" s="44">
        <v>14476</v>
      </c>
      <c r="AD20" s="44">
        <v>14476</v>
      </c>
      <c r="AE20" s="44">
        <v>7238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/>
      <c r="AT20" s="44"/>
      <c r="AU20" s="45">
        <f t="shared" si="0"/>
        <v>195426</v>
      </c>
      <c r="AV20" s="46">
        <f t="shared" si="1"/>
        <v>0</v>
      </c>
      <c r="AW20" s="47">
        <f t="shared" si="2"/>
        <v>94094</v>
      </c>
      <c r="AX20" s="48">
        <f t="shared" si="3"/>
        <v>195426</v>
      </c>
      <c r="AZ20" s="33" t="b">
        <f t="shared" si="4"/>
        <v>1</v>
      </c>
      <c r="BA20" s="49"/>
    </row>
    <row r="21" spans="2:53" outlineLevel="1" x14ac:dyDescent="0.3">
      <c r="B21" s="50" t="s">
        <v>751</v>
      </c>
      <c r="C21" s="51"/>
      <c r="D21" s="52" t="s">
        <v>785</v>
      </c>
      <c r="E21" s="53"/>
      <c r="F21" s="54"/>
      <c r="G21" s="54"/>
      <c r="H21" s="54"/>
      <c r="I21" s="54"/>
      <c r="J21" s="55"/>
      <c r="K21" s="55"/>
      <c r="L21" s="55" t="s">
        <v>151</v>
      </c>
      <c r="M21" s="55"/>
      <c r="N21" s="56">
        <f t="shared" si="5"/>
        <v>4.0149999999999997</v>
      </c>
      <c r="O21" s="56">
        <v>4.0149999999999997</v>
      </c>
      <c r="P21" s="56">
        <f>$P$4</f>
        <v>0</v>
      </c>
      <c r="Q21" s="56" t="s">
        <v>10</v>
      </c>
      <c r="R21" s="59">
        <f>SUM(R20:$AR20)*$N21/100</f>
        <v>7846.3538999999992</v>
      </c>
      <c r="S21" s="59">
        <f>SUM(S20:$AR20)*$N21/100</f>
        <v>7265.1424999999999</v>
      </c>
      <c r="T21" s="59">
        <f>SUM(T20:$AR20)*$N21/100</f>
        <v>6683.9310999999998</v>
      </c>
      <c r="U21" s="59">
        <f>SUM(U20:$AR20)*$N21/100</f>
        <v>6102.7196999999996</v>
      </c>
      <c r="V21" s="59">
        <f>SUM(V20:$AR20)*$N21/100</f>
        <v>5521.5082999999995</v>
      </c>
      <c r="W21" s="59">
        <f>SUM(W20:$AR20)*$N21/100</f>
        <v>4940.2968999999994</v>
      </c>
      <c r="X21" s="59">
        <f>SUM(X20:$AR20)*$N21/100</f>
        <v>4359.0855000000001</v>
      </c>
      <c r="Y21" s="59">
        <f>SUM(Y20:$AR20)*$N21/100</f>
        <v>3777.8740999999995</v>
      </c>
      <c r="Z21" s="59">
        <f>SUM(Z20:$AR20)*$N21/100</f>
        <v>3196.6626999999994</v>
      </c>
      <c r="AA21" s="59">
        <f>SUM(AA20:$AR20)*$N21/100</f>
        <v>2615.4512999999997</v>
      </c>
      <c r="AB21" s="59">
        <f>SUM(AB20:$AR20)*$N21/100</f>
        <v>2034.2398999999998</v>
      </c>
      <c r="AC21" s="59">
        <f>SUM(AC20:$AR20)*$N21/100</f>
        <v>1453.0284999999997</v>
      </c>
      <c r="AD21" s="59">
        <f>SUM(AD20:$AR20)*$N21/100</f>
        <v>871.81709999999987</v>
      </c>
      <c r="AE21" s="59">
        <f>SUM(AE20:$AR20)*$N21/100</f>
        <v>290.60569999999996</v>
      </c>
      <c r="AF21" s="59">
        <v>0</v>
      </c>
      <c r="AG21" s="59">
        <v>0</v>
      </c>
      <c r="AH21" s="59">
        <v>0</v>
      </c>
      <c r="AI21" s="59">
        <v>0</v>
      </c>
      <c r="AJ21" s="59">
        <v>0</v>
      </c>
      <c r="AK21" s="59">
        <v>0</v>
      </c>
      <c r="AL21" s="59">
        <v>0</v>
      </c>
      <c r="AM21" s="59">
        <v>0</v>
      </c>
      <c r="AN21" s="59">
        <v>0</v>
      </c>
      <c r="AO21" s="59">
        <v>0</v>
      </c>
      <c r="AP21" s="59">
        <v>0</v>
      </c>
      <c r="AQ21" s="59">
        <v>0</v>
      </c>
      <c r="AR21" s="59">
        <v>0</v>
      </c>
      <c r="AS21" s="59"/>
      <c r="AT21" s="59"/>
      <c r="AU21" s="60">
        <f t="shared" si="0"/>
        <v>56958.717200000006</v>
      </c>
      <c r="AV21" s="46">
        <f t="shared" si="1"/>
        <v>0</v>
      </c>
      <c r="AW21" s="61">
        <f t="shared" si="2"/>
        <v>14239.6793</v>
      </c>
      <c r="AX21" s="62">
        <f t="shared" si="3"/>
        <v>56958.717199999999</v>
      </c>
      <c r="AZ21" s="33" t="b">
        <f t="shared" si="4"/>
        <v>1</v>
      </c>
    </row>
    <row r="22" spans="2:53" s="33" customFormat="1" outlineLevel="1" x14ac:dyDescent="0.3">
      <c r="B22" s="34" t="s">
        <v>751</v>
      </c>
      <c r="C22" s="35">
        <v>9</v>
      </c>
      <c r="D22" s="36" t="s">
        <v>782</v>
      </c>
      <c r="E22" s="37" t="s">
        <v>29</v>
      </c>
      <c r="F22" s="38" t="s">
        <v>30</v>
      </c>
      <c r="G22" s="38" t="s">
        <v>153</v>
      </c>
      <c r="H22" s="38" t="s">
        <v>155</v>
      </c>
      <c r="I22" s="38" t="s">
        <v>9</v>
      </c>
      <c r="J22" s="39">
        <v>55899</v>
      </c>
      <c r="K22" s="40">
        <v>17888</v>
      </c>
      <c r="L22" s="40"/>
      <c r="M22" s="40"/>
      <c r="N22" s="41"/>
      <c r="O22" s="41"/>
      <c r="P22" s="41"/>
      <c r="Q22" s="41" t="s">
        <v>8</v>
      </c>
      <c r="R22" s="44">
        <v>4472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/>
      <c r="AT22" s="44"/>
      <c r="AU22" s="45">
        <f t="shared" si="0"/>
        <v>4472</v>
      </c>
      <c r="AV22" s="46">
        <f t="shared" si="1"/>
        <v>0</v>
      </c>
      <c r="AW22" s="47">
        <f t="shared" si="2"/>
        <v>0</v>
      </c>
      <c r="AX22" s="48">
        <f t="shared" si="3"/>
        <v>4472</v>
      </c>
      <c r="AZ22" s="33" t="b">
        <f t="shared" si="4"/>
        <v>1</v>
      </c>
      <c r="BA22" s="49"/>
    </row>
    <row r="23" spans="2:53" outlineLevel="1" x14ac:dyDescent="0.3">
      <c r="B23" s="50" t="s">
        <v>751</v>
      </c>
      <c r="C23" s="51"/>
      <c r="D23" s="52" t="s">
        <v>783</v>
      </c>
      <c r="E23" s="53"/>
      <c r="F23" s="54"/>
      <c r="G23" s="54"/>
      <c r="H23" s="54"/>
      <c r="I23" s="54"/>
      <c r="J23" s="55"/>
      <c r="K23" s="55"/>
      <c r="L23" s="55" t="s">
        <v>151</v>
      </c>
      <c r="M23" s="55"/>
      <c r="N23" s="56">
        <f t="shared" si="5"/>
        <v>4.0149999999999997</v>
      </c>
      <c r="O23" s="56">
        <v>4.0149999999999997</v>
      </c>
      <c r="P23" s="56">
        <f>$P$4</f>
        <v>0</v>
      </c>
      <c r="Q23" s="56" t="s">
        <v>10</v>
      </c>
      <c r="R23" s="59">
        <f>SUM(R22:$AR22)*$N23/100</f>
        <v>179.55079999999998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59">
        <v>0</v>
      </c>
      <c r="AD23" s="59">
        <v>0</v>
      </c>
      <c r="AE23" s="59">
        <v>0</v>
      </c>
      <c r="AF23" s="59">
        <v>0</v>
      </c>
      <c r="AG23" s="59">
        <v>0</v>
      </c>
      <c r="AH23" s="59">
        <v>0</v>
      </c>
      <c r="AI23" s="59">
        <v>0</v>
      </c>
      <c r="AJ23" s="59">
        <v>0</v>
      </c>
      <c r="AK23" s="59">
        <v>0</v>
      </c>
      <c r="AL23" s="59">
        <v>0</v>
      </c>
      <c r="AM23" s="59">
        <v>0</v>
      </c>
      <c r="AN23" s="59">
        <v>0</v>
      </c>
      <c r="AO23" s="59">
        <v>0</v>
      </c>
      <c r="AP23" s="59">
        <v>0</v>
      </c>
      <c r="AQ23" s="59">
        <v>0</v>
      </c>
      <c r="AR23" s="59">
        <v>0</v>
      </c>
      <c r="AS23" s="59"/>
      <c r="AT23" s="59"/>
      <c r="AU23" s="60">
        <f t="shared" si="0"/>
        <v>179.55079999999998</v>
      </c>
      <c r="AV23" s="46">
        <f t="shared" si="1"/>
        <v>0</v>
      </c>
      <c r="AW23" s="61">
        <f t="shared" si="2"/>
        <v>0</v>
      </c>
      <c r="AX23" s="62">
        <f t="shared" si="3"/>
        <v>179.55079999999998</v>
      </c>
      <c r="AZ23" s="33" t="b">
        <f t="shared" si="4"/>
        <v>1</v>
      </c>
    </row>
    <row r="24" spans="2:53" s="33" customFormat="1" outlineLevel="1" x14ac:dyDescent="0.3">
      <c r="B24" s="34" t="s">
        <v>751</v>
      </c>
      <c r="C24" s="35">
        <v>10</v>
      </c>
      <c r="D24" s="36" t="s">
        <v>786</v>
      </c>
      <c r="E24" s="37" t="s">
        <v>31</v>
      </c>
      <c r="F24" s="38" t="s">
        <v>32</v>
      </c>
      <c r="G24" s="38" t="s">
        <v>153</v>
      </c>
      <c r="H24" s="38" t="s">
        <v>152</v>
      </c>
      <c r="I24" s="38" t="s">
        <v>9</v>
      </c>
      <c r="J24" s="39">
        <v>49472</v>
      </c>
      <c r="K24" s="40">
        <v>14800</v>
      </c>
      <c r="L24" s="40"/>
      <c r="M24" s="40"/>
      <c r="N24" s="41"/>
      <c r="O24" s="41"/>
      <c r="P24" s="41"/>
      <c r="Q24" s="41" t="s">
        <v>8</v>
      </c>
      <c r="R24" s="44">
        <v>1480</v>
      </c>
      <c r="S24" s="44">
        <v>1480</v>
      </c>
      <c r="T24" s="44">
        <v>1480</v>
      </c>
      <c r="U24" s="44">
        <v>1480</v>
      </c>
      <c r="V24" s="44">
        <v>1480</v>
      </c>
      <c r="W24" s="44">
        <v>1480</v>
      </c>
      <c r="X24" s="44">
        <v>1480</v>
      </c>
      <c r="Y24" s="44">
        <v>1480</v>
      </c>
      <c r="Z24" s="44">
        <v>740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/>
      <c r="AT24" s="44"/>
      <c r="AU24" s="45">
        <f t="shared" si="0"/>
        <v>12580</v>
      </c>
      <c r="AV24" s="46">
        <f t="shared" si="1"/>
        <v>0</v>
      </c>
      <c r="AW24" s="47">
        <f t="shared" si="2"/>
        <v>2220</v>
      </c>
      <c r="AX24" s="48">
        <f t="shared" si="3"/>
        <v>12580</v>
      </c>
      <c r="AZ24" s="33" t="b">
        <f t="shared" si="4"/>
        <v>1</v>
      </c>
      <c r="BA24" s="49"/>
    </row>
    <row r="25" spans="2:53" outlineLevel="1" x14ac:dyDescent="0.3">
      <c r="B25" s="50" t="s">
        <v>751</v>
      </c>
      <c r="C25" s="51"/>
      <c r="D25" s="52" t="s">
        <v>787</v>
      </c>
      <c r="E25" s="53"/>
      <c r="F25" s="54"/>
      <c r="G25" s="54"/>
      <c r="H25" s="54"/>
      <c r="I25" s="54"/>
      <c r="J25" s="55"/>
      <c r="K25" s="55"/>
      <c r="L25" s="55" t="s">
        <v>151</v>
      </c>
      <c r="M25" s="55"/>
      <c r="N25" s="56">
        <f t="shared" si="5"/>
        <v>4.0149999999999997</v>
      </c>
      <c r="O25" s="56">
        <v>4.0149999999999997</v>
      </c>
      <c r="P25" s="56">
        <f>$P$4</f>
        <v>0</v>
      </c>
      <c r="Q25" s="56" t="s">
        <v>10</v>
      </c>
      <c r="R25" s="59">
        <f>SUM(R24:$AR24)*$N25/100</f>
        <v>505.08699999999999</v>
      </c>
      <c r="S25" s="59">
        <f>SUM(S24:$AR24)*$N25/100</f>
        <v>445.66500000000002</v>
      </c>
      <c r="T25" s="59">
        <f>SUM(T24:$AR24)*$N25/100</f>
        <v>386.24299999999994</v>
      </c>
      <c r="U25" s="59">
        <f>SUM(U24:$AR24)*$N25/100</f>
        <v>326.82099999999997</v>
      </c>
      <c r="V25" s="59">
        <f>SUM(V24:$AR24)*$N25/100</f>
        <v>267.399</v>
      </c>
      <c r="W25" s="59">
        <f>SUM(W24:$AR24)*$N25/100</f>
        <v>207.97699999999998</v>
      </c>
      <c r="X25" s="59">
        <f>SUM(X24:$AR24)*$N25/100</f>
        <v>148.55499999999998</v>
      </c>
      <c r="Y25" s="59">
        <f>SUM(Y24:$AR24)*$N25/100</f>
        <v>89.132999999999996</v>
      </c>
      <c r="Z25" s="59">
        <f>SUM(Z24:$AR24)*$N25/100</f>
        <v>29.710999999999999</v>
      </c>
      <c r="AA25" s="59">
        <v>0</v>
      </c>
      <c r="AB25" s="59">
        <v>0</v>
      </c>
      <c r="AC25" s="59">
        <v>0</v>
      </c>
      <c r="AD25" s="59">
        <v>0</v>
      </c>
      <c r="AE25" s="59">
        <v>0</v>
      </c>
      <c r="AF25" s="59">
        <v>0</v>
      </c>
      <c r="AG25" s="59">
        <v>0</v>
      </c>
      <c r="AH25" s="59">
        <v>0</v>
      </c>
      <c r="AI25" s="59">
        <v>0</v>
      </c>
      <c r="AJ25" s="59">
        <v>0</v>
      </c>
      <c r="AK25" s="59">
        <v>0</v>
      </c>
      <c r="AL25" s="59">
        <v>0</v>
      </c>
      <c r="AM25" s="59">
        <v>0</v>
      </c>
      <c r="AN25" s="59">
        <v>0</v>
      </c>
      <c r="AO25" s="59">
        <v>0</v>
      </c>
      <c r="AP25" s="59">
        <v>0</v>
      </c>
      <c r="AQ25" s="59">
        <v>0</v>
      </c>
      <c r="AR25" s="59">
        <v>0</v>
      </c>
      <c r="AS25" s="59"/>
      <c r="AT25" s="59"/>
      <c r="AU25" s="60">
        <f t="shared" si="0"/>
        <v>2406.590999999999</v>
      </c>
      <c r="AV25" s="46">
        <f t="shared" si="1"/>
        <v>0</v>
      </c>
      <c r="AW25" s="61">
        <f t="shared" si="2"/>
        <v>118.84399999999999</v>
      </c>
      <c r="AX25" s="62">
        <f t="shared" si="3"/>
        <v>2406.5909999999994</v>
      </c>
      <c r="AZ25" s="33" t="b">
        <f t="shared" si="4"/>
        <v>1</v>
      </c>
    </row>
    <row r="26" spans="2:53" s="33" customFormat="1" outlineLevel="1" x14ac:dyDescent="0.3">
      <c r="B26" s="34" t="s">
        <v>751</v>
      </c>
      <c r="C26" s="35">
        <v>11</v>
      </c>
      <c r="D26" s="36" t="s">
        <v>788</v>
      </c>
      <c r="E26" s="37" t="s">
        <v>33</v>
      </c>
      <c r="F26" s="38" t="s">
        <v>34</v>
      </c>
      <c r="G26" s="38" t="s">
        <v>153</v>
      </c>
      <c r="H26" s="38" t="s">
        <v>154</v>
      </c>
      <c r="I26" s="38" t="s">
        <v>9</v>
      </c>
      <c r="J26" s="39">
        <v>238897.15</v>
      </c>
      <c r="K26" s="40">
        <v>159000</v>
      </c>
      <c r="L26" s="40"/>
      <c r="M26" s="40"/>
      <c r="N26" s="41"/>
      <c r="O26" s="41"/>
      <c r="P26" s="41"/>
      <c r="Q26" s="41" t="s">
        <v>8</v>
      </c>
      <c r="R26" s="44">
        <v>10600</v>
      </c>
      <c r="S26" s="44">
        <v>10600</v>
      </c>
      <c r="T26" s="44">
        <v>10600</v>
      </c>
      <c r="U26" s="44">
        <v>10600</v>
      </c>
      <c r="V26" s="44">
        <v>10600</v>
      </c>
      <c r="W26" s="44">
        <v>10600</v>
      </c>
      <c r="X26" s="44">
        <v>10600</v>
      </c>
      <c r="Y26" s="44">
        <v>10600</v>
      </c>
      <c r="Z26" s="44">
        <v>10600</v>
      </c>
      <c r="AA26" s="44">
        <v>10600</v>
      </c>
      <c r="AB26" s="44">
        <v>10600</v>
      </c>
      <c r="AC26" s="44">
        <v>10600</v>
      </c>
      <c r="AD26" s="44">
        <v>10600</v>
      </c>
      <c r="AE26" s="44">
        <v>5300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/>
      <c r="AT26" s="44"/>
      <c r="AU26" s="45">
        <f t="shared" si="0"/>
        <v>143100</v>
      </c>
      <c r="AV26" s="46">
        <f t="shared" si="1"/>
        <v>0</v>
      </c>
      <c r="AW26" s="47">
        <f t="shared" si="2"/>
        <v>68900</v>
      </c>
      <c r="AX26" s="48">
        <f t="shared" si="3"/>
        <v>143100</v>
      </c>
      <c r="AZ26" s="33" t="b">
        <f t="shared" si="4"/>
        <v>1</v>
      </c>
      <c r="BA26" s="49"/>
    </row>
    <row r="27" spans="2:53" outlineLevel="1" x14ac:dyDescent="0.3">
      <c r="B27" s="50" t="s">
        <v>751</v>
      </c>
      <c r="C27" s="51"/>
      <c r="D27" s="52" t="s">
        <v>789</v>
      </c>
      <c r="E27" s="53"/>
      <c r="F27" s="54"/>
      <c r="G27" s="54"/>
      <c r="H27" s="54"/>
      <c r="I27" s="54"/>
      <c r="J27" s="55"/>
      <c r="K27" s="55"/>
      <c r="L27" s="55" t="s">
        <v>151</v>
      </c>
      <c r="M27" s="55"/>
      <c r="N27" s="56">
        <f t="shared" si="5"/>
        <v>4.0149999999999997</v>
      </c>
      <c r="O27" s="56">
        <v>4.0149999999999997</v>
      </c>
      <c r="P27" s="56">
        <f>$P$4</f>
        <v>0</v>
      </c>
      <c r="Q27" s="56" t="s">
        <v>10</v>
      </c>
      <c r="R27" s="59">
        <f>SUM(R26:$AR26)*$N27/100</f>
        <v>5745.4650000000001</v>
      </c>
      <c r="S27" s="59">
        <f>SUM(S26:$AR26)*$N27/100</f>
        <v>5319.875</v>
      </c>
      <c r="T27" s="59">
        <f>SUM(T26:$AR26)*$N27/100</f>
        <v>4894.2849999999999</v>
      </c>
      <c r="U27" s="59">
        <f>SUM(U26:$AR26)*$N27/100</f>
        <v>4468.6949999999997</v>
      </c>
      <c r="V27" s="59">
        <f>SUM(V26:$AR26)*$N27/100</f>
        <v>4043.1049999999996</v>
      </c>
      <c r="W27" s="59">
        <f>SUM(W26:$AR26)*$N27/100</f>
        <v>3617.5149999999999</v>
      </c>
      <c r="X27" s="59">
        <f>SUM(X26:$AR26)*$N27/100</f>
        <v>3191.9250000000002</v>
      </c>
      <c r="Y27" s="59">
        <f>SUM(Y26:$AR26)*$N27/100</f>
        <v>2766.335</v>
      </c>
      <c r="Z27" s="59">
        <f>SUM(Z26:$AR26)*$N27/100</f>
        <v>2340.7449999999999</v>
      </c>
      <c r="AA27" s="59">
        <f>SUM(AA26:$AR26)*$N27/100</f>
        <v>1915.1549999999997</v>
      </c>
      <c r="AB27" s="59">
        <f>SUM(AB26:$AR26)*$N27/100</f>
        <v>1489.5650000000001</v>
      </c>
      <c r="AC27" s="59">
        <f>SUM(AC26:$AR26)*$N27/100</f>
        <v>1063.9749999999999</v>
      </c>
      <c r="AD27" s="59">
        <f>SUM(AD26:$AR26)*$N27/100</f>
        <v>638.38499999999988</v>
      </c>
      <c r="AE27" s="59">
        <f>SUM(AE26:$AR26)*$N27/100</f>
        <v>212.79499999999999</v>
      </c>
      <c r="AF27" s="59">
        <v>0</v>
      </c>
      <c r="AG27" s="59">
        <v>0</v>
      </c>
      <c r="AH27" s="59">
        <v>0</v>
      </c>
      <c r="AI27" s="59">
        <v>0</v>
      </c>
      <c r="AJ27" s="59">
        <v>0</v>
      </c>
      <c r="AK27" s="59">
        <v>0</v>
      </c>
      <c r="AL27" s="59">
        <v>0</v>
      </c>
      <c r="AM27" s="59">
        <v>0</v>
      </c>
      <c r="AN27" s="59">
        <v>0</v>
      </c>
      <c r="AO27" s="59">
        <v>0</v>
      </c>
      <c r="AP27" s="59">
        <v>0</v>
      </c>
      <c r="AQ27" s="59">
        <v>0</v>
      </c>
      <c r="AR27" s="59">
        <v>0</v>
      </c>
      <c r="AS27" s="59"/>
      <c r="AT27" s="59"/>
      <c r="AU27" s="60">
        <f t="shared" si="0"/>
        <v>41707.82</v>
      </c>
      <c r="AV27" s="46">
        <f t="shared" si="1"/>
        <v>0</v>
      </c>
      <c r="AW27" s="61">
        <f t="shared" si="2"/>
        <v>10426.955</v>
      </c>
      <c r="AX27" s="62">
        <f t="shared" si="3"/>
        <v>41707.82</v>
      </c>
      <c r="AZ27" s="33" t="b">
        <f t="shared" si="4"/>
        <v>1</v>
      </c>
    </row>
    <row r="28" spans="2:53" s="33" customFormat="1" outlineLevel="1" x14ac:dyDescent="0.3">
      <c r="B28" s="34" t="s">
        <v>751</v>
      </c>
      <c r="C28" s="35">
        <v>12</v>
      </c>
      <c r="D28" s="36" t="s">
        <v>813</v>
      </c>
      <c r="E28" s="37" t="s">
        <v>35</v>
      </c>
      <c r="F28" s="38" t="s">
        <v>36</v>
      </c>
      <c r="G28" s="38" t="s">
        <v>158</v>
      </c>
      <c r="H28" s="38" t="s">
        <v>157</v>
      </c>
      <c r="I28" s="38" t="s">
        <v>9</v>
      </c>
      <c r="J28" s="39">
        <v>34291</v>
      </c>
      <c r="K28" s="40">
        <v>17740</v>
      </c>
      <c r="L28" s="40"/>
      <c r="M28" s="40"/>
      <c r="N28" s="41"/>
      <c r="O28" s="41"/>
      <c r="P28" s="41"/>
      <c r="Q28" s="41" t="s">
        <v>8</v>
      </c>
      <c r="R28" s="194">
        <v>3548</v>
      </c>
      <c r="S28" s="194">
        <v>3548</v>
      </c>
      <c r="T28" s="194">
        <v>3548</v>
      </c>
      <c r="U28" s="194">
        <v>1774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/>
      <c r="AT28" s="44"/>
      <c r="AU28" s="45">
        <f t="shared" si="0"/>
        <v>12418</v>
      </c>
      <c r="AV28" s="46">
        <f t="shared" si="1"/>
        <v>0</v>
      </c>
      <c r="AW28" s="47">
        <f t="shared" si="2"/>
        <v>0</v>
      </c>
      <c r="AX28" s="48">
        <f t="shared" si="3"/>
        <v>12418</v>
      </c>
      <c r="AZ28" s="33" t="b">
        <f t="shared" si="4"/>
        <v>1</v>
      </c>
      <c r="BA28" s="49"/>
    </row>
    <row r="29" spans="2:53" outlineLevel="1" x14ac:dyDescent="0.3">
      <c r="B29" s="50" t="s">
        <v>751</v>
      </c>
      <c r="C29" s="51"/>
      <c r="D29" s="52" t="s">
        <v>814</v>
      </c>
      <c r="E29" s="53"/>
      <c r="F29" s="54"/>
      <c r="G29" s="54"/>
      <c r="H29" s="54"/>
      <c r="I29" s="54"/>
      <c r="J29" s="55"/>
      <c r="K29" s="55"/>
      <c r="L29" s="55" t="s">
        <v>156</v>
      </c>
      <c r="M29" s="55"/>
      <c r="N29" s="56">
        <f t="shared" si="5"/>
        <v>3.9790000000000001</v>
      </c>
      <c r="O29" s="56">
        <v>3.9790000000000001</v>
      </c>
      <c r="P29" s="56">
        <f>$P$4</f>
        <v>0</v>
      </c>
      <c r="Q29" s="56" t="s">
        <v>10</v>
      </c>
      <c r="R29" s="195">
        <f>SUM(R28:$AR28)*$N29/100</f>
        <v>494.11222000000004</v>
      </c>
      <c r="S29" s="195">
        <f>SUM(S28:$AR28)*$N29/100</f>
        <v>352.93730000000005</v>
      </c>
      <c r="T29" s="195">
        <f>SUM(T28:$AR28)*$N29/100</f>
        <v>211.76238000000001</v>
      </c>
      <c r="U29" s="195">
        <f>SUM(U28:$AR28)*$N29/100</f>
        <v>70.587460000000007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9">
        <v>0</v>
      </c>
      <c r="AL29" s="59">
        <v>0</v>
      </c>
      <c r="AM29" s="59">
        <v>0</v>
      </c>
      <c r="AN29" s="59">
        <v>0</v>
      </c>
      <c r="AO29" s="59">
        <v>0</v>
      </c>
      <c r="AP29" s="59">
        <v>0</v>
      </c>
      <c r="AQ29" s="59">
        <v>0</v>
      </c>
      <c r="AR29" s="59">
        <v>0</v>
      </c>
      <c r="AS29" s="59"/>
      <c r="AT29" s="59"/>
      <c r="AU29" s="60">
        <f t="shared" si="0"/>
        <v>1129.3993600000001</v>
      </c>
      <c r="AV29" s="46">
        <f t="shared" si="1"/>
        <v>0</v>
      </c>
      <c r="AW29" s="61">
        <f t="shared" si="2"/>
        <v>0</v>
      </c>
      <c r="AX29" s="62">
        <f t="shared" si="3"/>
        <v>1129.3993600000001</v>
      </c>
      <c r="AZ29" s="33" t="b">
        <f t="shared" si="4"/>
        <v>1</v>
      </c>
    </row>
    <row r="30" spans="2:53" s="33" customFormat="1" outlineLevel="1" x14ac:dyDescent="0.3">
      <c r="B30" s="34" t="s">
        <v>751</v>
      </c>
      <c r="C30" s="35">
        <v>13</v>
      </c>
      <c r="D30" s="36" t="s">
        <v>815</v>
      </c>
      <c r="E30" s="37" t="s">
        <v>37</v>
      </c>
      <c r="F30" s="38" t="s">
        <v>38</v>
      </c>
      <c r="G30" s="38" t="s">
        <v>161</v>
      </c>
      <c r="H30" s="38" t="s">
        <v>160</v>
      </c>
      <c r="I30" s="38" t="s">
        <v>9</v>
      </c>
      <c r="J30" s="39">
        <v>2609698.31</v>
      </c>
      <c r="K30" s="40">
        <v>2374239.31</v>
      </c>
      <c r="L30" s="40"/>
      <c r="M30" s="40"/>
      <c r="N30" s="41"/>
      <c r="O30" s="41"/>
      <c r="P30" s="41"/>
      <c r="Q30" s="41" t="s">
        <v>8</v>
      </c>
      <c r="R30" s="44">
        <v>94200</v>
      </c>
      <c r="S30" s="44">
        <v>94200</v>
      </c>
      <c r="T30" s="44">
        <v>94200</v>
      </c>
      <c r="U30" s="44">
        <v>94200</v>
      </c>
      <c r="V30" s="44">
        <v>94200</v>
      </c>
      <c r="W30" s="44">
        <v>94200</v>
      </c>
      <c r="X30" s="44">
        <v>94200</v>
      </c>
      <c r="Y30" s="44">
        <v>94200</v>
      </c>
      <c r="Z30" s="44">
        <v>94200</v>
      </c>
      <c r="AA30" s="44">
        <v>94200</v>
      </c>
      <c r="AB30" s="44">
        <v>94200</v>
      </c>
      <c r="AC30" s="44">
        <v>94200</v>
      </c>
      <c r="AD30" s="44">
        <v>94200</v>
      </c>
      <c r="AE30" s="44">
        <v>94200</v>
      </c>
      <c r="AF30" s="44">
        <v>94200</v>
      </c>
      <c r="AG30" s="44">
        <v>94200</v>
      </c>
      <c r="AH30" s="44">
        <v>94200</v>
      </c>
      <c r="AI30" s="44">
        <v>94200</v>
      </c>
      <c r="AJ30" s="44">
        <v>94200</v>
      </c>
      <c r="AK30" s="44">
        <v>94200</v>
      </c>
      <c r="AL30" s="44">
        <v>94200</v>
      </c>
      <c r="AM30" s="44">
        <v>94200</v>
      </c>
      <c r="AN30" s="44">
        <v>94200</v>
      </c>
      <c r="AO30" s="44">
        <v>66339.31</v>
      </c>
      <c r="AP30" s="44">
        <v>0</v>
      </c>
      <c r="AQ30" s="44">
        <v>0</v>
      </c>
      <c r="AR30" s="44">
        <v>0</v>
      </c>
      <c r="AS30" s="44"/>
      <c r="AT30" s="44"/>
      <c r="AU30" s="45">
        <f t="shared" si="0"/>
        <v>2232939.31</v>
      </c>
      <c r="AV30" s="46">
        <f t="shared" si="1"/>
        <v>0</v>
      </c>
      <c r="AW30" s="47">
        <f t="shared" si="2"/>
        <v>1573539.31</v>
      </c>
      <c r="AX30" s="48">
        <f t="shared" si="3"/>
        <v>2232939.31</v>
      </c>
      <c r="AZ30" s="33" t="b">
        <f t="shared" si="4"/>
        <v>1</v>
      </c>
      <c r="BA30" s="49"/>
    </row>
    <row r="31" spans="2:53" outlineLevel="1" x14ac:dyDescent="0.3">
      <c r="B31" s="50" t="s">
        <v>751</v>
      </c>
      <c r="C31" s="51"/>
      <c r="D31" s="52" t="s">
        <v>816</v>
      </c>
      <c r="E31" s="53"/>
      <c r="F31" s="54"/>
      <c r="G31" s="54"/>
      <c r="H31" s="54"/>
      <c r="I31" s="54"/>
      <c r="J31" s="55"/>
      <c r="K31" s="55"/>
      <c r="L31" s="55" t="s">
        <v>159</v>
      </c>
      <c r="M31" s="55"/>
      <c r="N31" s="56">
        <f t="shared" si="5"/>
        <v>3.8490000000000002</v>
      </c>
      <c r="O31" s="56">
        <v>3.8490000000000002</v>
      </c>
      <c r="P31" s="56">
        <f>$P$4</f>
        <v>0</v>
      </c>
      <c r="Q31" s="56" t="s">
        <v>10</v>
      </c>
      <c r="R31" s="59">
        <f>SUM(R30:$AR30)*$N31/100</f>
        <v>85945.834041900001</v>
      </c>
      <c r="S31" s="59">
        <f>SUM(S30:$AR30)*$N31/100</f>
        <v>82320.0760419</v>
      </c>
      <c r="T31" s="59">
        <f>SUM(T30:$AR30)*$N31/100</f>
        <v>78694.318041899998</v>
      </c>
      <c r="U31" s="59">
        <f>SUM(U30:$AR30)*$N31/100</f>
        <v>75068.560041900011</v>
      </c>
      <c r="V31" s="59">
        <f>SUM(V30:$AR30)*$N31/100</f>
        <v>71442.802041900009</v>
      </c>
      <c r="W31" s="59">
        <f>SUM(W30:$AR30)*$N31/100</f>
        <v>67817.044041900008</v>
      </c>
      <c r="X31" s="59">
        <f>SUM(X30:$AR30)*$N31/100</f>
        <v>64191.286041900006</v>
      </c>
      <c r="Y31" s="59">
        <f>SUM(Y30:$AR30)*$N31/100</f>
        <v>60565.528041900005</v>
      </c>
      <c r="Z31" s="59">
        <f>SUM(Z30:$AR30)*$N31/100</f>
        <v>56939.77004190001</v>
      </c>
      <c r="AA31" s="59">
        <f>SUM(AA30:$AR30)*$N31/100</f>
        <v>53314.012041900009</v>
      </c>
      <c r="AB31" s="59">
        <f>SUM(AB30:$AR30)*$N31/100</f>
        <v>49688.2540419</v>
      </c>
      <c r="AC31" s="59">
        <f>SUM(AC30:$AR30)*$N31/100</f>
        <v>46062.496041900005</v>
      </c>
      <c r="AD31" s="59">
        <f>SUM(AD30:$AR30)*$N31/100</f>
        <v>42436.738041900004</v>
      </c>
      <c r="AE31" s="59">
        <f>SUM(AE30:$AR30)*$N31/100</f>
        <v>38810.980041900002</v>
      </c>
      <c r="AF31" s="59">
        <f>SUM(AF30:$AR30)*$N31/100</f>
        <v>35185.222041900008</v>
      </c>
      <c r="AG31" s="59">
        <f>SUM(AG30:$AR30)*$N31/100</f>
        <v>31559.464041900002</v>
      </c>
      <c r="AH31" s="59">
        <f>SUM(AH30:$AR30)*$N31/100</f>
        <v>27933.706041900004</v>
      </c>
      <c r="AI31" s="59">
        <f>SUM(AI30:$AR30)*$N31/100</f>
        <v>24307.948041900007</v>
      </c>
      <c r="AJ31" s="59">
        <f>SUM(AJ30:$AR30)*$N31/100</f>
        <v>20682.190041900001</v>
      </c>
      <c r="AK31" s="59">
        <f>SUM(AK30:$AR30)*$N31/100</f>
        <v>17056.432041900003</v>
      </c>
      <c r="AL31" s="59">
        <f>SUM(AL30:$AR30)*$N31/100</f>
        <v>13430.674041900002</v>
      </c>
      <c r="AM31" s="59">
        <f>SUM(AM30:$AR30)*$N31/100</f>
        <v>9804.9160419</v>
      </c>
      <c r="AN31" s="59">
        <f>SUM(AN30:$AR30)*$N31/100</f>
        <v>6179.1580419000002</v>
      </c>
      <c r="AO31" s="59">
        <f>SUM(AO30:$AR30)*$N31/100</f>
        <v>2553.4000418999999</v>
      </c>
      <c r="AP31" s="59">
        <v>0</v>
      </c>
      <c r="AQ31" s="59">
        <v>0</v>
      </c>
      <c r="AR31" s="59">
        <v>0</v>
      </c>
      <c r="AS31" s="59"/>
      <c r="AT31" s="59"/>
      <c r="AU31" s="60">
        <f t="shared" si="0"/>
        <v>1061990.8090056002</v>
      </c>
      <c r="AV31" s="46">
        <f t="shared" si="1"/>
        <v>0</v>
      </c>
      <c r="AW31" s="61">
        <f t="shared" si="2"/>
        <v>536510.88871229999</v>
      </c>
      <c r="AX31" s="62">
        <f t="shared" si="3"/>
        <v>1061990.8090055999</v>
      </c>
      <c r="AZ31" s="33" t="b">
        <f t="shared" si="4"/>
        <v>1</v>
      </c>
    </row>
    <row r="32" spans="2:53" s="33" customFormat="1" outlineLevel="1" x14ac:dyDescent="0.3">
      <c r="B32" s="34" t="s">
        <v>751</v>
      </c>
      <c r="C32" s="35">
        <v>14</v>
      </c>
      <c r="D32" s="36" t="s">
        <v>790</v>
      </c>
      <c r="E32" s="37" t="s">
        <v>39</v>
      </c>
      <c r="F32" s="38" t="s">
        <v>40</v>
      </c>
      <c r="G32" s="38" t="s">
        <v>161</v>
      </c>
      <c r="H32" s="38" t="s">
        <v>160</v>
      </c>
      <c r="I32" s="38" t="s">
        <v>9</v>
      </c>
      <c r="J32" s="39">
        <v>3496295</v>
      </c>
      <c r="K32" s="40">
        <v>3181399</v>
      </c>
      <c r="L32" s="40"/>
      <c r="M32" s="40"/>
      <c r="N32" s="41"/>
      <c r="O32" s="41"/>
      <c r="P32" s="41"/>
      <c r="Q32" s="41" t="s">
        <v>8</v>
      </c>
      <c r="R32" s="44">
        <v>125996</v>
      </c>
      <c r="S32" s="44">
        <v>125996</v>
      </c>
      <c r="T32" s="44">
        <v>125996</v>
      </c>
      <c r="U32" s="44">
        <v>125996</v>
      </c>
      <c r="V32" s="44">
        <v>125996</v>
      </c>
      <c r="W32" s="44">
        <v>125996</v>
      </c>
      <c r="X32" s="44">
        <v>125996</v>
      </c>
      <c r="Y32" s="44">
        <v>125996</v>
      </c>
      <c r="Z32" s="44">
        <v>125996</v>
      </c>
      <c r="AA32" s="44">
        <v>125996</v>
      </c>
      <c r="AB32" s="44">
        <v>125996</v>
      </c>
      <c r="AC32" s="44">
        <v>125996</v>
      </c>
      <c r="AD32" s="44">
        <v>125996</v>
      </c>
      <c r="AE32" s="44">
        <v>125996</v>
      </c>
      <c r="AF32" s="44">
        <v>125996</v>
      </c>
      <c r="AG32" s="44">
        <v>125996</v>
      </c>
      <c r="AH32" s="44">
        <v>125996</v>
      </c>
      <c r="AI32" s="44">
        <v>125996</v>
      </c>
      <c r="AJ32" s="44">
        <v>125996</v>
      </c>
      <c r="AK32" s="44">
        <v>125996</v>
      </c>
      <c r="AL32" s="44">
        <v>125996</v>
      </c>
      <c r="AM32" s="44">
        <v>125996</v>
      </c>
      <c r="AN32" s="44">
        <v>125996</v>
      </c>
      <c r="AO32" s="44">
        <v>94497</v>
      </c>
      <c r="AP32" s="44">
        <v>0</v>
      </c>
      <c r="AQ32" s="44">
        <v>0</v>
      </c>
      <c r="AR32" s="44">
        <v>0</v>
      </c>
      <c r="AS32" s="44"/>
      <c r="AT32" s="44"/>
      <c r="AU32" s="45">
        <f t="shared" si="0"/>
        <v>2992405</v>
      </c>
      <c r="AV32" s="46">
        <f t="shared" si="1"/>
        <v>0</v>
      </c>
      <c r="AW32" s="47">
        <f t="shared" si="2"/>
        <v>2110433</v>
      </c>
      <c r="AX32" s="48">
        <f t="shared" si="3"/>
        <v>2992405</v>
      </c>
      <c r="AZ32" s="33" t="b">
        <f t="shared" si="4"/>
        <v>1</v>
      </c>
      <c r="BA32" s="49"/>
    </row>
    <row r="33" spans="2:53" outlineLevel="1" x14ac:dyDescent="0.3">
      <c r="B33" s="50" t="s">
        <v>751</v>
      </c>
      <c r="C33" s="51"/>
      <c r="D33" s="52" t="s">
        <v>791</v>
      </c>
      <c r="E33" s="53"/>
      <c r="F33" s="54"/>
      <c r="G33" s="54"/>
      <c r="H33" s="54"/>
      <c r="I33" s="54"/>
      <c r="J33" s="55"/>
      <c r="K33" s="55"/>
      <c r="L33" s="55" t="s">
        <v>159</v>
      </c>
      <c r="M33" s="55"/>
      <c r="N33" s="56">
        <f t="shared" si="5"/>
        <v>3.8490000000000002</v>
      </c>
      <c r="O33" s="56">
        <v>3.8490000000000002</v>
      </c>
      <c r="P33" s="56">
        <f>$P$4</f>
        <v>0</v>
      </c>
      <c r="Q33" s="56" t="s">
        <v>10</v>
      </c>
      <c r="R33" s="59">
        <f>SUM(R32:$AR32)*$N33/100</f>
        <v>115177.66845000001</v>
      </c>
      <c r="S33" s="59">
        <f>SUM(S32:$AR32)*$N33/100</f>
        <v>110328.08241</v>
      </c>
      <c r="T33" s="59">
        <f>SUM(T32:$AR32)*$N33/100</f>
        <v>105478.49637000001</v>
      </c>
      <c r="U33" s="59">
        <f>SUM(U32:$AR32)*$N33/100</f>
        <v>100628.91033</v>
      </c>
      <c r="V33" s="59">
        <f>SUM(V32:$AR32)*$N33/100</f>
        <v>95779.324290000019</v>
      </c>
      <c r="W33" s="59">
        <f>SUM(W32:$AR32)*$N33/100</f>
        <v>90929.738250000009</v>
      </c>
      <c r="X33" s="59">
        <f>SUM(X32:$AR32)*$N33/100</f>
        <v>86080.152210000015</v>
      </c>
      <c r="Y33" s="59">
        <f>SUM(Y32:$AR32)*$N33/100</f>
        <v>81230.566170000006</v>
      </c>
      <c r="Z33" s="59">
        <f>SUM(Z32:$AR32)*$N33/100</f>
        <v>76380.980129999996</v>
      </c>
      <c r="AA33" s="59">
        <f>SUM(AA32:$AR32)*$N33/100</f>
        <v>71531.394090000002</v>
      </c>
      <c r="AB33" s="59">
        <f>SUM(AB32:$AR32)*$N33/100</f>
        <v>66681.808050000007</v>
      </c>
      <c r="AC33" s="59">
        <f>SUM(AC32:$AR32)*$N33/100</f>
        <v>61832.222010000005</v>
      </c>
      <c r="AD33" s="59">
        <f>SUM(AD32:$AR32)*$N33/100</f>
        <v>56982.635970000003</v>
      </c>
      <c r="AE33" s="59">
        <f>SUM(AE32:$AR32)*$N33/100</f>
        <v>52133.049930000008</v>
      </c>
      <c r="AF33" s="59">
        <f>SUM(AF32:$AR32)*$N33/100</f>
        <v>47283.463890000006</v>
      </c>
      <c r="AG33" s="59">
        <f>SUM(AG32:$AR32)*$N33/100</f>
        <v>42433.877850000004</v>
      </c>
      <c r="AH33" s="59">
        <f>SUM(AH32:$AR32)*$N33/100</f>
        <v>37584.291810000002</v>
      </c>
      <c r="AI33" s="59">
        <f>SUM(AI32:$AR32)*$N33/100</f>
        <v>32734.70577</v>
      </c>
      <c r="AJ33" s="59">
        <f>SUM(AJ32:$AR32)*$N33/100</f>
        <v>27885.119730000002</v>
      </c>
      <c r="AK33" s="59">
        <f>SUM(AK32:$AR32)*$N33/100</f>
        <v>23035.53369</v>
      </c>
      <c r="AL33" s="59">
        <f>SUM(AL32:$AR32)*$N33/100</f>
        <v>18185.947650000002</v>
      </c>
      <c r="AM33" s="59">
        <f>SUM(AM32:$AR32)*$N33/100</f>
        <v>13336.36161</v>
      </c>
      <c r="AN33" s="59">
        <f>SUM(AN32:$AR32)*$N33/100</f>
        <v>8486.7755699999998</v>
      </c>
      <c r="AO33" s="59">
        <f>SUM(AO32:$AR32)*$N33/100</f>
        <v>3637.1895300000006</v>
      </c>
      <c r="AP33" s="59">
        <v>0</v>
      </c>
      <c r="AQ33" s="59">
        <v>0</v>
      </c>
      <c r="AR33" s="59">
        <v>0</v>
      </c>
      <c r="AS33" s="59"/>
      <c r="AT33" s="59"/>
      <c r="AU33" s="60">
        <f t="shared" si="0"/>
        <v>1425778.2957600001</v>
      </c>
      <c r="AV33" s="46">
        <f t="shared" si="1"/>
        <v>0</v>
      </c>
      <c r="AW33" s="61">
        <f t="shared" si="2"/>
        <v>721375.92345000012</v>
      </c>
      <c r="AX33" s="62">
        <f t="shared" si="3"/>
        <v>1425778.2957600001</v>
      </c>
      <c r="AZ33" s="33" t="b">
        <f t="shared" si="4"/>
        <v>1</v>
      </c>
    </row>
    <row r="34" spans="2:53" s="33" customFormat="1" outlineLevel="1" x14ac:dyDescent="0.3">
      <c r="B34" s="34" t="s">
        <v>751</v>
      </c>
      <c r="C34" s="35">
        <v>15</v>
      </c>
      <c r="D34" s="36" t="s">
        <v>784</v>
      </c>
      <c r="E34" s="37" t="s">
        <v>41</v>
      </c>
      <c r="F34" s="38" t="s">
        <v>42</v>
      </c>
      <c r="G34" s="38" t="s">
        <v>163</v>
      </c>
      <c r="H34" s="38" t="s">
        <v>162</v>
      </c>
      <c r="I34" s="38" t="s">
        <v>9</v>
      </c>
      <c r="J34" s="39">
        <v>190122</v>
      </c>
      <c r="K34" s="40">
        <v>148712</v>
      </c>
      <c r="L34" s="40"/>
      <c r="M34" s="40"/>
      <c r="N34" s="41"/>
      <c r="O34" s="41"/>
      <c r="P34" s="41"/>
      <c r="Q34" s="41" t="s">
        <v>8</v>
      </c>
      <c r="R34" s="44">
        <v>9752</v>
      </c>
      <c r="S34" s="44">
        <v>9752</v>
      </c>
      <c r="T34" s="44">
        <v>9752</v>
      </c>
      <c r="U34" s="44">
        <v>9752</v>
      </c>
      <c r="V34" s="44">
        <v>9752</v>
      </c>
      <c r="W34" s="44">
        <v>9752</v>
      </c>
      <c r="X34" s="44">
        <v>9752</v>
      </c>
      <c r="Y34" s="44">
        <v>9752</v>
      </c>
      <c r="Z34" s="44">
        <v>9752</v>
      </c>
      <c r="AA34" s="44">
        <v>9752</v>
      </c>
      <c r="AB34" s="44">
        <v>9752</v>
      </c>
      <c r="AC34" s="44">
        <v>9752</v>
      </c>
      <c r="AD34" s="44">
        <v>9752</v>
      </c>
      <c r="AE34" s="44">
        <v>7308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/>
      <c r="AT34" s="44"/>
      <c r="AU34" s="45">
        <f t="shared" si="0"/>
        <v>134084</v>
      </c>
      <c r="AV34" s="46">
        <f t="shared" si="1"/>
        <v>0</v>
      </c>
      <c r="AW34" s="47">
        <f t="shared" si="2"/>
        <v>65820</v>
      </c>
      <c r="AX34" s="48">
        <f t="shared" si="3"/>
        <v>134084</v>
      </c>
      <c r="AZ34" s="33" t="b">
        <f t="shared" si="4"/>
        <v>1</v>
      </c>
      <c r="BA34" s="49"/>
    </row>
    <row r="35" spans="2:53" outlineLevel="1" x14ac:dyDescent="0.3">
      <c r="B35" s="50" t="s">
        <v>751</v>
      </c>
      <c r="C35" s="51"/>
      <c r="D35" s="52" t="s">
        <v>817</v>
      </c>
      <c r="E35" s="53"/>
      <c r="F35" s="54"/>
      <c r="G35" s="54"/>
      <c r="H35" s="54"/>
      <c r="I35" s="54"/>
      <c r="J35" s="55"/>
      <c r="K35" s="55"/>
      <c r="L35" s="55" t="s">
        <v>723</v>
      </c>
      <c r="M35" s="55"/>
      <c r="N35" s="56">
        <f t="shared" si="5"/>
        <v>3.593</v>
      </c>
      <c r="O35" s="196">
        <v>3.593</v>
      </c>
      <c r="P35" s="56">
        <f>$P$4</f>
        <v>0</v>
      </c>
      <c r="Q35" s="56" t="s">
        <v>10</v>
      </c>
      <c r="R35" s="59">
        <f>SUM(R34:$AR34)*$N35/100</f>
        <v>4817.6381199999996</v>
      </c>
      <c r="S35" s="59">
        <f>SUM(S34:$AR34)*$N35/100</f>
        <v>4467.2487599999995</v>
      </c>
      <c r="T35" s="59">
        <f>SUM(T34:$AR34)*$N35/100</f>
        <v>4116.8594000000003</v>
      </c>
      <c r="U35" s="59">
        <f>SUM(U34:$AR34)*$N35/100</f>
        <v>3766.4700400000002</v>
      </c>
      <c r="V35" s="59">
        <f>SUM(V34:$AR34)*$N35/100</f>
        <v>3416.0806799999996</v>
      </c>
      <c r="W35" s="59">
        <f>SUM(W34:$AR34)*$N35/100</f>
        <v>3065.6913199999999</v>
      </c>
      <c r="X35" s="59">
        <f>SUM(X34:$AR34)*$N35/100</f>
        <v>2715.3019599999998</v>
      </c>
      <c r="Y35" s="59">
        <f>SUM(Y34:$AR34)*$N35/100</f>
        <v>2364.9126000000001</v>
      </c>
      <c r="Z35" s="59">
        <f>SUM(Z34:$AR34)*$N35/100</f>
        <v>2014.52324</v>
      </c>
      <c r="AA35" s="59">
        <f>SUM(AA34:$AR34)*$N35/100</f>
        <v>1664.1338800000001</v>
      </c>
      <c r="AB35" s="59">
        <f>SUM(AB34:$AR34)*$N35/100</f>
        <v>1313.74452</v>
      </c>
      <c r="AC35" s="59">
        <f>SUM(AC34:$AR34)*$N35/100</f>
        <v>963.35516000000007</v>
      </c>
      <c r="AD35" s="59">
        <f>SUM(AD34:$AR34)*$N35/100</f>
        <v>612.96580000000006</v>
      </c>
      <c r="AE35" s="59">
        <f>SUM(AE34:$AR34)*$N35/100</f>
        <v>262.57643999999999</v>
      </c>
      <c r="AF35" s="59">
        <v>0</v>
      </c>
      <c r="AG35" s="59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v>0</v>
      </c>
      <c r="AM35" s="59">
        <v>0</v>
      </c>
      <c r="AN35" s="59">
        <v>0</v>
      </c>
      <c r="AO35" s="59">
        <v>0</v>
      </c>
      <c r="AP35" s="59">
        <v>0</v>
      </c>
      <c r="AQ35" s="59">
        <v>0</v>
      </c>
      <c r="AR35" s="59">
        <v>0</v>
      </c>
      <c r="AS35" s="59"/>
      <c r="AT35" s="59"/>
      <c r="AU35" s="60">
        <f t="shared" si="0"/>
        <v>35561.501919999988</v>
      </c>
      <c r="AV35" s="46">
        <f t="shared" si="1"/>
        <v>0</v>
      </c>
      <c r="AW35" s="61">
        <f t="shared" si="2"/>
        <v>9196.2116400000014</v>
      </c>
      <c r="AX35" s="62">
        <f t="shared" si="3"/>
        <v>35561.501919999995</v>
      </c>
      <c r="AZ35" s="33" t="b">
        <f t="shared" si="4"/>
        <v>1</v>
      </c>
    </row>
    <row r="36" spans="2:53" s="33" customFormat="1" outlineLevel="1" collapsed="1" x14ac:dyDescent="0.3">
      <c r="B36" s="34" t="s">
        <v>751</v>
      </c>
      <c r="C36" s="35">
        <v>16</v>
      </c>
      <c r="D36" s="36" t="s">
        <v>818</v>
      </c>
      <c r="E36" s="37" t="s">
        <v>43</v>
      </c>
      <c r="F36" s="38" t="s">
        <v>44</v>
      </c>
      <c r="G36" s="38" t="s">
        <v>164</v>
      </c>
      <c r="H36" s="38" t="s">
        <v>162</v>
      </c>
      <c r="I36" s="38" t="s">
        <v>9</v>
      </c>
      <c r="J36" s="39">
        <v>177076.43</v>
      </c>
      <c r="K36" s="40">
        <v>140300</v>
      </c>
      <c r="L36" s="40"/>
      <c r="M36" s="40"/>
      <c r="N36" s="41"/>
      <c r="O36" s="197"/>
      <c r="P36" s="41"/>
      <c r="Q36" s="41" t="s">
        <v>8</v>
      </c>
      <c r="R36" s="44">
        <v>9200</v>
      </c>
      <c r="S36" s="44">
        <v>9200</v>
      </c>
      <c r="T36" s="44">
        <v>9200</v>
      </c>
      <c r="U36" s="44">
        <v>9200</v>
      </c>
      <c r="V36" s="44">
        <v>9200</v>
      </c>
      <c r="W36" s="44">
        <v>9200</v>
      </c>
      <c r="X36" s="44">
        <v>9200</v>
      </c>
      <c r="Y36" s="44">
        <v>9200</v>
      </c>
      <c r="Z36" s="44">
        <v>9200</v>
      </c>
      <c r="AA36" s="44">
        <v>9200</v>
      </c>
      <c r="AB36" s="44">
        <v>9200</v>
      </c>
      <c r="AC36" s="44">
        <v>9200</v>
      </c>
      <c r="AD36" s="44">
        <v>9200</v>
      </c>
      <c r="AE36" s="44">
        <v>6900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/>
      <c r="AT36" s="44"/>
      <c r="AU36" s="45">
        <f t="shared" si="0"/>
        <v>126500</v>
      </c>
      <c r="AV36" s="46">
        <f t="shared" si="1"/>
        <v>0</v>
      </c>
      <c r="AW36" s="47">
        <f t="shared" si="2"/>
        <v>62100</v>
      </c>
      <c r="AX36" s="48">
        <f t="shared" si="3"/>
        <v>126500</v>
      </c>
      <c r="AZ36" s="33" t="b">
        <f t="shared" si="4"/>
        <v>1</v>
      </c>
      <c r="BA36" s="49"/>
    </row>
    <row r="37" spans="2:53" outlineLevel="1" x14ac:dyDescent="0.3">
      <c r="B37" s="50" t="s">
        <v>751</v>
      </c>
      <c r="C37" s="51"/>
      <c r="D37" s="52" t="s">
        <v>819</v>
      </c>
      <c r="E37" s="53"/>
      <c r="F37" s="54"/>
      <c r="G37" s="54"/>
      <c r="H37" s="54"/>
      <c r="I37" s="54"/>
      <c r="J37" s="55"/>
      <c r="K37" s="55"/>
      <c r="L37" s="55" t="s">
        <v>721</v>
      </c>
      <c r="M37" s="55"/>
      <c r="N37" s="56">
        <f t="shared" si="5"/>
        <v>3.5819999999999999</v>
      </c>
      <c r="O37" s="196">
        <v>3.5819999999999999</v>
      </c>
      <c r="P37" s="56">
        <f>$P$4</f>
        <v>0</v>
      </c>
      <c r="Q37" s="56" t="s">
        <v>10</v>
      </c>
      <c r="R37" s="59">
        <f>SUM(R36:$AR36)*$N37/100</f>
        <v>4531.2299999999996</v>
      </c>
      <c r="S37" s="59">
        <f>SUM(S36:$AR36)*$N37/100</f>
        <v>4201.6859999999997</v>
      </c>
      <c r="T37" s="59">
        <f>SUM(T36:$AR36)*$N37/100</f>
        <v>3872.1420000000003</v>
      </c>
      <c r="U37" s="59">
        <f>SUM(U36:$AR36)*$N37/100</f>
        <v>3542.598</v>
      </c>
      <c r="V37" s="59">
        <f>SUM(V36:$AR36)*$N37/100</f>
        <v>3213.0539999999996</v>
      </c>
      <c r="W37" s="59">
        <f>SUM(W36:$AR36)*$N37/100</f>
        <v>2883.51</v>
      </c>
      <c r="X37" s="59">
        <f>SUM(X36:$AR36)*$N37/100</f>
        <v>2553.9659999999999</v>
      </c>
      <c r="Y37" s="59">
        <f>SUM(Y36:$AR36)*$N37/100</f>
        <v>2224.422</v>
      </c>
      <c r="Z37" s="59">
        <f>SUM(Z36:$AR36)*$N37/100</f>
        <v>1894.8779999999999</v>
      </c>
      <c r="AA37" s="59">
        <f>SUM(AA36:$AR36)*$N37/100</f>
        <v>1565.3339999999998</v>
      </c>
      <c r="AB37" s="59">
        <f>SUM(AB36:$AR36)*$N37/100</f>
        <v>1235.79</v>
      </c>
      <c r="AC37" s="59">
        <f>SUM(AC36:$AR36)*$N37/100</f>
        <v>906.24599999999987</v>
      </c>
      <c r="AD37" s="59">
        <f>SUM(AD36:$AR36)*$N37/100</f>
        <v>576.702</v>
      </c>
      <c r="AE37" s="59">
        <f>SUM(AE36:$AR36)*$N37/100</f>
        <v>247.15799999999999</v>
      </c>
      <c r="AF37" s="59">
        <v>0</v>
      </c>
      <c r="AG37" s="59">
        <v>0</v>
      </c>
      <c r="AH37" s="59">
        <v>0</v>
      </c>
      <c r="AI37" s="59">
        <v>0</v>
      </c>
      <c r="AJ37" s="59">
        <v>0</v>
      </c>
      <c r="AK37" s="59">
        <v>0</v>
      </c>
      <c r="AL37" s="59">
        <v>0</v>
      </c>
      <c r="AM37" s="59">
        <v>0</v>
      </c>
      <c r="AN37" s="59">
        <v>0</v>
      </c>
      <c r="AO37" s="59">
        <v>0</v>
      </c>
      <c r="AP37" s="59">
        <v>0</v>
      </c>
      <c r="AQ37" s="59">
        <v>0</v>
      </c>
      <c r="AR37" s="59">
        <v>0</v>
      </c>
      <c r="AS37" s="59"/>
      <c r="AT37" s="59"/>
      <c r="AU37" s="60">
        <f t="shared" si="0"/>
        <v>33448.716</v>
      </c>
      <c r="AV37" s="46">
        <f t="shared" si="1"/>
        <v>0</v>
      </c>
      <c r="AW37" s="61">
        <f t="shared" si="2"/>
        <v>8650.5299999999988</v>
      </c>
      <c r="AX37" s="62">
        <f t="shared" si="3"/>
        <v>33448.716</v>
      </c>
      <c r="AZ37" s="33" t="b">
        <f t="shared" si="4"/>
        <v>1</v>
      </c>
    </row>
    <row r="38" spans="2:53" s="33" customFormat="1" outlineLevel="1" collapsed="1" x14ac:dyDescent="0.3">
      <c r="B38" s="34" t="s">
        <v>750</v>
      </c>
      <c r="C38" s="35">
        <v>17</v>
      </c>
      <c r="D38" s="36" t="s">
        <v>731</v>
      </c>
      <c r="E38" s="37" t="s">
        <v>45</v>
      </c>
      <c r="F38" s="38" t="s">
        <v>46</v>
      </c>
      <c r="G38" s="38" t="s">
        <v>164</v>
      </c>
      <c r="H38" s="38" t="s">
        <v>165</v>
      </c>
      <c r="I38" s="38" t="s">
        <v>9</v>
      </c>
      <c r="J38" s="39">
        <v>1174139.99</v>
      </c>
      <c r="K38" s="40">
        <v>830003.99</v>
      </c>
      <c r="L38" s="40"/>
      <c r="M38" s="40"/>
      <c r="N38" s="41"/>
      <c r="O38" s="41"/>
      <c r="P38" s="41"/>
      <c r="Q38" s="41" t="s">
        <v>8</v>
      </c>
      <c r="R38" s="44">
        <v>80976</v>
      </c>
      <c r="S38" s="44">
        <v>80976</v>
      </c>
      <c r="T38" s="44">
        <v>80976</v>
      </c>
      <c r="U38" s="44">
        <v>80976</v>
      </c>
      <c r="V38" s="44">
        <v>80976</v>
      </c>
      <c r="W38" s="44">
        <v>80976</v>
      </c>
      <c r="X38" s="44">
        <v>80976</v>
      </c>
      <c r="Y38" s="44">
        <v>80976</v>
      </c>
      <c r="Z38" s="44">
        <v>60731.990000000005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S38" s="44"/>
      <c r="AT38" s="44"/>
      <c r="AU38" s="45">
        <f t="shared" si="0"/>
        <v>708539.99</v>
      </c>
      <c r="AV38" s="46">
        <f t="shared" si="1"/>
        <v>0</v>
      </c>
      <c r="AW38" s="47">
        <f t="shared" si="2"/>
        <v>141707.99</v>
      </c>
      <c r="AX38" s="48">
        <f t="shared" si="3"/>
        <v>708539.99</v>
      </c>
      <c r="AZ38" s="33" t="b">
        <f t="shared" si="4"/>
        <v>1</v>
      </c>
      <c r="BA38" s="49"/>
    </row>
    <row r="39" spans="2:53" outlineLevel="1" x14ac:dyDescent="0.3">
      <c r="B39" s="50" t="s">
        <v>750</v>
      </c>
      <c r="C39" s="51"/>
      <c r="D39" s="52"/>
      <c r="E39" s="53"/>
      <c r="F39" s="54"/>
      <c r="G39" s="54"/>
      <c r="H39" s="54"/>
      <c r="I39" s="54"/>
      <c r="J39" s="55"/>
      <c r="K39" s="55"/>
      <c r="L39" s="55" t="s">
        <v>722</v>
      </c>
      <c r="M39" s="55"/>
      <c r="N39" s="56">
        <f t="shared" si="5"/>
        <v>3.5819999999999999</v>
      </c>
      <c r="O39" s="196">
        <v>3.5819999999999999</v>
      </c>
      <c r="P39" s="56">
        <f>$P$4</f>
        <v>0</v>
      </c>
      <c r="Q39" s="56" t="s">
        <v>10</v>
      </c>
      <c r="R39" s="59">
        <f>SUM(R38:$AR38)*$N39/100</f>
        <v>25379.902441800001</v>
      </c>
      <c r="S39" s="59">
        <f>SUM(S38:$AR38)*$N39/100</f>
        <v>22479.342121799997</v>
      </c>
      <c r="T39" s="59">
        <f>SUM(T38:$AR38)*$N39/100</f>
        <v>19578.7818018</v>
      </c>
      <c r="U39" s="59">
        <f>SUM(U38:$AR38)*$N39/100</f>
        <v>16678.221481799999</v>
      </c>
      <c r="V39" s="59">
        <f>SUM(V38:$AR38)*$N39/100</f>
        <v>13777.661161799999</v>
      </c>
      <c r="W39" s="59">
        <f>SUM(W38:$AR38)*$N39/100</f>
        <v>10877.1008418</v>
      </c>
      <c r="X39" s="59">
        <f>SUM(X38:$AR38)*$N39/100</f>
        <v>7976.5405217999987</v>
      </c>
      <c r="Y39" s="59">
        <f>SUM(Y38:$AR38)*$N39/100</f>
        <v>5075.9802017999991</v>
      </c>
      <c r="Z39" s="59">
        <f>SUM(Z38:$AR38)*$N39/100</f>
        <v>2175.4198818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v>0</v>
      </c>
      <c r="AM39" s="59">
        <v>0</v>
      </c>
      <c r="AN39" s="59">
        <v>0</v>
      </c>
      <c r="AO39" s="59">
        <v>0</v>
      </c>
      <c r="AP39" s="59">
        <v>0</v>
      </c>
      <c r="AQ39" s="59">
        <v>0</v>
      </c>
      <c r="AR39" s="59">
        <v>0</v>
      </c>
      <c r="AS39" s="59"/>
      <c r="AT39" s="59"/>
      <c r="AU39" s="60">
        <f t="shared" si="0"/>
        <v>123998.95045619999</v>
      </c>
      <c r="AV39" s="46">
        <f t="shared" si="1"/>
        <v>0</v>
      </c>
      <c r="AW39" s="61">
        <f t="shared" si="2"/>
        <v>7251.4000835999996</v>
      </c>
      <c r="AX39" s="62">
        <f t="shared" si="3"/>
        <v>123998.95045619999</v>
      </c>
      <c r="AZ39" s="33" t="b">
        <f t="shared" si="4"/>
        <v>1</v>
      </c>
    </row>
    <row r="40" spans="2:53" s="33" customFormat="1" outlineLevel="1" collapsed="1" x14ac:dyDescent="0.3">
      <c r="B40" s="34" t="s">
        <v>750</v>
      </c>
      <c r="C40" s="35">
        <v>18</v>
      </c>
      <c r="D40" s="36" t="s">
        <v>728</v>
      </c>
      <c r="E40" s="37" t="s">
        <v>47</v>
      </c>
      <c r="F40" s="38" t="s">
        <v>48</v>
      </c>
      <c r="G40" s="38" t="s">
        <v>168</v>
      </c>
      <c r="H40" s="38" t="s">
        <v>167</v>
      </c>
      <c r="I40" s="38" t="s">
        <v>9</v>
      </c>
      <c r="J40" s="39">
        <v>388132.51</v>
      </c>
      <c r="K40" s="40">
        <v>204582</v>
      </c>
      <c r="L40" s="40"/>
      <c r="M40" s="40"/>
      <c r="N40" s="41"/>
      <c r="O40" s="41"/>
      <c r="P40" s="41"/>
      <c r="Q40" s="41" t="s">
        <v>8</v>
      </c>
      <c r="R40" s="44">
        <v>38968</v>
      </c>
      <c r="S40" s="44">
        <v>38968</v>
      </c>
      <c r="T40" s="44">
        <v>38968</v>
      </c>
      <c r="U40" s="44">
        <v>29226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0</v>
      </c>
      <c r="AS40" s="44"/>
      <c r="AT40" s="44"/>
      <c r="AU40" s="45">
        <f t="shared" si="0"/>
        <v>146130</v>
      </c>
      <c r="AV40" s="46">
        <f t="shared" si="1"/>
        <v>0</v>
      </c>
      <c r="AW40" s="47">
        <f t="shared" si="2"/>
        <v>0</v>
      </c>
      <c r="AX40" s="48">
        <f t="shared" si="3"/>
        <v>146130</v>
      </c>
      <c r="AZ40" s="33" t="b">
        <f t="shared" si="4"/>
        <v>1</v>
      </c>
      <c r="BA40" s="49"/>
    </row>
    <row r="41" spans="2:53" outlineLevel="1" x14ac:dyDescent="0.3">
      <c r="B41" s="50" t="s">
        <v>750</v>
      </c>
      <c r="C41" s="51"/>
      <c r="D41" s="52"/>
      <c r="E41" s="53"/>
      <c r="F41" s="54"/>
      <c r="G41" s="54"/>
      <c r="H41" s="54"/>
      <c r="I41" s="54"/>
      <c r="J41" s="55"/>
      <c r="K41" s="55"/>
      <c r="L41" s="55" t="s">
        <v>166</v>
      </c>
      <c r="M41" s="55"/>
      <c r="N41" s="56">
        <f t="shared" si="5"/>
        <v>3.2730000000000001</v>
      </c>
      <c r="O41" s="196">
        <v>3.2730000000000001</v>
      </c>
      <c r="P41" s="56">
        <f>$P$4</f>
        <v>0</v>
      </c>
      <c r="Q41" s="56" t="s">
        <v>10</v>
      </c>
      <c r="R41" s="59">
        <f>SUM(R40:$AR40)*$N41/100</f>
        <v>4782.8348999999998</v>
      </c>
      <c r="S41" s="59">
        <f>SUM(S40:$AR40)*$N41/100</f>
        <v>3507.4122600000001</v>
      </c>
      <c r="T41" s="59">
        <f>SUM(T40:$AR40)*$N41/100</f>
        <v>2231.9896199999998</v>
      </c>
      <c r="U41" s="59">
        <f>SUM(U40:$AR40)*$N41/100</f>
        <v>956.56698000000006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59">
        <v>0</v>
      </c>
      <c r="AF41" s="59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v>0</v>
      </c>
      <c r="AM41" s="59">
        <v>0</v>
      </c>
      <c r="AN41" s="59">
        <v>0</v>
      </c>
      <c r="AO41" s="59">
        <v>0</v>
      </c>
      <c r="AP41" s="59">
        <v>0</v>
      </c>
      <c r="AQ41" s="59">
        <v>0</v>
      </c>
      <c r="AR41" s="59">
        <v>0</v>
      </c>
      <c r="AS41" s="59"/>
      <c r="AT41" s="59"/>
      <c r="AU41" s="60">
        <f t="shared" si="0"/>
        <v>11478.803759999999</v>
      </c>
      <c r="AV41" s="46">
        <f t="shared" si="1"/>
        <v>0</v>
      </c>
      <c r="AW41" s="61">
        <f t="shared" si="2"/>
        <v>0</v>
      </c>
      <c r="AX41" s="62">
        <f t="shared" si="3"/>
        <v>11478.803759999999</v>
      </c>
      <c r="AZ41" s="33" t="b">
        <f t="shared" si="4"/>
        <v>1</v>
      </c>
    </row>
    <row r="42" spans="2:53" s="33" customFormat="1" outlineLevel="1" x14ac:dyDescent="0.3">
      <c r="B42" s="34" t="s">
        <v>751</v>
      </c>
      <c r="C42" s="35">
        <v>19</v>
      </c>
      <c r="D42" s="36" t="s">
        <v>784</v>
      </c>
      <c r="E42" s="37" t="s">
        <v>49</v>
      </c>
      <c r="F42" s="38" t="s">
        <v>50</v>
      </c>
      <c r="G42" s="38" t="s">
        <v>171</v>
      </c>
      <c r="H42" s="38" t="s">
        <v>170</v>
      </c>
      <c r="I42" s="38" t="s">
        <v>9</v>
      </c>
      <c r="J42" s="39">
        <v>160577.24</v>
      </c>
      <c r="K42" s="40">
        <v>127658</v>
      </c>
      <c r="L42" s="40"/>
      <c r="M42" s="40"/>
      <c r="N42" s="41"/>
      <c r="O42" s="41"/>
      <c r="P42" s="41"/>
      <c r="Q42" s="41" t="s">
        <v>8</v>
      </c>
      <c r="R42" s="44">
        <v>8236</v>
      </c>
      <c r="S42" s="44">
        <v>8236</v>
      </c>
      <c r="T42" s="44">
        <v>8236</v>
      </c>
      <c r="U42" s="44">
        <v>8236</v>
      </c>
      <c r="V42" s="44">
        <v>8236</v>
      </c>
      <c r="W42" s="44">
        <v>8236</v>
      </c>
      <c r="X42" s="44">
        <v>8236</v>
      </c>
      <c r="Y42" s="44">
        <v>8236</v>
      </c>
      <c r="Z42" s="44">
        <v>8236</v>
      </c>
      <c r="AA42" s="44">
        <v>8236</v>
      </c>
      <c r="AB42" s="44">
        <v>8236</v>
      </c>
      <c r="AC42" s="44">
        <v>8236</v>
      </c>
      <c r="AD42" s="44">
        <v>8236</v>
      </c>
      <c r="AE42" s="44">
        <v>8236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/>
      <c r="AT42" s="44"/>
      <c r="AU42" s="45">
        <f t="shared" si="0"/>
        <v>115304</v>
      </c>
      <c r="AV42" s="46">
        <f t="shared" si="1"/>
        <v>0</v>
      </c>
      <c r="AW42" s="47">
        <f t="shared" si="2"/>
        <v>57652</v>
      </c>
      <c r="AX42" s="48">
        <f t="shared" si="3"/>
        <v>115304</v>
      </c>
      <c r="AZ42" s="33" t="b">
        <f t="shared" si="4"/>
        <v>1</v>
      </c>
      <c r="BA42" s="49"/>
    </row>
    <row r="43" spans="2:53" outlineLevel="1" x14ac:dyDescent="0.3">
      <c r="B43" s="50" t="s">
        <v>751</v>
      </c>
      <c r="C43" s="51"/>
      <c r="D43" s="52" t="s">
        <v>820</v>
      </c>
      <c r="E43" s="53"/>
      <c r="F43" s="54"/>
      <c r="G43" s="54"/>
      <c r="H43" s="54"/>
      <c r="I43" s="54"/>
      <c r="J43" s="55"/>
      <c r="K43" s="55"/>
      <c r="L43" s="55" t="s">
        <v>169</v>
      </c>
      <c r="M43" s="55"/>
      <c r="N43" s="56">
        <f t="shared" si="5"/>
        <v>3.077</v>
      </c>
      <c r="O43" s="196">
        <v>3.077</v>
      </c>
      <c r="P43" s="56">
        <f>$P$4</f>
        <v>0</v>
      </c>
      <c r="Q43" s="56" t="s">
        <v>10</v>
      </c>
      <c r="R43" s="59">
        <f>SUM(R42:$AR42)*$N43/100</f>
        <v>3547.9040799999998</v>
      </c>
      <c r="S43" s="59">
        <f>SUM(S42:$AR42)*$N43/100</f>
        <v>3294.48236</v>
      </c>
      <c r="T43" s="59">
        <f>SUM(T42:$AR42)*$N43/100</f>
        <v>3041.0606400000001</v>
      </c>
      <c r="U43" s="59">
        <f>SUM(U42:$AR42)*$N43/100</f>
        <v>2787.6389199999999</v>
      </c>
      <c r="V43" s="59">
        <f>SUM(V42:$AR42)*$N43/100</f>
        <v>2534.2172</v>
      </c>
      <c r="W43" s="59">
        <f>SUM(W42:$AR42)*$N43/100</f>
        <v>2280.7954800000002</v>
      </c>
      <c r="X43" s="59">
        <f>SUM(X42:$AR42)*$N43/100</f>
        <v>2027.3737599999999</v>
      </c>
      <c r="Y43" s="59">
        <f>SUM(Y42:$AR42)*$N43/100</f>
        <v>1773.9520399999999</v>
      </c>
      <c r="Z43" s="59">
        <f>SUM(Z42:$AR42)*$N43/100</f>
        <v>1520.5303200000001</v>
      </c>
      <c r="AA43" s="59">
        <f>SUM(AA42:$AR42)*$N43/100</f>
        <v>1267.1086</v>
      </c>
      <c r="AB43" s="59">
        <f>SUM(AB42:$AR42)*$N43/100</f>
        <v>1013.68688</v>
      </c>
      <c r="AC43" s="59">
        <f>SUM(AC42:$AR42)*$N43/100</f>
        <v>760.26516000000004</v>
      </c>
      <c r="AD43" s="59">
        <f>SUM(AD42:$AR42)*$N43/100</f>
        <v>506.84343999999999</v>
      </c>
      <c r="AE43" s="59">
        <f>SUM(AE42:$AR42)*$N43/100</f>
        <v>253.42171999999999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v>0</v>
      </c>
      <c r="AM43" s="59">
        <v>0</v>
      </c>
      <c r="AN43" s="59">
        <v>0</v>
      </c>
      <c r="AO43" s="59">
        <v>0</v>
      </c>
      <c r="AP43" s="59">
        <v>0</v>
      </c>
      <c r="AQ43" s="59">
        <v>0</v>
      </c>
      <c r="AR43" s="59">
        <v>0</v>
      </c>
      <c r="AS43" s="59"/>
      <c r="AT43" s="59"/>
      <c r="AU43" s="60">
        <f t="shared" si="0"/>
        <v>26609.280599999998</v>
      </c>
      <c r="AV43" s="46">
        <f t="shared" si="1"/>
        <v>0</v>
      </c>
      <c r="AW43" s="61">
        <f t="shared" si="2"/>
        <v>7095.8081599999996</v>
      </c>
      <c r="AX43" s="62">
        <f t="shared" si="3"/>
        <v>26609.280599999998</v>
      </c>
      <c r="AZ43" s="33" t="b">
        <f t="shared" si="4"/>
        <v>1</v>
      </c>
    </row>
    <row r="44" spans="2:53" s="33" customFormat="1" outlineLevel="1" x14ac:dyDescent="0.3">
      <c r="B44" s="34" t="s">
        <v>751</v>
      </c>
      <c r="C44" s="35">
        <v>20</v>
      </c>
      <c r="D44" s="36" t="s">
        <v>792</v>
      </c>
      <c r="E44" s="37" t="s">
        <v>51</v>
      </c>
      <c r="F44" s="38" t="s">
        <v>52</v>
      </c>
      <c r="G44" s="38" t="s">
        <v>174</v>
      </c>
      <c r="H44" s="38" t="s">
        <v>173</v>
      </c>
      <c r="I44" s="38" t="s">
        <v>9</v>
      </c>
      <c r="J44" s="39">
        <v>131127</v>
      </c>
      <c r="K44" s="40">
        <v>104284</v>
      </c>
      <c r="L44" s="40"/>
      <c r="M44" s="40"/>
      <c r="N44" s="41"/>
      <c r="O44" s="41"/>
      <c r="P44" s="41"/>
      <c r="Q44" s="41" t="s">
        <v>8</v>
      </c>
      <c r="R44" s="44">
        <v>6728</v>
      </c>
      <c r="S44" s="44">
        <v>6728</v>
      </c>
      <c r="T44" s="44">
        <v>6728</v>
      </c>
      <c r="U44" s="44">
        <v>6728</v>
      </c>
      <c r="V44" s="44">
        <v>6728</v>
      </c>
      <c r="W44" s="44">
        <v>6728</v>
      </c>
      <c r="X44" s="44">
        <v>6728</v>
      </c>
      <c r="Y44" s="44">
        <v>6728</v>
      </c>
      <c r="Z44" s="44">
        <v>6728</v>
      </c>
      <c r="AA44" s="44">
        <v>6728</v>
      </c>
      <c r="AB44" s="44">
        <v>6728</v>
      </c>
      <c r="AC44" s="44">
        <v>6728</v>
      </c>
      <c r="AD44" s="44">
        <v>6728</v>
      </c>
      <c r="AE44" s="44">
        <v>6728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/>
      <c r="AT44" s="44"/>
      <c r="AU44" s="45">
        <f t="shared" si="0"/>
        <v>94192</v>
      </c>
      <c r="AV44" s="46">
        <f t="shared" si="1"/>
        <v>0</v>
      </c>
      <c r="AW44" s="47">
        <f t="shared" si="2"/>
        <v>47096</v>
      </c>
      <c r="AX44" s="48">
        <f t="shared" si="3"/>
        <v>94192</v>
      </c>
      <c r="AZ44" s="33" t="b">
        <f t="shared" si="4"/>
        <v>1</v>
      </c>
      <c r="BA44" s="49"/>
    </row>
    <row r="45" spans="2:53" outlineLevel="1" x14ac:dyDescent="0.3">
      <c r="B45" s="50" t="s">
        <v>751</v>
      </c>
      <c r="C45" s="51"/>
      <c r="D45" s="52" t="s">
        <v>793</v>
      </c>
      <c r="E45" s="53"/>
      <c r="F45" s="54"/>
      <c r="G45" s="54"/>
      <c r="H45" s="54"/>
      <c r="I45" s="54"/>
      <c r="J45" s="55"/>
      <c r="K45" s="55"/>
      <c r="L45" s="55" t="s">
        <v>172</v>
      </c>
      <c r="M45" s="55"/>
      <c r="N45" s="56">
        <f t="shared" si="5"/>
        <v>4.4089999999999998</v>
      </c>
      <c r="O45" s="64">
        <v>4.4089999999999998</v>
      </c>
      <c r="P45" s="56">
        <f>$P$4</f>
        <v>0</v>
      </c>
      <c r="Q45" s="56" t="s">
        <v>10</v>
      </c>
      <c r="R45" s="59">
        <f>SUM(R44:$AR44)*$N45/100</f>
        <v>4152.9252799999995</v>
      </c>
      <c r="S45" s="59">
        <f>SUM(S44:$AR44)*$N45/100</f>
        <v>3856.2877599999997</v>
      </c>
      <c r="T45" s="59">
        <f>SUM(T44:$AR44)*$N45/100</f>
        <v>3559.6502399999999</v>
      </c>
      <c r="U45" s="59">
        <f>SUM(U44:$AR44)*$N45/100</f>
        <v>3263.0127200000002</v>
      </c>
      <c r="V45" s="59">
        <f>SUM(V44:$AR44)*$N45/100</f>
        <v>2966.3751999999995</v>
      </c>
      <c r="W45" s="59">
        <f>SUM(W44:$AR44)*$N45/100</f>
        <v>2669.7376799999997</v>
      </c>
      <c r="X45" s="59">
        <f>SUM(X44:$AR44)*$N45/100</f>
        <v>2373.10016</v>
      </c>
      <c r="Y45" s="59">
        <f>SUM(Y44:$AR44)*$N45/100</f>
        <v>2076.4626399999997</v>
      </c>
      <c r="Z45" s="59">
        <f>SUM(Z44:$AR44)*$N45/100</f>
        <v>1779.82512</v>
      </c>
      <c r="AA45" s="59">
        <f>SUM(AA44:$AR44)*$N45/100</f>
        <v>1483.1875999999997</v>
      </c>
      <c r="AB45" s="59">
        <f>SUM(AB44:$AR44)*$N45/100</f>
        <v>1186.55008</v>
      </c>
      <c r="AC45" s="59">
        <f>SUM(AC44:$AR44)*$N45/100</f>
        <v>889.91255999999998</v>
      </c>
      <c r="AD45" s="59">
        <f>SUM(AD44:$AR44)*$N45/100</f>
        <v>593.27503999999999</v>
      </c>
      <c r="AE45" s="59">
        <f>SUM(AE44:$AR44)*$N45/100</f>
        <v>296.63751999999999</v>
      </c>
      <c r="AF45" s="59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v>0</v>
      </c>
      <c r="AM45" s="59">
        <v>0</v>
      </c>
      <c r="AN45" s="59">
        <v>0</v>
      </c>
      <c r="AO45" s="59">
        <v>0</v>
      </c>
      <c r="AP45" s="59">
        <v>0</v>
      </c>
      <c r="AQ45" s="59">
        <v>0</v>
      </c>
      <c r="AR45" s="59">
        <v>0</v>
      </c>
      <c r="AS45" s="59"/>
      <c r="AT45" s="59"/>
      <c r="AU45" s="60">
        <f t="shared" si="0"/>
        <v>31146.939600000002</v>
      </c>
      <c r="AV45" s="46">
        <f t="shared" si="1"/>
        <v>0</v>
      </c>
      <c r="AW45" s="61">
        <f t="shared" si="2"/>
        <v>8305.8505599999989</v>
      </c>
      <c r="AX45" s="62">
        <f t="shared" si="3"/>
        <v>31146.939599999998</v>
      </c>
      <c r="AZ45" s="33" t="b">
        <f t="shared" si="4"/>
        <v>1</v>
      </c>
    </row>
    <row r="46" spans="2:53" s="33" customFormat="1" outlineLevel="1" x14ac:dyDescent="0.3">
      <c r="B46" s="34" t="s">
        <v>751</v>
      </c>
      <c r="C46" s="35">
        <v>21</v>
      </c>
      <c r="D46" s="36" t="s">
        <v>821</v>
      </c>
      <c r="E46" s="37" t="s">
        <v>53</v>
      </c>
      <c r="F46" s="38" t="s">
        <v>54</v>
      </c>
      <c r="G46" s="38" t="s">
        <v>176</v>
      </c>
      <c r="H46" s="38" t="s">
        <v>177</v>
      </c>
      <c r="I46" s="38" t="s">
        <v>9</v>
      </c>
      <c r="J46" s="39">
        <v>5678344.2000000002</v>
      </c>
      <c r="K46" s="40">
        <v>3249664</v>
      </c>
      <c r="L46" s="40"/>
      <c r="M46" s="40"/>
      <c r="N46" s="41"/>
      <c r="O46" s="41"/>
      <c r="P46" s="41"/>
      <c r="Q46" s="41" t="s">
        <v>8</v>
      </c>
      <c r="R46" s="44">
        <v>363420</v>
      </c>
      <c r="S46" s="44">
        <v>344336</v>
      </c>
      <c r="T46" s="44">
        <v>314856</v>
      </c>
      <c r="U46" s="44">
        <v>305080</v>
      </c>
      <c r="V46" s="44">
        <v>279984</v>
      </c>
      <c r="W46" s="44">
        <v>252100</v>
      </c>
      <c r="X46" s="44">
        <v>243352</v>
      </c>
      <c r="Y46" s="44">
        <v>243352</v>
      </c>
      <c r="Z46" s="44">
        <v>243352</v>
      </c>
      <c r="AA46" s="44">
        <v>33356</v>
      </c>
      <c r="AB46" s="44">
        <v>13680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/>
      <c r="AT46" s="44"/>
      <c r="AU46" s="45">
        <f t="shared" si="0"/>
        <v>2636868</v>
      </c>
      <c r="AV46" s="46">
        <f t="shared" si="1"/>
        <v>0</v>
      </c>
      <c r="AW46" s="47">
        <f t="shared" si="2"/>
        <v>533740</v>
      </c>
      <c r="AX46" s="48">
        <f t="shared" si="3"/>
        <v>2636868</v>
      </c>
      <c r="AZ46" s="33" t="b">
        <f t="shared" si="4"/>
        <v>1</v>
      </c>
      <c r="BA46" s="49"/>
    </row>
    <row r="47" spans="2:53" outlineLevel="1" x14ac:dyDescent="0.3">
      <c r="B47" s="50" t="s">
        <v>751</v>
      </c>
      <c r="C47" s="51"/>
      <c r="D47" s="52" t="s">
        <v>822</v>
      </c>
      <c r="E47" s="53"/>
      <c r="F47" s="54"/>
      <c r="G47" s="54"/>
      <c r="H47" s="54"/>
      <c r="I47" s="54"/>
      <c r="J47" s="55"/>
      <c r="K47" s="55"/>
      <c r="L47" s="55" t="s">
        <v>175</v>
      </c>
      <c r="M47" s="55"/>
      <c r="N47" s="56">
        <f t="shared" si="5"/>
        <v>4.0579999999999998</v>
      </c>
      <c r="O47" s="56">
        <v>4.0579999999999998</v>
      </c>
      <c r="P47" s="56">
        <f>$P$4</f>
        <v>0</v>
      </c>
      <c r="Q47" s="56" t="s">
        <v>10</v>
      </c>
      <c r="R47" s="59">
        <f>SUM(R46:$AR46)*$N47/100</f>
        <v>107004.10343999999</v>
      </c>
      <c r="S47" s="59">
        <f>SUM(S46:$AR46)*$N47/100</f>
        <v>92256.519839999994</v>
      </c>
      <c r="T47" s="59">
        <f>SUM(T46:$AR46)*$N47/100</f>
        <v>78283.364959999992</v>
      </c>
      <c r="U47" s="59">
        <f>SUM(U46:$AR46)*$N47/100</f>
        <v>65506.50847999999</v>
      </c>
      <c r="V47" s="59">
        <f>SUM(V46:$AR46)*$N47/100</f>
        <v>53126.362079999999</v>
      </c>
      <c r="W47" s="59">
        <f>SUM(W46:$AR46)*$N47/100</f>
        <v>41764.611360000003</v>
      </c>
      <c r="X47" s="59">
        <f>SUM(X46:$AR46)*$N47/100</f>
        <v>31534.393359999998</v>
      </c>
      <c r="Y47" s="59">
        <f>SUM(Y46:$AR46)*$N47/100</f>
        <v>21659.1692</v>
      </c>
      <c r="Z47" s="59">
        <f>SUM(Z46:$AR46)*$N47/100</f>
        <v>11783.945039999999</v>
      </c>
      <c r="AA47" s="59">
        <f>SUM(AA46:$AR46)*$N47/100</f>
        <v>1908.7208799999999</v>
      </c>
      <c r="AB47" s="59">
        <f>SUM(AB46:$AR46)*$N47/100</f>
        <v>555.13439999999991</v>
      </c>
      <c r="AC47" s="59">
        <v>0</v>
      </c>
      <c r="AD47" s="59">
        <v>0</v>
      </c>
      <c r="AE47" s="59">
        <v>0</v>
      </c>
      <c r="AF47" s="59">
        <v>0</v>
      </c>
      <c r="AG47" s="59">
        <v>0</v>
      </c>
      <c r="AH47" s="59">
        <v>0</v>
      </c>
      <c r="AI47" s="59">
        <v>0</v>
      </c>
      <c r="AJ47" s="59">
        <v>0</v>
      </c>
      <c r="AK47" s="59">
        <v>0</v>
      </c>
      <c r="AL47" s="59">
        <v>0</v>
      </c>
      <c r="AM47" s="59">
        <v>0</v>
      </c>
      <c r="AN47" s="59">
        <v>0</v>
      </c>
      <c r="AO47" s="59">
        <v>0</v>
      </c>
      <c r="AP47" s="59">
        <v>0</v>
      </c>
      <c r="AQ47" s="59">
        <v>0</v>
      </c>
      <c r="AR47" s="59">
        <v>0</v>
      </c>
      <c r="AS47" s="59"/>
      <c r="AT47" s="59"/>
      <c r="AU47" s="60">
        <f t="shared" si="0"/>
        <v>505382.83303999988</v>
      </c>
      <c r="AV47" s="46">
        <f t="shared" si="1"/>
        <v>0</v>
      </c>
      <c r="AW47" s="61">
        <f t="shared" si="2"/>
        <v>35906.969519999999</v>
      </c>
      <c r="AX47" s="62">
        <f t="shared" si="3"/>
        <v>505382.83303999988</v>
      </c>
      <c r="AZ47" s="33" t="b">
        <f t="shared" si="4"/>
        <v>1</v>
      </c>
    </row>
    <row r="48" spans="2:53" s="33" customFormat="1" outlineLevel="1" x14ac:dyDescent="0.3">
      <c r="B48" s="34" t="s">
        <v>751</v>
      </c>
      <c r="C48" s="35">
        <v>22</v>
      </c>
      <c r="D48" s="36" t="s">
        <v>823</v>
      </c>
      <c r="E48" s="37" t="s">
        <v>55</v>
      </c>
      <c r="F48" s="38" t="s">
        <v>56</v>
      </c>
      <c r="G48" s="38" t="s">
        <v>180</v>
      </c>
      <c r="H48" s="38" t="s">
        <v>179</v>
      </c>
      <c r="I48" s="38" t="s">
        <v>9</v>
      </c>
      <c r="J48" s="39">
        <v>117517</v>
      </c>
      <c r="K48" s="40">
        <v>11109</v>
      </c>
      <c r="L48" s="40"/>
      <c r="M48" s="40"/>
      <c r="N48" s="41"/>
      <c r="O48" s="41"/>
      <c r="P48" s="41"/>
      <c r="Q48" s="41" t="s">
        <v>8</v>
      </c>
      <c r="R48" s="194">
        <v>1932</v>
      </c>
      <c r="S48" s="194">
        <v>1932</v>
      </c>
      <c r="T48" s="194">
        <v>1932</v>
      </c>
      <c r="U48" s="194">
        <v>1932</v>
      </c>
      <c r="V48" s="194">
        <v>483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/>
      <c r="AT48" s="44"/>
      <c r="AU48" s="45">
        <f t="shared" si="0"/>
        <v>8211</v>
      </c>
      <c r="AV48" s="46">
        <f t="shared" si="1"/>
        <v>0</v>
      </c>
      <c r="AW48" s="47">
        <f t="shared" si="2"/>
        <v>0</v>
      </c>
      <c r="AX48" s="48">
        <f t="shared" si="3"/>
        <v>8211</v>
      </c>
      <c r="AZ48" s="33" t="b">
        <f t="shared" si="4"/>
        <v>1</v>
      </c>
      <c r="BA48" s="49"/>
    </row>
    <row r="49" spans="1:53" outlineLevel="1" x14ac:dyDescent="0.3">
      <c r="B49" s="50" t="s">
        <v>751</v>
      </c>
      <c r="C49" s="51"/>
      <c r="D49" s="52" t="s">
        <v>824</v>
      </c>
      <c r="E49" s="53"/>
      <c r="F49" s="54"/>
      <c r="G49" s="54"/>
      <c r="H49" s="54"/>
      <c r="I49" s="54"/>
      <c r="J49" s="55"/>
      <c r="K49" s="55"/>
      <c r="L49" s="55" t="s">
        <v>178</v>
      </c>
      <c r="M49" s="55"/>
      <c r="N49" s="56">
        <f t="shared" si="5"/>
        <v>4.0549999999999997</v>
      </c>
      <c r="O49" s="56">
        <v>4.0549999999999997</v>
      </c>
      <c r="P49" s="56">
        <f>$P$4</f>
        <v>0</v>
      </c>
      <c r="Q49" s="56" t="s">
        <v>10</v>
      </c>
      <c r="R49" s="195">
        <f>SUM(R48:$AR48)*$N49/100</f>
        <v>332.95604999999995</v>
      </c>
      <c r="S49" s="195">
        <f>SUM(S48:$AR48)*$N49/100</f>
        <v>254.61344999999997</v>
      </c>
      <c r="T49" s="195">
        <f>SUM(T48:$AR48)*$N49/100</f>
        <v>176.27085</v>
      </c>
      <c r="U49" s="195">
        <f>SUM(U48:$AR48)*$N49/100</f>
        <v>97.928249999999991</v>
      </c>
      <c r="V49" s="195">
        <f>SUM(V48:$AR48)*$N49/100</f>
        <v>19.585649999999998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  <c r="AG49" s="59">
        <v>0</v>
      </c>
      <c r="AH49" s="59">
        <v>0</v>
      </c>
      <c r="AI49" s="59">
        <v>0</v>
      </c>
      <c r="AJ49" s="59">
        <v>0</v>
      </c>
      <c r="AK49" s="59">
        <v>0</v>
      </c>
      <c r="AL49" s="59">
        <v>0</v>
      </c>
      <c r="AM49" s="59">
        <v>0</v>
      </c>
      <c r="AN49" s="59">
        <v>0</v>
      </c>
      <c r="AO49" s="59">
        <v>0</v>
      </c>
      <c r="AP49" s="59">
        <v>0</v>
      </c>
      <c r="AQ49" s="59">
        <v>0</v>
      </c>
      <c r="AR49" s="59">
        <v>0</v>
      </c>
      <c r="AS49" s="59"/>
      <c r="AT49" s="59"/>
      <c r="AU49" s="60">
        <f t="shared" si="0"/>
        <v>881.35424999999987</v>
      </c>
      <c r="AV49" s="46">
        <f t="shared" si="1"/>
        <v>0</v>
      </c>
      <c r="AW49" s="61">
        <f t="shared" si="2"/>
        <v>0</v>
      </c>
      <c r="AX49" s="62">
        <f t="shared" si="3"/>
        <v>881.35424999999987</v>
      </c>
      <c r="AZ49" s="33" t="b">
        <f t="shared" si="4"/>
        <v>1</v>
      </c>
    </row>
    <row r="50" spans="1:53" s="33" customFormat="1" outlineLevel="1" x14ac:dyDescent="0.3">
      <c r="B50" s="34" t="s">
        <v>751</v>
      </c>
      <c r="C50" s="35">
        <v>23</v>
      </c>
      <c r="D50" s="36" t="s">
        <v>858</v>
      </c>
      <c r="E50" s="37" t="s">
        <v>57</v>
      </c>
      <c r="F50" s="38" t="s">
        <v>58</v>
      </c>
      <c r="G50" s="38" t="s">
        <v>183</v>
      </c>
      <c r="H50" s="38" t="s">
        <v>182</v>
      </c>
      <c r="I50" s="38" t="s">
        <v>9</v>
      </c>
      <c r="J50" s="39">
        <v>2227434</v>
      </c>
      <c r="K50" s="40">
        <v>1831440</v>
      </c>
      <c r="L50" s="40"/>
      <c r="M50" s="40"/>
      <c r="N50" s="41"/>
      <c r="O50" s="41"/>
      <c r="P50" s="41"/>
      <c r="Q50" s="41" t="s">
        <v>8</v>
      </c>
      <c r="R50" s="44">
        <v>70440</v>
      </c>
      <c r="S50" s="44">
        <v>70440</v>
      </c>
      <c r="T50" s="44">
        <v>70440</v>
      </c>
      <c r="U50" s="44">
        <v>70440</v>
      </c>
      <c r="V50" s="44">
        <v>70440</v>
      </c>
      <c r="W50" s="44">
        <v>70440</v>
      </c>
      <c r="X50" s="44">
        <v>70440</v>
      </c>
      <c r="Y50" s="44">
        <v>70440</v>
      </c>
      <c r="Z50" s="44">
        <v>70440</v>
      </c>
      <c r="AA50" s="44">
        <v>70440</v>
      </c>
      <c r="AB50" s="44">
        <v>70440</v>
      </c>
      <c r="AC50" s="44">
        <v>70440</v>
      </c>
      <c r="AD50" s="44">
        <v>70440</v>
      </c>
      <c r="AE50" s="44">
        <v>70440</v>
      </c>
      <c r="AF50" s="44">
        <v>70440</v>
      </c>
      <c r="AG50" s="44">
        <v>70440</v>
      </c>
      <c r="AH50" s="44">
        <v>70440</v>
      </c>
      <c r="AI50" s="44">
        <v>70440</v>
      </c>
      <c r="AJ50" s="44">
        <v>70440</v>
      </c>
      <c r="AK50" s="44">
        <v>70440</v>
      </c>
      <c r="AL50" s="44">
        <v>70440</v>
      </c>
      <c r="AM50" s="44">
        <v>70440</v>
      </c>
      <c r="AN50" s="44">
        <v>70440</v>
      </c>
      <c r="AO50" s="44">
        <v>70440</v>
      </c>
      <c r="AP50" s="44">
        <v>35220</v>
      </c>
      <c r="AQ50" s="44">
        <v>0</v>
      </c>
      <c r="AR50" s="44">
        <v>0</v>
      </c>
      <c r="AS50" s="44"/>
      <c r="AT50" s="44"/>
      <c r="AU50" s="45">
        <f t="shared" si="0"/>
        <v>1725780</v>
      </c>
      <c r="AV50" s="46">
        <f t="shared" si="1"/>
        <v>0</v>
      </c>
      <c r="AW50" s="47">
        <f t="shared" si="2"/>
        <v>1232700</v>
      </c>
      <c r="AX50" s="48">
        <f t="shared" si="3"/>
        <v>1725780</v>
      </c>
      <c r="AZ50" s="33" t="b">
        <f t="shared" si="4"/>
        <v>1</v>
      </c>
      <c r="BA50" s="49"/>
    </row>
    <row r="51" spans="1:53" outlineLevel="1" x14ac:dyDescent="0.3">
      <c r="B51" s="50" t="s">
        <v>751</v>
      </c>
      <c r="C51" s="51"/>
      <c r="D51" s="52" t="s">
        <v>859</v>
      </c>
      <c r="E51" s="53"/>
      <c r="F51" s="54"/>
      <c r="G51" s="54"/>
      <c r="H51" s="54"/>
      <c r="I51" s="54"/>
      <c r="J51" s="55"/>
      <c r="K51" s="55"/>
      <c r="L51" s="55" t="s">
        <v>181</v>
      </c>
      <c r="M51" s="55"/>
      <c r="N51" s="56">
        <f t="shared" si="5"/>
        <v>3.9889999999999999</v>
      </c>
      <c r="O51" s="56">
        <v>3.9889999999999999</v>
      </c>
      <c r="P51" s="56">
        <f>$P$4</f>
        <v>0</v>
      </c>
      <c r="Q51" s="56" t="s">
        <v>10</v>
      </c>
      <c r="R51" s="59">
        <f>SUM(R50:$AR50)*$N51/100</f>
        <v>68841.364199999996</v>
      </c>
      <c r="S51" s="59">
        <f>SUM(S50:$AR50)*$N51/100</f>
        <v>66031.512600000002</v>
      </c>
      <c r="T51" s="59">
        <f>SUM(T50:$AR50)*$N51/100</f>
        <v>63221.660999999993</v>
      </c>
      <c r="U51" s="59">
        <f>SUM(U50:$AR50)*$N51/100</f>
        <v>60411.809399999998</v>
      </c>
      <c r="V51" s="59">
        <f>SUM(V50:$AR50)*$N51/100</f>
        <v>57601.957800000004</v>
      </c>
      <c r="W51" s="59">
        <f>SUM(W50:$AR50)*$N51/100</f>
        <v>54792.106200000002</v>
      </c>
      <c r="X51" s="59">
        <f>SUM(X50:$AR50)*$N51/100</f>
        <v>51982.2546</v>
      </c>
      <c r="Y51" s="59">
        <f>SUM(Y50:$AR50)*$N51/100</f>
        <v>49172.402999999998</v>
      </c>
      <c r="Z51" s="59">
        <f>SUM(Z50:$AR50)*$N51/100</f>
        <v>46362.551399999997</v>
      </c>
      <c r="AA51" s="59">
        <f>SUM(AA50:$AR50)*$N51/100</f>
        <v>43552.699799999995</v>
      </c>
      <c r="AB51" s="59">
        <f>SUM(AB50:$AR50)*$N51/100</f>
        <v>40742.8482</v>
      </c>
      <c r="AC51" s="59">
        <f>SUM(AC50:$AR50)*$N51/100</f>
        <v>37932.996599999999</v>
      </c>
      <c r="AD51" s="59">
        <f>SUM(AD50:$AR50)*$N51/100</f>
        <v>35123.144999999997</v>
      </c>
      <c r="AE51" s="59">
        <f>SUM(AE50:$AR50)*$N51/100</f>
        <v>32313.293399999999</v>
      </c>
      <c r="AF51" s="59">
        <f>SUM(AF50:$AR50)*$N51/100</f>
        <v>29503.441799999997</v>
      </c>
      <c r="AG51" s="59">
        <f>SUM(AG50:$AR50)*$N51/100</f>
        <v>26693.590199999999</v>
      </c>
      <c r="AH51" s="59">
        <f>SUM(AH50:$AR50)*$N51/100</f>
        <v>23883.738599999997</v>
      </c>
      <c r="AI51" s="59">
        <f>SUM(AI50:$AR50)*$N51/100</f>
        <v>21073.886999999999</v>
      </c>
      <c r="AJ51" s="59">
        <f>SUM(AJ50:$AR50)*$N51/100</f>
        <v>18264.035400000001</v>
      </c>
      <c r="AK51" s="59">
        <f>SUM(AK50:$AR50)*$N51/100</f>
        <v>15454.183799999999</v>
      </c>
      <c r="AL51" s="59">
        <f>SUM(AL50:$AR50)*$N51/100</f>
        <v>12644.332199999999</v>
      </c>
      <c r="AM51" s="59">
        <f>SUM(AM50:$AR50)*$N51/100</f>
        <v>9834.480599999999</v>
      </c>
      <c r="AN51" s="59">
        <f>SUM(AN50:$AR50)*$N51/100</f>
        <v>7024.6289999999999</v>
      </c>
      <c r="AO51" s="59">
        <f>SUM(AO50:$AR50)*$N51/100</f>
        <v>4214.7773999999999</v>
      </c>
      <c r="AP51" s="59">
        <f>SUM(AP50:$AR50)*$N51/100</f>
        <v>1404.9258</v>
      </c>
      <c r="AQ51" s="59">
        <v>0</v>
      </c>
      <c r="AR51" s="59">
        <v>0</v>
      </c>
      <c r="AS51" s="59"/>
      <c r="AT51" s="59"/>
      <c r="AU51" s="60">
        <f t="shared" si="0"/>
        <v>878078.62499999988</v>
      </c>
      <c r="AV51" s="46">
        <f t="shared" si="1"/>
        <v>0</v>
      </c>
      <c r="AW51" s="61">
        <f t="shared" si="2"/>
        <v>455195.95919999998</v>
      </c>
      <c r="AX51" s="62">
        <f t="shared" si="3"/>
        <v>878078.625</v>
      </c>
      <c r="AZ51" s="33" t="b">
        <f t="shared" si="4"/>
        <v>1</v>
      </c>
    </row>
    <row r="52" spans="1:53" s="33" customFormat="1" outlineLevel="1" x14ac:dyDescent="0.3">
      <c r="B52" s="34" t="s">
        <v>750</v>
      </c>
      <c r="C52" s="35">
        <v>24</v>
      </c>
      <c r="D52" s="36" t="s">
        <v>730</v>
      </c>
      <c r="E52" s="37" t="s">
        <v>59</v>
      </c>
      <c r="F52" s="38" t="s">
        <v>60</v>
      </c>
      <c r="G52" s="38" t="s">
        <v>186</v>
      </c>
      <c r="H52" s="38" t="s">
        <v>185</v>
      </c>
      <c r="I52" s="38" t="s">
        <v>9</v>
      </c>
      <c r="J52" s="39">
        <v>531484</v>
      </c>
      <c r="K52" s="40">
        <v>412380</v>
      </c>
      <c r="L52" s="40"/>
      <c r="M52" s="40"/>
      <c r="N52" s="41"/>
      <c r="O52" s="41"/>
      <c r="P52" s="41"/>
      <c r="Q52" s="41" t="s">
        <v>8</v>
      </c>
      <c r="R52" s="44">
        <v>36656</v>
      </c>
      <c r="S52" s="44">
        <v>36656</v>
      </c>
      <c r="T52" s="44">
        <v>36656</v>
      </c>
      <c r="U52" s="44">
        <v>36656</v>
      </c>
      <c r="V52" s="44">
        <v>36656</v>
      </c>
      <c r="W52" s="44">
        <v>36656</v>
      </c>
      <c r="X52" s="44">
        <v>36656</v>
      </c>
      <c r="Y52" s="44">
        <v>36656</v>
      </c>
      <c r="Z52" s="44">
        <v>36656</v>
      </c>
      <c r="AA52" s="44">
        <v>27492</v>
      </c>
      <c r="AB52" s="44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/>
      <c r="AT52" s="44"/>
      <c r="AU52" s="45">
        <f t="shared" si="0"/>
        <v>357396</v>
      </c>
      <c r="AV52" s="46">
        <f t="shared" si="1"/>
        <v>0</v>
      </c>
      <c r="AW52" s="47">
        <f t="shared" si="2"/>
        <v>100804</v>
      </c>
      <c r="AX52" s="48">
        <f t="shared" si="3"/>
        <v>357396</v>
      </c>
      <c r="AZ52" s="33" t="b">
        <f t="shared" si="4"/>
        <v>1</v>
      </c>
      <c r="BA52" s="49"/>
    </row>
    <row r="53" spans="1:53" outlineLevel="1" x14ac:dyDescent="0.3">
      <c r="B53" s="50" t="s">
        <v>750</v>
      </c>
      <c r="C53" s="51"/>
      <c r="D53" s="52"/>
      <c r="E53" s="53"/>
      <c r="F53" s="54"/>
      <c r="G53" s="54"/>
      <c r="H53" s="54"/>
      <c r="I53" s="54"/>
      <c r="J53" s="55"/>
      <c r="K53" s="55"/>
      <c r="L53" s="55" t="s">
        <v>184</v>
      </c>
      <c r="M53" s="55"/>
      <c r="N53" s="56">
        <f t="shared" si="5"/>
        <v>3.2189999999999999</v>
      </c>
      <c r="O53" s="196">
        <v>3.2189999999999999</v>
      </c>
      <c r="P53" s="56">
        <f>$P$4</f>
        <v>0</v>
      </c>
      <c r="Q53" s="56" t="s">
        <v>10</v>
      </c>
      <c r="R53" s="59">
        <f>SUM(R52:$AR52)*$N53/100</f>
        <v>11504.577239999999</v>
      </c>
      <c r="S53" s="59">
        <f>SUM(S52:$AR52)*$N53/100</f>
        <v>10324.6206</v>
      </c>
      <c r="T53" s="59">
        <f>SUM(T52:$AR52)*$N53/100</f>
        <v>9144.6639599999999</v>
      </c>
      <c r="U53" s="59">
        <f>SUM(U52:$AR52)*$N53/100</f>
        <v>7964.7073199999995</v>
      </c>
      <c r="V53" s="59">
        <f>SUM(V52:$AR52)*$N53/100</f>
        <v>6784.7506800000001</v>
      </c>
      <c r="W53" s="59">
        <f>SUM(W52:$AR52)*$N53/100</f>
        <v>5604.7940399999998</v>
      </c>
      <c r="X53" s="59">
        <f>SUM(X52:$AR52)*$N53/100</f>
        <v>4424.8374000000003</v>
      </c>
      <c r="Y53" s="59">
        <f>SUM(Y52:$AR52)*$N53/100</f>
        <v>3244.88076</v>
      </c>
      <c r="Z53" s="59">
        <f>SUM(Z52:$AR52)*$N53/100</f>
        <v>2064.9241199999997</v>
      </c>
      <c r="AA53" s="59">
        <f>SUM(AA52:$AR52)*$N53/100</f>
        <v>884.96747999999991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  <c r="AO53" s="59">
        <v>0</v>
      </c>
      <c r="AP53" s="59">
        <v>0</v>
      </c>
      <c r="AQ53" s="59">
        <v>0</v>
      </c>
      <c r="AR53" s="59">
        <v>0</v>
      </c>
      <c r="AS53" s="59"/>
      <c r="AT53" s="59"/>
      <c r="AU53" s="60">
        <f t="shared" si="0"/>
        <v>61947.72359999999</v>
      </c>
      <c r="AV53" s="46">
        <f t="shared" si="1"/>
        <v>0</v>
      </c>
      <c r="AW53" s="61">
        <f t="shared" si="2"/>
        <v>6194.7723599999999</v>
      </c>
      <c r="AX53" s="62">
        <f t="shared" si="3"/>
        <v>61947.723599999998</v>
      </c>
      <c r="AZ53" s="33" t="b">
        <f t="shared" si="4"/>
        <v>1</v>
      </c>
    </row>
    <row r="54" spans="1:53" s="33" customFormat="1" outlineLevel="1" x14ac:dyDescent="0.3">
      <c r="B54" s="34" t="s">
        <v>751</v>
      </c>
      <c r="C54" s="35">
        <v>25</v>
      </c>
      <c r="D54" s="36" t="s">
        <v>738</v>
      </c>
      <c r="E54" s="37" t="s">
        <v>61</v>
      </c>
      <c r="F54" s="38" t="s">
        <v>62</v>
      </c>
      <c r="G54" s="38" t="s">
        <v>189</v>
      </c>
      <c r="H54" s="38" t="s">
        <v>188</v>
      </c>
      <c r="I54" s="38" t="s">
        <v>9</v>
      </c>
      <c r="J54" s="39">
        <v>583938.46</v>
      </c>
      <c r="K54" s="40">
        <v>520872</v>
      </c>
      <c r="L54" s="40"/>
      <c r="M54" s="40"/>
      <c r="N54" s="41"/>
      <c r="O54" s="41"/>
      <c r="P54" s="41"/>
      <c r="Q54" s="41" t="s">
        <v>8</v>
      </c>
      <c r="R54" s="44">
        <v>31568</v>
      </c>
      <c r="S54" s="44">
        <v>31568</v>
      </c>
      <c r="T54" s="44">
        <v>31568</v>
      </c>
      <c r="U54" s="44">
        <v>31568</v>
      </c>
      <c r="V54" s="44">
        <v>31568</v>
      </c>
      <c r="W54" s="44">
        <v>31568</v>
      </c>
      <c r="X54" s="44">
        <v>31568</v>
      </c>
      <c r="Y54" s="44">
        <v>31568</v>
      </c>
      <c r="Z54" s="44">
        <v>31568</v>
      </c>
      <c r="AA54" s="44">
        <v>31568</v>
      </c>
      <c r="AB54" s="44">
        <v>31568</v>
      </c>
      <c r="AC54" s="44">
        <v>31568</v>
      </c>
      <c r="AD54" s="44">
        <v>31568</v>
      </c>
      <c r="AE54" s="44">
        <v>31568</v>
      </c>
      <c r="AF54" s="44">
        <v>31568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/>
      <c r="AT54" s="44"/>
      <c r="AU54" s="45">
        <f t="shared" si="0"/>
        <v>473520</v>
      </c>
      <c r="AV54" s="46">
        <f t="shared" si="1"/>
        <v>0</v>
      </c>
      <c r="AW54" s="47">
        <f t="shared" si="2"/>
        <v>252544</v>
      </c>
      <c r="AX54" s="48">
        <f t="shared" si="3"/>
        <v>473520</v>
      </c>
      <c r="AZ54" s="33" t="b">
        <f t="shared" si="4"/>
        <v>1</v>
      </c>
      <c r="BA54" s="49"/>
    </row>
    <row r="55" spans="1:53" outlineLevel="1" x14ac:dyDescent="0.3">
      <c r="B55" s="50" t="s">
        <v>751</v>
      </c>
      <c r="C55" s="51"/>
      <c r="D55" s="52"/>
      <c r="E55" s="53"/>
      <c r="F55" s="54"/>
      <c r="G55" s="54"/>
      <c r="H55" s="54"/>
      <c r="I55" s="54"/>
      <c r="J55" s="55"/>
      <c r="K55" s="55"/>
      <c r="L55" s="55" t="s">
        <v>187</v>
      </c>
      <c r="M55" s="55"/>
      <c r="N55" s="56">
        <f t="shared" si="5"/>
        <v>4.3440000000000003</v>
      </c>
      <c r="O55" s="64">
        <v>4.3440000000000003</v>
      </c>
      <c r="P55" s="56">
        <f>$P$4</f>
        <v>0</v>
      </c>
      <c r="Q55" s="56" t="s">
        <v>10</v>
      </c>
      <c r="R55" s="59">
        <f>SUM(R54:$AR54)*$N55/100</f>
        <v>20569.7088</v>
      </c>
      <c r="S55" s="59">
        <f>SUM(S54:$AR54)*$N55/100</f>
        <v>19198.39488</v>
      </c>
      <c r="T55" s="59">
        <f>SUM(T54:$AR54)*$N55/100</f>
        <v>17827.080960000003</v>
      </c>
      <c r="U55" s="59">
        <f>SUM(U54:$AR54)*$N55/100</f>
        <v>16455.767040000002</v>
      </c>
      <c r="V55" s="59">
        <f>SUM(V54:$AR54)*$N55/100</f>
        <v>15084.453120000002</v>
      </c>
      <c r="W55" s="59">
        <f>SUM(W54:$AR54)*$N55/100</f>
        <v>13713.139200000001</v>
      </c>
      <c r="X55" s="59">
        <f>SUM(X54:$AR54)*$N55/100</f>
        <v>12341.825280000001</v>
      </c>
      <c r="Y55" s="59">
        <f>SUM(Y54:$AR54)*$N55/100</f>
        <v>10970.511360000002</v>
      </c>
      <c r="Z55" s="59">
        <f>SUM(Z54:$AR54)*$N55/100</f>
        <v>9599.1974399999999</v>
      </c>
      <c r="AA55" s="59">
        <f>SUM(AA54:$AR54)*$N55/100</f>
        <v>8227.8835200000012</v>
      </c>
      <c r="AB55" s="59">
        <f>SUM(AB54:$AR54)*$N55/100</f>
        <v>6856.5696000000007</v>
      </c>
      <c r="AC55" s="59">
        <f>SUM(AC54:$AR54)*$N55/100</f>
        <v>5485.2556800000011</v>
      </c>
      <c r="AD55" s="59">
        <f>SUM(AD54:$AR54)*$N55/100</f>
        <v>4113.9417600000006</v>
      </c>
      <c r="AE55" s="59">
        <f>SUM(AE54:$AR54)*$N55/100</f>
        <v>2742.6278400000006</v>
      </c>
      <c r="AF55" s="59">
        <f>SUM(AF54:$AR54)*$N55/100</f>
        <v>1371.3139200000003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v>0</v>
      </c>
      <c r="AM55" s="59">
        <v>0</v>
      </c>
      <c r="AN55" s="59">
        <v>0</v>
      </c>
      <c r="AO55" s="59">
        <v>0</v>
      </c>
      <c r="AP55" s="59">
        <v>0</v>
      </c>
      <c r="AQ55" s="59">
        <v>0</v>
      </c>
      <c r="AR55" s="59">
        <v>0</v>
      </c>
      <c r="AS55" s="59"/>
      <c r="AT55" s="59"/>
      <c r="AU55" s="60">
        <f t="shared" si="0"/>
        <v>164557.6704</v>
      </c>
      <c r="AV55" s="46">
        <f t="shared" si="1"/>
        <v>0</v>
      </c>
      <c r="AW55" s="61">
        <f t="shared" si="2"/>
        <v>49367.301120000011</v>
      </c>
      <c r="AX55" s="62">
        <f t="shared" si="3"/>
        <v>164557.67040000003</v>
      </c>
      <c r="AZ55" s="33" t="b">
        <f t="shared" si="4"/>
        <v>1</v>
      </c>
    </row>
    <row r="56" spans="1:53" s="33" customFormat="1" outlineLevel="1" x14ac:dyDescent="0.3">
      <c r="B56" s="34" t="s">
        <v>750</v>
      </c>
      <c r="C56" s="35">
        <v>26</v>
      </c>
      <c r="D56" s="36" t="s">
        <v>726</v>
      </c>
      <c r="E56" s="37" t="s">
        <v>63</v>
      </c>
      <c r="F56" s="38" t="s">
        <v>64</v>
      </c>
      <c r="G56" s="38" t="s">
        <v>192</v>
      </c>
      <c r="H56" s="38" t="s">
        <v>191</v>
      </c>
      <c r="I56" s="38" t="s">
        <v>9</v>
      </c>
      <c r="J56" s="39">
        <v>2556845.52</v>
      </c>
      <c r="K56" s="40">
        <v>2388377.52</v>
      </c>
      <c r="L56" s="40"/>
      <c r="M56" s="40"/>
      <c r="N56" s="41"/>
      <c r="O56" s="41"/>
      <c r="P56" s="41"/>
      <c r="Q56" s="41" t="s">
        <v>8</v>
      </c>
      <c r="R56" s="44">
        <v>96316</v>
      </c>
      <c r="S56" s="44">
        <v>96316</v>
      </c>
      <c r="T56" s="44">
        <v>96316</v>
      </c>
      <c r="U56" s="44">
        <v>96316</v>
      </c>
      <c r="V56" s="44">
        <v>96316</v>
      </c>
      <c r="W56" s="44">
        <v>96316</v>
      </c>
      <c r="X56" s="44">
        <v>96316</v>
      </c>
      <c r="Y56" s="44">
        <v>96316</v>
      </c>
      <c r="Z56" s="44">
        <v>96316</v>
      </c>
      <c r="AA56" s="44">
        <v>96316</v>
      </c>
      <c r="AB56" s="44">
        <v>96316</v>
      </c>
      <c r="AC56" s="44">
        <v>96316</v>
      </c>
      <c r="AD56" s="44">
        <v>96316</v>
      </c>
      <c r="AE56" s="44">
        <v>96316</v>
      </c>
      <c r="AF56" s="44">
        <v>96316</v>
      </c>
      <c r="AG56" s="44">
        <v>96316</v>
      </c>
      <c r="AH56" s="44">
        <v>96316</v>
      </c>
      <c r="AI56" s="44">
        <v>96316</v>
      </c>
      <c r="AJ56" s="44">
        <v>96316</v>
      </c>
      <c r="AK56" s="44">
        <v>96316</v>
      </c>
      <c r="AL56" s="44">
        <v>96316</v>
      </c>
      <c r="AM56" s="44">
        <v>96316</v>
      </c>
      <c r="AN56" s="44">
        <v>96316</v>
      </c>
      <c r="AO56" s="44">
        <v>28635.52</v>
      </c>
      <c r="AP56" s="44">
        <v>0</v>
      </c>
      <c r="AQ56" s="44">
        <v>0</v>
      </c>
      <c r="AR56" s="44">
        <v>0</v>
      </c>
      <c r="AS56" s="44"/>
      <c r="AT56" s="44"/>
      <c r="AU56" s="45">
        <f t="shared" si="0"/>
        <v>2243903.52</v>
      </c>
      <c r="AV56" s="46">
        <f t="shared" si="1"/>
        <v>0</v>
      </c>
      <c r="AW56" s="47">
        <f t="shared" si="2"/>
        <v>1569691.52</v>
      </c>
      <c r="AX56" s="48">
        <f t="shared" si="3"/>
        <v>2243903.52</v>
      </c>
      <c r="AZ56" s="33" t="b">
        <f t="shared" si="4"/>
        <v>1</v>
      </c>
      <c r="BA56" s="49"/>
    </row>
    <row r="57" spans="1:53" outlineLevel="1" x14ac:dyDescent="0.3">
      <c r="B57" s="50" t="s">
        <v>750</v>
      </c>
      <c r="C57" s="51"/>
      <c r="D57" s="52"/>
      <c r="E57" s="53"/>
      <c r="F57" s="54"/>
      <c r="G57" s="54"/>
      <c r="H57" s="54"/>
      <c r="I57" s="54"/>
      <c r="J57" s="55"/>
      <c r="K57" s="55"/>
      <c r="L57" s="55" t="s">
        <v>190</v>
      </c>
      <c r="M57" s="55"/>
      <c r="N57" s="56">
        <f t="shared" si="5"/>
        <v>5.867</v>
      </c>
      <c r="O57" s="56">
        <v>5.867</v>
      </c>
      <c r="P57" s="56">
        <f>$P$4</f>
        <v>0</v>
      </c>
      <c r="Q57" s="56" t="s">
        <v>10</v>
      </c>
      <c r="R57" s="59">
        <f>SUM(R56:$AR56)*$N57/100</f>
        <v>131649.81951840001</v>
      </c>
      <c r="S57" s="59">
        <f>SUM(S56:$AR56)*$N57/100</f>
        <v>125998.9597984</v>
      </c>
      <c r="T57" s="59">
        <f>SUM(T56:$AR56)*$N57/100</f>
        <v>120348.10007840001</v>
      </c>
      <c r="U57" s="59">
        <f>SUM(U56:$AR56)*$N57/100</f>
        <v>114697.24035840001</v>
      </c>
      <c r="V57" s="59">
        <f>SUM(V56:$AR56)*$N57/100</f>
        <v>109046.38063840001</v>
      </c>
      <c r="W57" s="59">
        <f>SUM(W56:$AR56)*$N57/100</f>
        <v>103395.52091840001</v>
      </c>
      <c r="X57" s="59">
        <f>SUM(X56:$AR56)*$N57/100</f>
        <v>97744.661198400005</v>
      </c>
      <c r="Y57" s="59">
        <f>SUM(Y56:$AR56)*$N57/100</f>
        <v>92093.801478400012</v>
      </c>
      <c r="Z57" s="59">
        <f>SUM(Z56:$AR56)*$N57/100</f>
        <v>86442.941758400004</v>
      </c>
      <c r="AA57" s="59">
        <f>SUM(AA56:$AR56)*$N57/100</f>
        <v>80792.082038400011</v>
      </c>
      <c r="AB57" s="59">
        <f>SUM(AB56:$AR56)*$N57/100</f>
        <v>75141.222318400003</v>
      </c>
      <c r="AC57" s="59">
        <f>SUM(AC56:$AR56)*$N57/100</f>
        <v>69490.36259840001</v>
      </c>
      <c r="AD57" s="59">
        <f>SUM(AD56:$AR56)*$N57/100</f>
        <v>63839.502878400002</v>
      </c>
      <c r="AE57" s="59">
        <f>SUM(AE56:$AR56)*$N57/100</f>
        <v>58188.643158400002</v>
      </c>
      <c r="AF57" s="59">
        <f>SUM(AF56:$AR56)*$N57/100</f>
        <v>52537.783438400002</v>
      </c>
      <c r="AG57" s="59">
        <f>SUM(AG56:$AR56)*$N57/100</f>
        <v>46886.923718400001</v>
      </c>
      <c r="AH57" s="59">
        <f>SUM(AH56:$AR56)*$N57/100</f>
        <v>41236.063998400001</v>
      </c>
      <c r="AI57" s="59">
        <f>SUM(AI56:$AR56)*$N57/100</f>
        <v>35585.2042784</v>
      </c>
      <c r="AJ57" s="59">
        <f>SUM(AJ56:$AR56)*$N57/100</f>
        <v>29934.3445584</v>
      </c>
      <c r="AK57" s="59">
        <f>SUM(AK56:$AR56)*$N57/100</f>
        <v>24283.4848384</v>
      </c>
      <c r="AL57" s="59">
        <f>SUM(AL56:$AR56)*$N57/100</f>
        <v>18632.625118399999</v>
      </c>
      <c r="AM57" s="59">
        <f>SUM(AM56:$AR56)*$N57/100</f>
        <v>12981.765398399999</v>
      </c>
      <c r="AN57" s="59">
        <f>SUM(AN56:$AR56)*$N57/100</f>
        <v>7330.9056784000004</v>
      </c>
      <c r="AO57" s="59">
        <f>SUM(AO56:$AR56)*$N57/100</f>
        <v>1680.0459584</v>
      </c>
      <c r="AP57" s="59">
        <v>0</v>
      </c>
      <c r="AQ57" s="59">
        <v>0</v>
      </c>
      <c r="AR57" s="59">
        <v>0</v>
      </c>
      <c r="AS57" s="59"/>
      <c r="AT57" s="59"/>
      <c r="AU57" s="60">
        <f t="shared" si="0"/>
        <v>1599958.3857215999</v>
      </c>
      <c r="AV57" s="46">
        <f t="shared" si="1"/>
        <v>0</v>
      </c>
      <c r="AW57" s="61">
        <f t="shared" si="2"/>
        <v>797077.70321279997</v>
      </c>
      <c r="AX57" s="62">
        <f t="shared" si="3"/>
        <v>1599958.3857215999</v>
      </c>
      <c r="AZ57" s="33" t="b">
        <f t="shared" si="4"/>
        <v>1</v>
      </c>
    </row>
    <row r="58" spans="1:53" s="33" customFormat="1" outlineLevel="1" x14ac:dyDescent="0.3">
      <c r="B58" s="34" t="s">
        <v>750</v>
      </c>
      <c r="C58" s="35">
        <v>27</v>
      </c>
      <c r="D58" s="36" t="s">
        <v>729</v>
      </c>
      <c r="E58" s="37" t="s">
        <v>65</v>
      </c>
      <c r="F58" s="38" t="s">
        <v>66</v>
      </c>
      <c r="G58" s="38" t="s">
        <v>195</v>
      </c>
      <c r="H58" s="38" t="s">
        <v>194</v>
      </c>
      <c r="I58" s="38" t="s">
        <v>9</v>
      </c>
      <c r="J58" s="39">
        <v>1410783</v>
      </c>
      <c r="K58" s="40">
        <v>1059408</v>
      </c>
      <c r="L58" s="40"/>
      <c r="M58" s="40"/>
      <c r="N58" s="41"/>
      <c r="O58" s="41"/>
      <c r="P58" s="41"/>
      <c r="Q58" s="41" t="s">
        <v>8</v>
      </c>
      <c r="R58" s="44">
        <v>88284</v>
      </c>
      <c r="S58" s="44">
        <v>88284</v>
      </c>
      <c r="T58" s="44">
        <v>88284</v>
      </c>
      <c r="U58" s="44">
        <v>88284</v>
      </c>
      <c r="V58" s="44">
        <v>88284</v>
      </c>
      <c r="W58" s="44">
        <v>88284</v>
      </c>
      <c r="X58" s="44">
        <v>88284</v>
      </c>
      <c r="Y58" s="44">
        <v>88284</v>
      </c>
      <c r="Z58" s="44">
        <v>88284</v>
      </c>
      <c r="AA58" s="44">
        <v>88284</v>
      </c>
      <c r="AB58" s="44">
        <v>44142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/>
      <c r="AT58" s="44"/>
      <c r="AU58" s="45">
        <f t="shared" si="0"/>
        <v>926982</v>
      </c>
      <c r="AV58" s="46">
        <f t="shared" si="1"/>
        <v>0</v>
      </c>
      <c r="AW58" s="47">
        <f t="shared" si="2"/>
        <v>308994</v>
      </c>
      <c r="AX58" s="48">
        <f t="shared" si="3"/>
        <v>926982</v>
      </c>
      <c r="AZ58" s="33" t="b">
        <f t="shared" si="4"/>
        <v>1</v>
      </c>
      <c r="BA58" s="49"/>
    </row>
    <row r="59" spans="1:53" outlineLevel="1" x14ac:dyDescent="0.3">
      <c r="B59" s="50" t="s">
        <v>750</v>
      </c>
      <c r="C59" s="51"/>
      <c r="D59" s="52"/>
      <c r="E59" s="53"/>
      <c r="F59" s="54"/>
      <c r="G59" s="54"/>
      <c r="H59" s="54"/>
      <c r="I59" s="54"/>
      <c r="J59" s="55"/>
      <c r="K59" s="55"/>
      <c r="L59" s="55" t="s">
        <v>193</v>
      </c>
      <c r="M59" s="55"/>
      <c r="N59" s="56">
        <f t="shared" si="5"/>
        <v>4.3559999999999999</v>
      </c>
      <c r="O59" s="196">
        <v>4.3559999999999999</v>
      </c>
      <c r="P59" s="56">
        <f>$P$4</f>
        <v>0</v>
      </c>
      <c r="Q59" s="56" t="s">
        <v>10</v>
      </c>
      <c r="R59" s="59">
        <f>SUM(R58:$AR58)*$N59/100</f>
        <v>40379.335919999998</v>
      </c>
      <c r="S59" s="59">
        <f>SUM(S58:$AR58)*$N59/100</f>
        <v>36533.684880000001</v>
      </c>
      <c r="T59" s="59">
        <f>SUM(T58:$AR58)*$N59/100</f>
        <v>32688.03384</v>
      </c>
      <c r="U59" s="59">
        <f>SUM(U58:$AR58)*$N59/100</f>
        <v>28842.382799999999</v>
      </c>
      <c r="V59" s="59">
        <f>SUM(V58:$AR58)*$N59/100</f>
        <v>24996.731759999999</v>
      </c>
      <c r="W59" s="59">
        <f>SUM(W58:$AR58)*$N59/100</f>
        <v>21151.080720000002</v>
      </c>
      <c r="X59" s="59">
        <f>SUM(X58:$AR58)*$N59/100</f>
        <v>17305.429679999997</v>
      </c>
      <c r="Y59" s="59">
        <f>SUM(Y58:$AR58)*$N59/100</f>
        <v>13459.77864</v>
      </c>
      <c r="Z59" s="59">
        <f>SUM(Z58:$AR58)*$N59/100</f>
        <v>9614.1275999999998</v>
      </c>
      <c r="AA59" s="59">
        <f>SUM(AA58:$AR58)*$N59/100</f>
        <v>5768.4765599999992</v>
      </c>
      <c r="AB59" s="59">
        <f>SUM(AB58:$AR58)*$N59/100</f>
        <v>1922.8255199999999</v>
      </c>
      <c r="AC59" s="59">
        <v>0</v>
      </c>
      <c r="AD59" s="59">
        <v>0</v>
      </c>
      <c r="AE59" s="59">
        <v>0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  <c r="AL59" s="59">
        <v>0</v>
      </c>
      <c r="AM59" s="59">
        <v>0</v>
      </c>
      <c r="AN59" s="59">
        <v>0</v>
      </c>
      <c r="AO59" s="59">
        <v>0</v>
      </c>
      <c r="AP59" s="59">
        <v>0</v>
      </c>
      <c r="AQ59" s="59">
        <v>0</v>
      </c>
      <c r="AR59" s="59">
        <v>0</v>
      </c>
      <c r="AS59" s="59"/>
      <c r="AT59" s="59"/>
      <c r="AU59" s="60">
        <f t="shared" si="0"/>
        <v>232661.88792000004</v>
      </c>
      <c r="AV59" s="46">
        <f t="shared" si="1"/>
        <v>0</v>
      </c>
      <c r="AW59" s="61">
        <f t="shared" si="2"/>
        <v>30765.208319999998</v>
      </c>
      <c r="AX59" s="62">
        <f t="shared" si="3"/>
        <v>232661.88792000001</v>
      </c>
      <c r="AZ59" s="33" t="b">
        <f t="shared" si="4"/>
        <v>1</v>
      </c>
    </row>
    <row r="60" spans="1:53" s="33" customFormat="1" outlineLevel="1" x14ac:dyDescent="0.3">
      <c r="A60" s="33" t="s">
        <v>781</v>
      </c>
      <c r="B60" s="34" t="s">
        <v>751</v>
      </c>
      <c r="C60" s="35">
        <v>28</v>
      </c>
      <c r="D60" s="36" t="s">
        <v>825</v>
      </c>
      <c r="E60" s="37" t="s">
        <v>67</v>
      </c>
      <c r="F60" s="38" t="s">
        <v>68</v>
      </c>
      <c r="G60" s="38" t="s">
        <v>198</v>
      </c>
      <c r="H60" s="38" t="s">
        <v>197</v>
      </c>
      <c r="I60" s="38" t="s">
        <v>9</v>
      </c>
      <c r="J60" s="39">
        <v>824810</v>
      </c>
      <c r="K60" s="40">
        <v>809979</v>
      </c>
      <c r="L60" s="40"/>
      <c r="M60" s="40"/>
      <c r="N60" s="41"/>
      <c r="O60" s="41"/>
      <c r="P60" s="41"/>
      <c r="Q60" s="41" t="s">
        <v>8</v>
      </c>
      <c r="R60" s="44">
        <v>29724</v>
      </c>
      <c r="S60" s="44">
        <v>29724</v>
      </c>
      <c r="T60" s="44">
        <v>29724</v>
      </c>
      <c r="U60" s="44">
        <v>29724</v>
      </c>
      <c r="V60" s="44">
        <v>29724</v>
      </c>
      <c r="W60" s="44">
        <v>29724</v>
      </c>
      <c r="X60" s="44">
        <v>29724</v>
      </c>
      <c r="Y60" s="44">
        <v>29724</v>
      </c>
      <c r="Z60" s="44">
        <v>29724</v>
      </c>
      <c r="AA60" s="44">
        <v>29724</v>
      </c>
      <c r="AB60" s="44">
        <v>29724</v>
      </c>
      <c r="AC60" s="44">
        <v>29724</v>
      </c>
      <c r="AD60" s="44">
        <v>29724</v>
      </c>
      <c r="AE60" s="44">
        <v>29724</v>
      </c>
      <c r="AF60" s="44">
        <v>29724</v>
      </c>
      <c r="AG60" s="44">
        <v>29724</v>
      </c>
      <c r="AH60" s="44">
        <v>29724</v>
      </c>
      <c r="AI60" s="44">
        <v>29724</v>
      </c>
      <c r="AJ60" s="44">
        <v>29724</v>
      </c>
      <c r="AK60" s="44">
        <v>29724</v>
      </c>
      <c r="AL60" s="44">
        <v>29724</v>
      </c>
      <c r="AM60" s="44">
        <v>29724</v>
      </c>
      <c r="AN60" s="44">
        <v>29724</v>
      </c>
      <c r="AO60" s="44">
        <v>29724</v>
      </c>
      <c r="AP60" s="44">
        <v>29724</v>
      </c>
      <c r="AQ60" s="44">
        <v>22293</v>
      </c>
      <c r="AR60" s="44">
        <v>0</v>
      </c>
      <c r="AS60" s="44"/>
      <c r="AT60" s="44"/>
      <c r="AU60" s="45">
        <f t="shared" si="0"/>
        <v>765393</v>
      </c>
      <c r="AV60" s="46">
        <f t="shared" si="1"/>
        <v>0</v>
      </c>
      <c r="AW60" s="47">
        <f t="shared" si="2"/>
        <v>557325</v>
      </c>
      <c r="AX60" s="48">
        <f t="shared" si="3"/>
        <v>765393</v>
      </c>
      <c r="AZ60" s="33" t="b">
        <f t="shared" si="4"/>
        <v>1</v>
      </c>
      <c r="BA60" s="49"/>
    </row>
    <row r="61" spans="1:53" outlineLevel="1" x14ac:dyDescent="0.3">
      <c r="A61" s="33" t="s">
        <v>781</v>
      </c>
      <c r="B61" s="50" t="s">
        <v>751</v>
      </c>
      <c r="C61" s="51"/>
      <c r="D61" s="52" t="s">
        <v>826</v>
      </c>
      <c r="E61" s="53"/>
      <c r="F61" s="54"/>
      <c r="G61" s="54"/>
      <c r="H61" s="54"/>
      <c r="I61" s="54"/>
      <c r="J61" s="55"/>
      <c r="K61" s="55"/>
      <c r="L61" s="55" t="s">
        <v>196</v>
      </c>
      <c r="M61" s="55"/>
      <c r="N61" s="56">
        <f t="shared" si="5"/>
        <v>3.6619999999999999</v>
      </c>
      <c r="O61" s="196">
        <v>3.6619999999999999</v>
      </c>
      <c r="P61" s="56">
        <f>$P$4</f>
        <v>0</v>
      </c>
      <c r="Q61" s="56" t="s">
        <v>10</v>
      </c>
      <c r="R61" s="59">
        <f>SUM(R60:$AR60)*$N61/100</f>
        <v>28028.691659999997</v>
      </c>
      <c r="S61" s="59">
        <f>SUM(S60:$AR60)*$N61/100</f>
        <v>26940.198779999999</v>
      </c>
      <c r="T61" s="59">
        <f>SUM(T60:$AR60)*$N61/100</f>
        <v>25851.705899999997</v>
      </c>
      <c r="U61" s="59">
        <f>SUM(U60:$AR60)*$N61/100</f>
        <v>24763.213020000003</v>
      </c>
      <c r="V61" s="59">
        <f>SUM(V60:$AR60)*$N61/100</f>
        <v>23674.720140000001</v>
      </c>
      <c r="W61" s="59">
        <f>SUM(W60:$AR60)*$N61/100</f>
        <v>22586.22726</v>
      </c>
      <c r="X61" s="59">
        <f>SUM(X60:$AR60)*$N61/100</f>
        <v>21497.734380000002</v>
      </c>
      <c r="Y61" s="59">
        <f>SUM(Y60:$AR60)*$N61/100</f>
        <v>20409.2415</v>
      </c>
      <c r="Z61" s="59">
        <f>SUM(Z60:$AR60)*$N61/100</f>
        <v>19320.748619999998</v>
      </c>
      <c r="AA61" s="59">
        <f>SUM(AA60:$AR60)*$N61/100</f>
        <v>18232.255740000001</v>
      </c>
      <c r="AB61" s="59">
        <f>SUM(AB60:$AR60)*$N61/100</f>
        <v>17143.762859999999</v>
      </c>
      <c r="AC61" s="59">
        <f>SUM(AC60:$AR60)*$N61/100</f>
        <v>16055.269979999999</v>
      </c>
      <c r="AD61" s="59">
        <f>SUM(AD60:$AR60)*$N61/100</f>
        <v>14966.777099999999</v>
      </c>
      <c r="AE61" s="59">
        <f>SUM(AE60:$AR60)*$N61/100</f>
        <v>13878.28422</v>
      </c>
      <c r="AF61" s="59">
        <f>SUM(AF60:$AR60)*$N61/100</f>
        <v>12789.791340000002</v>
      </c>
      <c r="AG61" s="59">
        <f>SUM(AG60:$AR60)*$N61/100</f>
        <v>11701.298459999998</v>
      </c>
      <c r="AH61" s="59">
        <f>SUM(AH60:$AR60)*$N61/100</f>
        <v>10612.80558</v>
      </c>
      <c r="AI61" s="59">
        <f>SUM(AI60:$AR60)*$N61/100</f>
        <v>9524.3127000000004</v>
      </c>
      <c r="AJ61" s="59">
        <f>SUM(AJ60:$AR60)*$N61/100</f>
        <v>8435.8198199999988</v>
      </c>
      <c r="AK61" s="59">
        <f>SUM(AK60:$AR60)*$N61/100</f>
        <v>7347.3269399999999</v>
      </c>
      <c r="AL61" s="59">
        <f>SUM(AL60:$AR60)*$N61/100</f>
        <v>6258.8340599999992</v>
      </c>
      <c r="AM61" s="59">
        <f>SUM(AM60:$AR60)*$N61/100</f>
        <v>5170.3411800000003</v>
      </c>
      <c r="AN61" s="59">
        <f>SUM(AN60:$AR60)*$N61/100</f>
        <v>4081.8483000000001</v>
      </c>
      <c r="AO61" s="59">
        <f>SUM(AO60:$AR60)*$N61/100</f>
        <v>2993.3554200000003</v>
      </c>
      <c r="AP61" s="59">
        <f>SUM(AP60:$AR60)*$N61/100</f>
        <v>1904.8625399999999</v>
      </c>
      <c r="AQ61" s="59">
        <f>SUM(AQ60:$AR60)*$N61/100</f>
        <v>816.36965999999995</v>
      </c>
      <c r="AR61" s="59">
        <v>0</v>
      </c>
      <c r="AS61" s="59"/>
      <c r="AT61" s="59"/>
      <c r="AU61" s="60">
        <f t="shared" si="0"/>
        <v>374985.79715999996</v>
      </c>
      <c r="AV61" s="46">
        <f t="shared" si="1"/>
        <v>0</v>
      </c>
      <c r="AW61" s="61">
        <f t="shared" si="2"/>
        <v>201643.30602000002</v>
      </c>
      <c r="AX61" s="62">
        <f t="shared" si="3"/>
        <v>374985.79716000002</v>
      </c>
      <c r="AZ61" s="33" t="b">
        <f t="shared" si="4"/>
        <v>1</v>
      </c>
    </row>
    <row r="62" spans="1:53" s="33" customFormat="1" outlineLevel="1" x14ac:dyDescent="0.3">
      <c r="B62" s="34" t="s">
        <v>751</v>
      </c>
      <c r="C62" s="35">
        <v>29</v>
      </c>
      <c r="D62" s="36" t="s">
        <v>794</v>
      </c>
      <c r="E62" s="37" t="s">
        <v>69</v>
      </c>
      <c r="F62" s="38" t="s">
        <v>70</v>
      </c>
      <c r="G62" s="38" t="s">
        <v>198</v>
      </c>
      <c r="H62" s="38" t="s">
        <v>199</v>
      </c>
      <c r="I62" s="38" t="s">
        <v>9</v>
      </c>
      <c r="J62" s="39">
        <v>347420.04</v>
      </c>
      <c r="K62" s="40">
        <v>319308.03999999998</v>
      </c>
      <c r="L62" s="40"/>
      <c r="M62" s="40"/>
      <c r="N62" s="41"/>
      <c r="O62" s="41"/>
      <c r="P62" s="41"/>
      <c r="Q62" s="41" t="s">
        <v>8</v>
      </c>
      <c r="R62" s="44">
        <v>18788</v>
      </c>
      <c r="S62" s="44">
        <v>18788</v>
      </c>
      <c r="T62" s="44">
        <v>18788</v>
      </c>
      <c r="U62" s="44">
        <v>18788</v>
      </c>
      <c r="V62" s="44">
        <v>18788</v>
      </c>
      <c r="W62" s="44">
        <v>18788</v>
      </c>
      <c r="X62" s="44">
        <v>18788</v>
      </c>
      <c r="Y62" s="44">
        <v>18788</v>
      </c>
      <c r="Z62" s="44">
        <v>18788</v>
      </c>
      <c r="AA62" s="44">
        <v>18788</v>
      </c>
      <c r="AB62" s="44">
        <v>18788</v>
      </c>
      <c r="AC62" s="44">
        <v>18788</v>
      </c>
      <c r="AD62" s="44">
        <v>18788</v>
      </c>
      <c r="AE62" s="44">
        <v>18788</v>
      </c>
      <c r="AF62" s="44">
        <v>18788</v>
      </c>
      <c r="AG62" s="44">
        <v>9306.0400000000009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/>
      <c r="AT62" s="44"/>
      <c r="AU62" s="45">
        <f t="shared" si="0"/>
        <v>291126.03999999998</v>
      </c>
      <c r="AV62" s="46">
        <f t="shared" si="1"/>
        <v>0</v>
      </c>
      <c r="AW62" s="47">
        <f t="shared" si="2"/>
        <v>159610.04</v>
      </c>
      <c r="AX62" s="48">
        <f t="shared" si="3"/>
        <v>291126.04000000004</v>
      </c>
      <c r="AZ62" s="33" t="b">
        <f t="shared" si="4"/>
        <v>1</v>
      </c>
      <c r="BA62" s="49"/>
    </row>
    <row r="63" spans="1:53" outlineLevel="1" x14ac:dyDescent="0.3">
      <c r="B63" s="50" t="s">
        <v>751</v>
      </c>
      <c r="C63" s="51"/>
      <c r="D63" s="52" t="s">
        <v>795</v>
      </c>
      <c r="E63" s="53"/>
      <c r="F63" s="54"/>
      <c r="G63" s="54"/>
      <c r="H63" s="54"/>
      <c r="I63" s="54"/>
      <c r="J63" s="55"/>
      <c r="K63" s="55"/>
      <c r="L63" s="55" t="s">
        <v>196</v>
      </c>
      <c r="M63" s="55"/>
      <c r="N63" s="56">
        <f t="shared" si="5"/>
        <v>3.4340000000000002</v>
      </c>
      <c r="O63" s="196">
        <v>3.4340000000000002</v>
      </c>
      <c r="P63" s="56">
        <f>$P$4</f>
        <v>0</v>
      </c>
      <c r="Q63" s="56" t="s">
        <v>10</v>
      </c>
      <c r="R63" s="59">
        <f>SUM(R62:$AR62)*$N63/100</f>
        <v>9997.2682136000003</v>
      </c>
      <c r="S63" s="59">
        <f>SUM(S62:$AR62)*$N63/100</f>
        <v>9352.0882935999998</v>
      </c>
      <c r="T63" s="59">
        <f>SUM(T62:$AR62)*$N63/100</f>
        <v>8706.9083736000011</v>
      </c>
      <c r="U63" s="59">
        <f>SUM(U62:$AR62)*$N63/100</f>
        <v>8061.7284536000006</v>
      </c>
      <c r="V63" s="59">
        <f>SUM(V62:$AR62)*$N63/100</f>
        <v>7416.5485336000011</v>
      </c>
      <c r="W63" s="59">
        <f>SUM(W62:$AR62)*$N63/100</f>
        <v>6771.3686136000006</v>
      </c>
      <c r="X63" s="59">
        <f>SUM(X62:$AR62)*$N63/100</f>
        <v>6126.1886936000001</v>
      </c>
      <c r="Y63" s="59">
        <f>SUM(Y62:$AR62)*$N63/100</f>
        <v>5481.0087736000005</v>
      </c>
      <c r="Z63" s="59">
        <f>SUM(Z62:$AR62)*$N63/100</f>
        <v>4835.8288536000009</v>
      </c>
      <c r="AA63" s="59">
        <f>SUM(AA62:$AR62)*$N63/100</f>
        <v>4190.6489336000004</v>
      </c>
      <c r="AB63" s="59">
        <f>SUM(AB62:$AR62)*$N63/100</f>
        <v>3545.4690136000004</v>
      </c>
      <c r="AC63" s="59">
        <f>SUM(AC62:$AR62)*$N63/100</f>
        <v>2900.2890936000003</v>
      </c>
      <c r="AD63" s="59">
        <f>SUM(AD62:$AR62)*$N63/100</f>
        <v>2255.1091736000003</v>
      </c>
      <c r="AE63" s="59">
        <f>SUM(AE62:$AR62)*$N63/100</f>
        <v>1609.9292536000003</v>
      </c>
      <c r="AF63" s="59">
        <f>SUM(AF62:$AR62)*$N63/100</f>
        <v>964.74933360000011</v>
      </c>
      <c r="AG63" s="59">
        <f>SUM(AG62:$AR62)*$N63/100</f>
        <v>319.56941360000002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  <c r="AN63" s="59">
        <v>0</v>
      </c>
      <c r="AO63" s="59">
        <v>0</v>
      </c>
      <c r="AP63" s="59">
        <v>0</v>
      </c>
      <c r="AQ63" s="59">
        <v>0</v>
      </c>
      <c r="AR63" s="59">
        <v>0</v>
      </c>
      <c r="AS63" s="59"/>
      <c r="AT63" s="59"/>
      <c r="AU63" s="60">
        <f t="shared" si="0"/>
        <v>82534.701017599989</v>
      </c>
      <c r="AV63" s="46">
        <f t="shared" si="1"/>
        <v>0</v>
      </c>
      <c r="AW63" s="61">
        <f t="shared" si="2"/>
        <v>26102.601842400003</v>
      </c>
      <c r="AX63" s="62">
        <f t="shared" si="3"/>
        <v>82534.701017600004</v>
      </c>
      <c r="AZ63" s="33" t="b">
        <f t="shared" si="4"/>
        <v>1</v>
      </c>
    </row>
    <row r="64" spans="1:53" s="33" customFormat="1" outlineLevel="1" x14ac:dyDescent="0.3">
      <c r="B64" s="34" t="s">
        <v>750</v>
      </c>
      <c r="C64" s="35">
        <v>30</v>
      </c>
      <c r="D64" s="36" t="s">
        <v>736</v>
      </c>
      <c r="E64" s="37" t="s">
        <v>71</v>
      </c>
      <c r="F64" s="38" t="s">
        <v>72</v>
      </c>
      <c r="G64" s="38" t="s">
        <v>201</v>
      </c>
      <c r="H64" s="38" t="s">
        <v>200</v>
      </c>
      <c r="I64" s="38" t="s">
        <v>9</v>
      </c>
      <c r="J64" s="39">
        <v>53218</v>
      </c>
      <c r="K64" s="40">
        <v>25209</v>
      </c>
      <c r="L64" s="40"/>
      <c r="M64" s="40"/>
      <c r="N64" s="41"/>
      <c r="O64" s="41"/>
      <c r="P64" s="41"/>
      <c r="Q64" s="41" t="s">
        <v>8</v>
      </c>
      <c r="R64" s="44">
        <v>8403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4">
        <v>0</v>
      </c>
      <c r="AE64" s="44">
        <v>0</v>
      </c>
      <c r="AF64" s="44">
        <v>0</v>
      </c>
      <c r="AG64" s="44">
        <v>0</v>
      </c>
      <c r="AH64" s="44">
        <v>0</v>
      </c>
      <c r="AI64" s="44">
        <v>0</v>
      </c>
      <c r="AJ64" s="44">
        <v>0</v>
      </c>
      <c r="AK64" s="44">
        <v>0</v>
      </c>
      <c r="AL64" s="44">
        <v>0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S64" s="44"/>
      <c r="AT64" s="44"/>
      <c r="AU64" s="45">
        <f t="shared" si="0"/>
        <v>8403</v>
      </c>
      <c r="AV64" s="46">
        <f t="shared" si="1"/>
        <v>0</v>
      </c>
      <c r="AW64" s="47">
        <f t="shared" si="2"/>
        <v>0</v>
      </c>
      <c r="AX64" s="48">
        <f t="shared" si="3"/>
        <v>8403</v>
      </c>
      <c r="AZ64" s="33" t="b">
        <f t="shared" si="4"/>
        <v>1</v>
      </c>
      <c r="BA64" s="49"/>
    </row>
    <row r="65" spans="2:53" outlineLevel="1" x14ac:dyDescent="0.3">
      <c r="B65" s="50" t="s">
        <v>750</v>
      </c>
      <c r="C65" s="51"/>
      <c r="D65" s="52"/>
      <c r="E65" s="53"/>
      <c r="F65" s="54"/>
      <c r="G65" s="54"/>
      <c r="H65" s="54"/>
      <c r="I65" s="54"/>
      <c r="J65" s="55"/>
      <c r="K65" s="55"/>
      <c r="L65" s="55">
        <v>0</v>
      </c>
      <c r="M65" s="55" t="s">
        <v>748</v>
      </c>
      <c r="N65" s="56">
        <f t="shared" si="5"/>
        <v>0.25</v>
      </c>
      <c r="O65" s="56">
        <v>0.25</v>
      </c>
      <c r="P65" s="56">
        <f>$P$4</f>
        <v>0</v>
      </c>
      <c r="Q65" s="56" t="s">
        <v>10</v>
      </c>
      <c r="R65" s="59">
        <f>SUM(R64:$AR64)*$N65/100</f>
        <v>21.0075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v>0</v>
      </c>
      <c r="AM65" s="59">
        <v>0</v>
      </c>
      <c r="AN65" s="59">
        <v>0</v>
      </c>
      <c r="AO65" s="59">
        <v>0</v>
      </c>
      <c r="AP65" s="59">
        <v>0</v>
      </c>
      <c r="AQ65" s="59">
        <v>0</v>
      </c>
      <c r="AR65" s="59">
        <v>0</v>
      </c>
      <c r="AS65" s="59"/>
      <c r="AT65" s="59"/>
      <c r="AU65" s="60">
        <f t="shared" si="0"/>
        <v>21.0075</v>
      </c>
      <c r="AV65" s="46">
        <f t="shared" si="1"/>
        <v>0</v>
      </c>
      <c r="AW65" s="61">
        <f t="shared" si="2"/>
        <v>0</v>
      </c>
      <c r="AX65" s="62">
        <f t="shared" si="3"/>
        <v>21.0075</v>
      </c>
      <c r="AZ65" s="33" t="b">
        <f t="shared" si="4"/>
        <v>1</v>
      </c>
    </row>
    <row r="66" spans="2:53" s="33" customFormat="1" outlineLevel="1" x14ac:dyDescent="0.3">
      <c r="B66" s="34" t="s">
        <v>750</v>
      </c>
      <c r="C66" s="35">
        <v>31</v>
      </c>
      <c r="D66" s="36" t="s">
        <v>732</v>
      </c>
      <c r="E66" s="37" t="s">
        <v>73</v>
      </c>
      <c r="F66" s="38" t="s">
        <v>74</v>
      </c>
      <c r="G66" s="38" t="s">
        <v>201</v>
      </c>
      <c r="H66" s="38" t="s">
        <v>200</v>
      </c>
      <c r="I66" s="38" t="s">
        <v>9</v>
      </c>
      <c r="J66" s="39">
        <v>46991.33</v>
      </c>
      <c r="K66" s="40">
        <v>22264.33</v>
      </c>
      <c r="L66" s="40"/>
      <c r="M66" s="40"/>
      <c r="N66" s="41"/>
      <c r="O66" s="41"/>
      <c r="P66" s="41"/>
      <c r="Q66" s="41" t="s">
        <v>8</v>
      </c>
      <c r="R66" s="44">
        <v>7420.33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/>
      <c r="AT66" s="44"/>
      <c r="AU66" s="45">
        <f t="shared" si="0"/>
        <v>7420.33</v>
      </c>
      <c r="AV66" s="46">
        <f t="shared" si="1"/>
        <v>0</v>
      </c>
      <c r="AW66" s="47">
        <f t="shared" si="2"/>
        <v>0</v>
      </c>
      <c r="AX66" s="48">
        <f t="shared" si="3"/>
        <v>7420.33</v>
      </c>
      <c r="AZ66" s="33" t="b">
        <f t="shared" si="4"/>
        <v>1</v>
      </c>
      <c r="BA66" s="49"/>
    </row>
    <row r="67" spans="2:53" outlineLevel="1" x14ac:dyDescent="0.3">
      <c r="B67" s="50" t="s">
        <v>750</v>
      </c>
      <c r="C67" s="51"/>
      <c r="D67" s="52"/>
      <c r="E67" s="53"/>
      <c r="F67" s="54"/>
      <c r="G67" s="54"/>
      <c r="H67" s="54"/>
      <c r="I67" s="54"/>
      <c r="J67" s="55"/>
      <c r="K67" s="55"/>
      <c r="L67" s="55">
        <v>0</v>
      </c>
      <c r="M67" s="55" t="s">
        <v>748</v>
      </c>
      <c r="N67" s="56">
        <f t="shared" si="5"/>
        <v>0.25</v>
      </c>
      <c r="O67" s="56">
        <v>0.25</v>
      </c>
      <c r="P67" s="56">
        <f>$P$4</f>
        <v>0</v>
      </c>
      <c r="Q67" s="56" t="s">
        <v>10</v>
      </c>
      <c r="R67" s="59">
        <f>SUM(R66:$AR66)*$N67/100</f>
        <v>18.550825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v>0</v>
      </c>
      <c r="AM67" s="59">
        <v>0</v>
      </c>
      <c r="AN67" s="59">
        <v>0</v>
      </c>
      <c r="AO67" s="59">
        <v>0</v>
      </c>
      <c r="AP67" s="59">
        <v>0</v>
      </c>
      <c r="AQ67" s="59">
        <v>0</v>
      </c>
      <c r="AR67" s="59">
        <v>0</v>
      </c>
      <c r="AS67" s="59"/>
      <c r="AT67" s="59"/>
      <c r="AU67" s="60">
        <f t="shared" si="0"/>
        <v>18.550825</v>
      </c>
      <c r="AV67" s="46">
        <f t="shared" si="1"/>
        <v>0</v>
      </c>
      <c r="AW67" s="61">
        <f t="shared" si="2"/>
        <v>0</v>
      </c>
      <c r="AX67" s="62">
        <f t="shared" si="3"/>
        <v>18.550825</v>
      </c>
      <c r="AZ67" s="33" t="b">
        <f t="shared" si="4"/>
        <v>1</v>
      </c>
    </row>
    <row r="68" spans="2:53" s="33" customFormat="1" outlineLevel="1" x14ac:dyDescent="0.3">
      <c r="B68" s="34" t="s">
        <v>751</v>
      </c>
      <c r="C68" s="35">
        <v>32</v>
      </c>
      <c r="D68" s="36" t="s">
        <v>739</v>
      </c>
      <c r="E68" s="37" t="s">
        <v>75</v>
      </c>
      <c r="F68" s="38" t="s">
        <v>76</v>
      </c>
      <c r="G68" s="38" t="s">
        <v>204</v>
      </c>
      <c r="H68" s="38" t="s">
        <v>203</v>
      </c>
      <c r="I68" s="38" t="s">
        <v>9</v>
      </c>
      <c r="J68" s="39">
        <v>9703992</v>
      </c>
      <c r="K68" s="40">
        <v>9485777.9199999999</v>
      </c>
      <c r="L68" s="40"/>
      <c r="M68" s="40"/>
      <c r="N68" s="41"/>
      <c r="O68" s="41"/>
      <c r="P68" s="41"/>
      <c r="Q68" s="41" t="s">
        <v>8</v>
      </c>
      <c r="R68" s="44">
        <v>343508</v>
      </c>
      <c r="S68" s="44">
        <v>343508</v>
      </c>
      <c r="T68" s="44">
        <v>343508</v>
      </c>
      <c r="U68" s="44">
        <v>343508</v>
      </c>
      <c r="V68" s="44">
        <v>343508</v>
      </c>
      <c r="W68" s="44">
        <v>343508</v>
      </c>
      <c r="X68" s="44">
        <v>343508</v>
      </c>
      <c r="Y68" s="44">
        <v>343508</v>
      </c>
      <c r="Z68" s="44">
        <v>343508</v>
      </c>
      <c r="AA68" s="44">
        <v>343508</v>
      </c>
      <c r="AB68" s="44">
        <v>343508</v>
      </c>
      <c r="AC68" s="44">
        <v>343508</v>
      </c>
      <c r="AD68" s="44">
        <v>343508</v>
      </c>
      <c r="AE68" s="44">
        <v>343508</v>
      </c>
      <c r="AF68" s="44">
        <v>343508</v>
      </c>
      <c r="AG68" s="44">
        <v>343508</v>
      </c>
      <c r="AH68" s="44">
        <v>343508</v>
      </c>
      <c r="AI68" s="44">
        <v>343508</v>
      </c>
      <c r="AJ68" s="44">
        <v>343508</v>
      </c>
      <c r="AK68" s="44">
        <v>343508</v>
      </c>
      <c r="AL68" s="44">
        <v>343508</v>
      </c>
      <c r="AM68" s="44">
        <v>343508</v>
      </c>
      <c r="AN68" s="44">
        <v>343508</v>
      </c>
      <c r="AO68" s="44">
        <v>343508</v>
      </c>
      <c r="AP68" s="44">
        <v>343508</v>
      </c>
      <c r="AQ68" s="44">
        <v>343508</v>
      </c>
      <c r="AR68" s="44">
        <v>39307.919999999998</v>
      </c>
      <c r="AS68" s="44"/>
      <c r="AT68" s="44"/>
      <c r="AU68" s="45">
        <f t="shared" si="0"/>
        <v>8970515.9199999999</v>
      </c>
      <c r="AV68" s="46">
        <f t="shared" si="1"/>
        <v>0</v>
      </c>
      <c r="AW68" s="47">
        <f t="shared" si="2"/>
        <v>6565959.9199999999</v>
      </c>
      <c r="AX68" s="48">
        <f t="shared" si="3"/>
        <v>8970515.9199999999</v>
      </c>
      <c r="AZ68" s="33" t="b">
        <f t="shared" si="4"/>
        <v>1</v>
      </c>
      <c r="BA68" s="49"/>
    </row>
    <row r="69" spans="2:53" outlineLevel="1" x14ac:dyDescent="0.3">
      <c r="B69" s="50" t="s">
        <v>751</v>
      </c>
      <c r="C69" s="51"/>
      <c r="D69" s="52"/>
      <c r="E69" s="53"/>
      <c r="F69" s="54"/>
      <c r="G69" s="54"/>
      <c r="H69" s="54"/>
      <c r="I69" s="54"/>
      <c r="J69" s="55"/>
      <c r="K69" s="55"/>
      <c r="L69" s="55" t="s">
        <v>202</v>
      </c>
      <c r="M69" s="55"/>
      <c r="N69" s="56">
        <f t="shared" si="5"/>
        <v>4.4550000000000001</v>
      </c>
      <c r="O69" s="196">
        <v>4.4550000000000001</v>
      </c>
      <c r="P69" s="56">
        <f>$P$4</f>
        <v>0</v>
      </c>
      <c r="Q69" s="56" t="s">
        <v>10</v>
      </c>
      <c r="R69" s="59">
        <f>SUM(R68:$AR68)*$N69/100</f>
        <v>399636.48423600005</v>
      </c>
      <c r="S69" s="59">
        <f>SUM(S68:$AR68)*$N69/100</f>
        <v>384333.20283600001</v>
      </c>
      <c r="T69" s="59">
        <f>SUM(T68:$AR68)*$N69/100</f>
        <v>369029.92143600003</v>
      </c>
      <c r="U69" s="59">
        <f>SUM(U68:$AR68)*$N69/100</f>
        <v>353726.640036</v>
      </c>
      <c r="V69" s="59">
        <f>SUM(V68:$AR68)*$N69/100</f>
        <v>338423.35863600002</v>
      </c>
      <c r="W69" s="59">
        <f>SUM(W68:$AR68)*$N69/100</f>
        <v>323120.07723599998</v>
      </c>
      <c r="X69" s="59">
        <f>SUM(X68:$AR68)*$N69/100</f>
        <v>307816.795836</v>
      </c>
      <c r="Y69" s="59">
        <f>SUM(Y68:$AR68)*$N69/100</f>
        <v>292513.51443599997</v>
      </c>
      <c r="Z69" s="59">
        <f>SUM(Z68:$AR68)*$N69/100</f>
        <v>277210.23303599999</v>
      </c>
      <c r="AA69" s="59">
        <f>SUM(AA68:$AR68)*$N69/100</f>
        <v>261906.95163600001</v>
      </c>
      <c r="AB69" s="59">
        <f>SUM(AB68:$AR68)*$N69/100</f>
        <v>246603.67023600001</v>
      </c>
      <c r="AC69" s="59">
        <f>SUM(AC68:$AR68)*$N69/100</f>
        <v>231300.388836</v>
      </c>
      <c r="AD69" s="59">
        <f>SUM(AD68:$AR68)*$N69/100</f>
        <v>215997.10743599999</v>
      </c>
      <c r="AE69" s="59">
        <f>SUM(AE68:$AR68)*$N69/100</f>
        <v>200693.82603599998</v>
      </c>
      <c r="AF69" s="59">
        <f>SUM(AF68:$AR68)*$N69/100</f>
        <v>185390.54463599998</v>
      </c>
      <c r="AG69" s="59">
        <f>SUM(AG68:$AR68)*$N69/100</f>
        <v>170087.26323600003</v>
      </c>
      <c r="AH69" s="59">
        <f>SUM(AH68:$AR68)*$N69/100</f>
        <v>154783.98183599999</v>
      </c>
      <c r="AI69" s="59">
        <f>SUM(AI68:$AR68)*$N69/100</f>
        <v>139480.70043600001</v>
      </c>
      <c r="AJ69" s="59">
        <f>SUM(AJ68:$AR68)*$N69/100</f>
        <v>124177.41903599999</v>
      </c>
      <c r="AK69" s="59">
        <f>SUM(AK68:$AR68)*$N69/100</f>
        <v>108874.137636</v>
      </c>
      <c r="AL69" s="59">
        <f>SUM(AL68:$AR68)*$N69/100</f>
        <v>93570.856236000007</v>
      </c>
      <c r="AM69" s="59">
        <f>SUM(AM68:$AR68)*$N69/100</f>
        <v>78267.574836</v>
      </c>
      <c r="AN69" s="59">
        <f>SUM(AN68:$AR68)*$N69/100</f>
        <v>62964.293435999993</v>
      </c>
      <c r="AO69" s="59">
        <f>SUM(AO68:$AR68)*$N69/100</f>
        <v>47661.012036</v>
      </c>
      <c r="AP69" s="59">
        <f>SUM(AP68:$AR68)*$N69/100</f>
        <v>32357.730636000004</v>
      </c>
      <c r="AQ69" s="59">
        <f>SUM(AQ68:$AR68)*$N69/100</f>
        <v>17054.449236</v>
      </c>
      <c r="AR69" s="59">
        <f>SUM(AR68:$AR68)*$N69/100</f>
        <v>1751.1678359999999</v>
      </c>
      <c r="AS69" s="59"/>
      <c r="AT69" s="59"/>
      <c r="AU69" s="60">
        <f t="shared" ref="AU69:AU125" si="6">SUM(R69:AT69)</f>
        <v>5418733.3029719992</v>
      </c>
      <c r="AV69" s="46">
        <f t="shared" ref="AV69:AV126" si="7">AU69-SUM(R69:AT69)</f>
        <v>0</v>
      </c>
      <c r="AW69" s="61">
        <f t="shared" ref="AW69:AW126" si="8">SUM(Y69:AT69)</f>
        <v>2942646.8227199996</v>
      </c>
      <c r="AX69" s="62">
        <f t="shared" ref="AX69:AX126" si="9">SUM(R69:X69,AW69)</f>
        <v>5418733.3029719992</v>
      </c>
      <c r="AZ69" s="33" t="b">
        <f t="shared" si="4"/>
        <v>1</v>
      </c>
    </row>
    <row r="70" spans="2:53" s="33" customFormat="1" outlineLevel="1" x14ac:dyDescent="0.3">
      <c r="B70" s="34" t="s">
        <v>751</v>
      </c>
      <c r="C70" s="35">
        <v>33</v>
      </c>
      <c r="D70" s="36" t="s">
        <v>740</v>
      </c>
      <c r="E70" s="37" t="s">
        <v>77</v>
      </c>
      <c r="F70" s="38" t="s">
        <v>78</v>
      </c>
      <c r="G70" s="38" t="s">
        <v>204</v>
      </c>
      <c r="H70" s="38" t="s">
        <v>205</v>
      </c>
      <c r="I70" s="38" t="s">
        <v>9</v>
      </c>
      <c r="J70" s="39">
        <v>43430</v>
      </c>
      <c r="K70" s="40">
        <v>6572</v>
      </c>
      <c r="L70" s="40"/>
      <c r="M70" s="40"/>
      <c r="N70" s="41"/>
      <c r="O70" s="41"/>
      <c r="P70" s="41"/>
      <c r="Q70" s="41" t="s">
        <v>8</v>
      </c>
      <c r="R70" s="194">
        <v>848</v>
      </c>
      <c r="S70" s="194">
        <v>848</v>
      </c>
      <c r="T70" s="194">
        <v>848</v>
      </c>
      <c r="U70" s="194">
        <v>848</v>
      </c>
      <c r="V70" s="194">
        <v>848</v>
      </c>
      <c r="W70" s="194">
        <v>848</v>
      </c>
      <c r="X70" s="194">
        <v>212</v>
      </c>
      <c r="Y70" s="44">
        <v>0</v>
      </c>
      <c r="Z70" s="44">
        <v>0</v>
      </c>
      <c r="AA70" s="44">
        <v>0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0</v>
      </c>
      <c r="AH70" s="44">
        <v>0</v>
      </c>
      <c r="AI70" s="44">
        <v>0</v>
      </c>
      <c r="AJ70" s="44">
        <v>0</v>
      </c>
      <c r="AK70" s="44">
        <v>0</v>
      </c>
      <c r="AL70" s="44">
        <v>0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S70" s="44"/>
      <c r="AT70" s="44"/>
      <c r="AU70" s="45">
        <f t="shared" si="6"/>
        <v>5300</v>
      </c>
      <c r="AV70" s="46">
        <f t="shared" si="7"/>
        <v>0</v>
      </c>
      <c r="AW70" s="47">
        <f t="shared" si="8"/>
        <v>0</v>
      </c>
      <c r="AX70" s="48">
        <f t="shared" si="9"/>
        <v>5300</v>
      </c>
      <c r="AZ70" s="33" t="b">
        <f t="shared" si="4"/>
        <v>1</v>
      </c>
      <c r="BA70" s="49"/>
    </row>
    <row r="71" spans="2:53" outlineLevel="1" x14ac:dyDescent="0.3">
      <c r="B71" s="50" t="s">
        <v>751</v>
      </c>
      <c r="C71" s="51"/>
      <c r="D71" s="52"/>
      <c r="E71" s="53"/>
      <c r="F71" s="54"/>
      <c r="G71" s="54"/>
      <c r="H71" s="54"/>
      <c r="I71" s="54"/>
      <c r="J71" s="55"/>
      <c r="K71" s="55"/>
      <c r="L71" s="55">
        <v>0</v>
      </c>
      <c r="M71" s="55" t="s">
        <v>748</v>
      </c>
      <c r="N71" s="56">
        <f t="shared" ref="N71:N123" si="10">SUM(O71:P71)</f>
        <v>0.25</v>
      </c>
      <c r="O71" s="56">
        <v>0.25</v>
      </c>
      <c r="P71" s="56">
        <f>$P$4</f>
        <v>0</v>
      </c>
      <c r="Q71" s="56" t="s">
        <v>10</v>
      </c>
      <c r="R71" s="195">
        <f>SUM(R70:$AR70)*$N71/100</f>
        <v>13.25</v>
      </c>
      <c r="S71" s="195">
        <f>SUM(S70:$AR70)*$N71/100</f>
        <v>11.13</v>
      </c>
      <c r="T71" s="195">
        <f>SUM(T70:$AR70)*$N71/100</f>
        <v>9.01</v>
      </c>
      <c r="U71" s="195">
        <f>SUM(U70:$AR70)*$N71/100</f>
        <v>6.89</v>
      </c>
      <c r="V71" s="195">
        <f>SUM(V70:$AR70)*$N71/100</f>
        <v>4.7699999999999996</v>
      </c>
      <c r="W71" s="195">
        <f>SUM(W70:$AR70)*$N71/100</f>
        <v>2.65</v>
      </c>
      <c r="X71" s="195">
        <f>SUM(X70:$AR70)*$N71/100</f>
        <v>0.53</v>
      </c>
      <c r="Y71" s="59">
        <v>0</v>
      </c>
      <c r="Z71" s="59">
        <v>0</v>
      </c>
      <c r="AA71" s="59">
        <v>0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  <c r="AG71" s="59">
        <v>0</v>
      </c>
      <c r="AH71" s="59">
        <v>0</v>
      </c>
      <c r="AI71" s="59">
        <v>0</v>
      </c>
      <c r="AJ71" s="59">
        <v>0</v>
      </c>
      <c r="AK71" s="59">
        <v>0</v>
      </c>
      <c r="AL71" s="59">
        <v>0</v>
      </c>
      <c r="AM71" s="59">
        <v>0</v>
      </c>
      <c r="AN71" s="59">
        <v>0</v>
      </c>
      <c r="AO71" s="59">
        <v>0</v>
      </c>
      <c r="AP71" s="59">
        <v>0</v>
      </c>
      <c r="AQ71" s="59">
        <v>0</v>
      </c>
      <c r="AR71" s="59">
        <v>0</v>
      </c>
      <c r="AS71" s="59"/>
      <c r="AT71" s="59"/>
      <c r="AU71" s="60">
        <f t="shared" si="6"/>
        <v>48.23</v>
      </c>
      <c r="AV71" s="46">
        <f t="shared" si="7"/>
        <v>0</v>
      </c>
      <c r="AW71" s="61">
        <f t="shared" si="8"/>
        <v>0</v>
      </c>
      <c r="AX71" s="62">
        <f t="shared" si="9"/>
        <v>48.23</v>
      </c>
      <c r="AZ71" s="33" t="b">
        <f t="shared" ref="AZ71:AZ131" si="11">AU71=AX71</f>
        <v>1</v>
      </c>
    </row>
    <row r="72" spans="2:53" s="33" customFormat="1" outlineLevel="1" x14ac:dyDescent="0.3">
      <c r="B72" s="34" t="s">
        <v>751</v>
      </c>
      <c r="C72" s="35">
        <v>34</v>
      </c>
      <c r="D72" s="36" t="s">
        <v>828</v>
      </c>
      <c r="E72" s="37" t="s">
        <v>79</v>
      </c>
      <c r="F72" s="38" t="s">
        <v>80</v>
      </c>
      <c r="G72" s="38" t="s">
        <v>208</v>
      </c>
      <c r="H72" s="38" t="s">
        <v>207</v>
      </c>
      <c r="I72" s="38" t="s">
        <v>9</v>
      </c>
      <c r="J72" s="39">
        <v>400000</v>
      </c>
      <c r="K72" s="40">
        <v>379509</v>
      </c>
      <c r="L72" s="40"/>
      <c r="M72" s="40"/>
      <c r="N72" s="41"/>
      <c r="O72" s="41"/>
      <c r="P72" s="41"/>
      <c r="Q72" s="41" t="s">
        <v>8</v>
      </c>
      <c r="R72" s="44">
        <v>13676</v>
      </c>
      <c r="S72" s="44">
        <v>13676</v>
      </c>
      <c r="T72" s="44">
        <v>13676</v>
      </c>
      <c r="U72" s="44">
        <v>13676</v>
      </c>
      <c r="V72" s="44">
        <v>13676</v>
      </c>
      <c r="W72" s="44">
        <v>13676</v>
      </c>
      <c r="X72" s="44">
        <v>13676</v>
      </c>
      <c r="Y72" s="44">
        <v>13676</v>
      </c>
      <c r="Z72" s="44">
        <v>13676</v>
      </c>
      <c r="AA72" s="44">
        <v>13676</v>
      </c>
      <c r="AB72" s="44">
        <v>13676</v>
      </c>
      <c r="AC72" s="44">
        <v>13676</v>
      </c>
      <c r="AD72" s="44">
        <v>13676</v>
      </c>
      <c r="AE72" s="44">
        <v>13676</v>
      </c>
      <c r="AF72" s="44">
        <v>13676</v>
      </c>
      <c r="AG72" s="44">
        <v>13676</v>
      </c>
      <c r="AH72" s="44">
        <v>13676</v>
      </c>
      <c r="AI72" s="44">
        <v>13676</v>
      </c>
      <c r="AJ72" s="44">
        <v>13676</v>
      </c>
      <c r="AK72" s="44">
        <v>13676</v>
      </c>
      <c r="AL72" s="44">
        <v>13676</v>
      </c>
      <c r="AM72" s="44">
        <v>13676</v>
      </c>
      <c r="AN72" s="44">
        <v>13676</v>
      </c>
      <c r="AO72" s="44">
        <v>13676</v>
      </c>
      <c r="AP72" s="44">
        <v>13676</v>
      </c>
      <c r="AQ72" s="44">
        <v>13676</v>
      </c>
      <c r="AR72" s="44">
        <v>3419</v>
      </c>
      <c r="AS72" s="44"/>
      <c r="AT72" s="44"/>
      <c r="AU72" s="45">
        <f t="shared" si="6"/>
        <v>358995</v>
      </c>
      <c r="AV72" s="46">
        <f t="shared" si="7"/>
        <v>0</v>
      </c>
      <c r="AW72" s="47">
        <f t="shared" si="8"/>
        <v>263263</v>
      </c>
      <c r="AX72" s="48">
        <f t="shared" si="9"/>
        <v>358995</v>
      </c>
      <c r="AZ72" s="33" t="b">
        <f t="shared" si="11"/>
        <v>1</v>
      </c>
      <c r="BA72" s="49"/>
    </row>
    <row r="73" spans="2:53" outlineLevel="1" x14ac:dyDescent="0.3">
      <c r="B73" s="50" t="s">
        <v>751</v>
      </c>
      <c r="C73" s="51"/>
      <c r="D73" s="52" t="s">
        <v>827</v>
      </c>
      <c r="E73" s="53"/>
      <c r="F73" s="54"/>
      <c r="G73" s="54"/>
      <c r="H73" s="54"/>
      <c r="I73" s="54"/>
      <c r="J73" s="55"/>
      <c r="K73" s="55"/>
      <c r="L73" s="55" t="s">
        <v>206</v>
      </c>
      <c r="M73" s="55"/>
      <c r="N73" s="56">
        <f t="shared" si="10"/>
        <v>4.3380000000000001</v>
      </c>
      <c r="O73" s="196">
        <v>4.3380000000000001</v>
      </c>
      <c r="P73" s="56">
        <f>$P$4</f>
        <v>0</v>
      </c>
      <c r="Q73" s="56" t="s">
        <v>10</v>
      </c>
      <c r="R73" s="59">
        <f>SUM(R72:$AR72)*$N73/100</f>
        <v>15573.203100000001</v>
      </c>
      <c r="S73" s="59">
        <f>SUM(S72:$AR72)*$N73/100</f>
        <v>14979.93822</v>
      </c>
      <c r="T73" s="59">
        <f>SUM(T72:$AR72)*$N73/100</f>
        <v>14386.673340000001</v>
      </c>
      <c r="U73" s="59">
        <f>SUM(U72:$AR72)*$N73/100</f>
        <v>13793.408460000001</v>
      </c>
      <c r="V73" s="59">
        <f>SUM(V72:$AR72)*$N73/100</f>
        <v>13200.14358</v>
      </c>
      <c r="W73" s="59">
        <f>SUM(W72:$AR72)*$N73/100</f>
        <v>12606.878700000001</v>
      </c>
      <c r="X73" s="59">
        <f>SUM(X72:$AR72)*$N73/100</f>
        <v>12013.61382</v>
      </c>
      <c r="Y73" s="59">
        <f>SUM(Y72:$AR72)*$N73/100</f>
        <v>11420.348940000002</v>
      </c>
      <c r="Z73" s="59">
        <f>SUM(Z72:$AR72)*$N73/100</f>
        <v>10827.084059999999</v>
      </c>
      <c r="AA73" s="59">
        <f>SUM(AA72:$AR72)*$N73/100</f>
        <v>10233.81918</v>
      </c>
      <c r="AB73" s="59">
        <f>SUM(AB72:$AR72)*$N73/100</f>
        <v>9640.5542999999998</v>
      </c>
      <c r="AC73" s="59">
        <f>SUM(AC72:$AR72)*$N73/100</f>
        <v>9047.289420000001</v>
      </c>
      <c r="AD73" s="59">
        <f>SUM(AD72:$AR72)*$N73/100</f>
        <v>8454.0245400000003</v>
      </c>
      <c r="AE73" s="59">
        <f>SUM(AE72:$AR72)*$N73/100</f>
        <v>7860.7596599999997</v>
      </c>
      <c r="AF73" s="59">
        <f>SUM(AF72:$AR72)*$N73/100</f>
        <v>7267.49478</v>
      </c>
      <c r="AG73" s="59">
        <f>SUM(AG72:$AR72)*$N73/100</f>
        <v>6674.2299000000003</v>
      </c>
      <c r="AH73" s="59">
        <f>SUM(AH72:$AR72)*$N73/100</f>
        <v>6080.9650199999996</v>
      </c>
      <c r="AI73" s="59">
        <f>SUM(AI72:$AR72)*$N73/100</f>
        <v>5487.7001399999999</v>
      </c>
      <c r="AJ73" s="59">
        <f>SUM(AJ72:$AR72)*$N73/100</f>
        <v>4894.4352600000002</v>
      </c>
      <c r="AK73" s="59">
        <f>SUM(AK72:$AR72)*$N73/100</f>
        <v>4301.1703799999996</v>
      </c>
      <c r="AL73" s="59">
        <f>SUM(AL72:$AR72)*$N73/100</f>
        <v>3707.9054999999998</v>
      </c>
      <c r="AM73" s="59">
        <f>SUM(AM72:$AR72)*$N73/100</f>
        <v>3114.6406200000001</v>
      </c>
      <c r="AN73" s="59">
        <f>SUM(AN72:$AR72)*$N73/100</f>
        <v>2521.37574</v>
      </c>
      <c r="AO73" s="59">
        <f>SUM(AO72:$AR72)*$N73/100</f>
        <v>1928.11086</v>
      </c>
      <c r="AP73" s="59">
        <f>SUM(AP72:$AR72)*$N73/100</f>
        <v>1334.8459800000001</v>
      </c>
      <c r="AQ73" s="59">
        <f>SUM(AQ72:$AR72)*$N73/100</f>
        <v>741.58109999999999</v>
      </c>
      <c r="AR73" s="59">
        <f>SUM(AR72:$AR72)*$N73/100</f>
        <v>148.31621999999999</v>
      </c>
      <c r="AS73" s="59"/>
      <c r="AT73" s="59"/>
      <c r="AU73" s="60">
        <f t="shared" si="6"/>
        <v>212240.51082000002</v>
      </c>
      <c r="AV73" s="46">
        <f t="shared" si="7"/>
        <v>0</v>
      </c>
      <c r="AW73" s="61">
        <f t="shared" si="8"/>
        <v>115686.65159999998</v>
      </c>
      <c r="AX73" s="62">
        <f t="shared" si="9"/>
        <v>212240.51081999997</v>
      </c>
      <c r="AZ73" s="33" t="b">
        <f t="shared" si="11"/>
        <v>1</v>
      </c>
    </row>
    <row r="74" spans="2:53" s="33" customFormat="1" outlineLevel="1" collapsed="1" x14ac:dyDescent="0.3">
      <c r="B74" s="34" t="s">
        <v>751</v>
      </c>
      <c r="C74" s="35">
        <v>35</v>
      </c>
      <c r="D74" s="36" t="s">
        <v>743</v>
      </c>
      <c r="E74" s="37" t="s">
        <v>83</v>
      </c>
      <c r="F74" s="38" t="s">
        <v>84</v>
      </c>
      <c r="G74" s="38" t="s">
        <v>213</v>
      </c>
      <c r="H74" s="38" t="s">
        <v>212</v>
      </c>
      <c r="I74" s="38" t="s">
        <v>9</v>
      </c>
      <c r="J74" s="39">
        <v>279650</v>
      </c>
      <c r="K74" s="40">
        <v>265401</v>
      </c>
      <c r="L74" s="40"/>
      <c r="M74" s="40"/>
      <c r="N74" s="41"/>
      <c r="O74" s="41"/>
      <c r="P74" s="41"/>
      <c r="Q74" s="41" t="s">
        <v>8</v>
      </c>
      <c r="R74" s="44">
        <v>9564</v>
      </c>
      <c r="S74" s="44">
        <v>9564</v>
      </c>
      <c r="T74" s="44">
        <v>9564</v>
      </c>
      <c r="U74" s="44">
        <v>9564</v>
      </c>
      <c r="V74" s="44">
        <v>9564</v>
      </c>
      <c r="W74" s="44">
        <v>9564</v>
      </c>
      <c r="X74" s="44">
        <v>9564</v>
      </c>
      <c r="Y74" s="44">
        <v>9564</v>
      </c>
      <c r="Z74" s="44">
        <v>9564</v>
      </c>
      <c r="AA74" s="44">
        <v>9564</v>
      </c>
      <c r="AB74" s="44">
        <v>9564</v>
      </c>
      <c r="AC74" s="44">
        <v>9564</v>
      </c>
      <c r="AD74" s="44">
        <v>9564</v>
      </c>
      <c r="AE74" s="44">
        <v>9564</v>
      </c>
      <c r="AF74" s="44">
        <v>9564</v>
      </c>
      <c r="AG74" s="44">
        <v>9564</v>
      </c>
      <c r="AH74" s="44">
        <v>9564</v>
      </c>
      <c r="AI74" s="44">
        <v>9564</v>
      </c>
      <c r="AJ74" s="44">
        <v>9564</v>
      </c>
      <c r="AK74" s="44">
        <v>9564</v>
      </c>
      <c r="AL74" s="44">
        <v>9564</v>
      </c>
      <c r="AM74" s="44">
        <v>9564</v>
      </c>
      <c r="AN74" s="44">
        <v>9564</v>
      </c>
      <c r="AO74" s="44">
        <v>9564</v>
      </c>
      <c r="AP74" s="44">
        <v>9564</v>
      </c>
      <c r="AQ74" s="44">
        <v>9564</v>
      </c>
      <c r="AR74" s="44">
        <v>2391</v>
      </c>
      <c r="AS74" s="44"/>
      <c r="AT74" s="44"/>
      <c r="AU74" s="45">
        <f t="shared" si="6"/>
        <v>251055</v>
      </c>
      <c r="AV74" s="46">
        <f t="shared" si="7"/>
        <v>0</v>
      </c>
      <c r="AW74" s="47">
        <f t="shared" si="8"/>
        <v>184107</v>
      </c>
      <c r="AX74" s="48">
        <f t="shared" si="9"/>
        <v>251055</v>
      </c>
      <c r="AZ74" s="33" t="b">
        <f t="shared" si="11"/>
        <v>1</v>
      </c>
      <c r="BA74" s="49"/>
    </row>
    <row r="75" spans="2:53" outlineLevel="1" x14ac:dyDescent="0.3">
      <c r="B75" s="50" t="s">
        <v>751</v>
      </c>
      <c r="C75" s="51"/>
      <c r="D75" s="52"/>
      <c r="E75" s="53"/>
      <c r="F75" s="54"/>
      <c r="G75" s="54"/>
      <c r="H75" s="54"/>
      <c r="I75" s="54"/>
      <c r="J75" s="55"/>
      <c r="K75" s="55"/>
      <c r="L75" s="55" t="s">
        <v>211</v>
      </c>
      <c r="M75" s="55"/>
      <c r="N75" s="56">
        <f t="shared" si="10"/>
        <v>4.2809999999999997</v>
      </c>
      <c r="O75" s="56">
        <v>4.2809999999999997</v>
      </c>
      <c r="P75" s="56">
        <f>$P$4</f>
        <v>0</v>
      </c>
      <c r="Q75" s="56" t="s">
        <v>10</v>
      </c>
      <c r="R75" s="59">
        <f>SUM(R74:$AR74)*$N75/100</f>
        <v>10747.664549999998</v>
      </c>
      <c r="S75" s="59">
        <f>SUM(S74:$AR74)*$N75/100</f>
        <v>10338.22971</v>
      </c>
      <c r="T75" s="59">
        <f>SUM(T74:$AR74)*$N75/100</f>
        <v>9928.7948699999997</v>
      </c>
      <c r="U75" s="59">
        <f>SUM(U74:$AR74)*$N75/100</f>
        <v>9519.3600299999998</v>
      </c>
      <c r="V75" s="59">
        <f>SUM(V74:$AR74)*$N75/100</f>
        <v>9109.9251899999999</v>
      </c>
      <c r="W75" s="59">
        <f>SUM(W74:$AR74)*$N75/100</f>
        <v>8700.49035</v>
      </c>
      <c r="X75" s="59">
        <f>SUM(X74:$AR74)*$N75/100</f>
        <v>8291.0555100000001</v>
      </c>
      <c r="Y75" s="59">
        <f>SUM(Y74:$AR74)*$N75/100</f>
        <v>7881.6206699999993</v>
      </c>
      <c r="Z75" s="59">
        <f>SUM(Z74:$AR74)*$N75/100</f>
        <v>7472.1858299999994</v>
      </c>
      <c r="AA75" s="59">
        <f>SUM(AA74:$AR74)*$N75/100</f>
        <v>7062.7509899999995</v>
      </c>
      <c r="AB75" s="59">
        <f>SUM(AB74:$AR74)*$N75/100</f>
        <v>6653.3161499999997</v>
      </c>
      <c r="AC75" s="59">
        <f>SUM(AC74:$AR74)*$N75/100</f>
        <v>6243.8813099999998</v>
      </c>
      <c r="AD75" s="59">
        <f>SUM(AD74:$AR74)*$N75/100</f>
        <v>5834.4464699999999</v>
      </c>
      <c r="AE75" s="59">
        <f>SUM(AE74:$AR74)*$N75/100</f>
        <v>5425.0116299999991</v>
      </c>
      <c r="AF75" s="59">
        <f>SUM(AF74:$AR74)*$N75/100</f>
        <v>5015.5767899999992</v>
      </c>
      <c r="AG75" s="59">
        <f>SUM(AG74:$AR74)*$N75/100</f>
        <v>4606.1419499999993</v>
      </c>
      <c r="AH75" s="59">
        <f>SUM(AH74:$AR74)*$N75/100</f>
        <v>4196.7071099999994</v>
      </c>
      <c r="AI75" s="59">
        <f>SUM(AI74:$AR74)*$N75/100</f>
        <v>3787.2722699999995</v>
      </c>
      <c r="AJ75" s="59">
        <f>SUM(AJ74:$AR74)*$N75/100</f>
        <v>3377.8374299999996</v>
      </c>
      <c r="AK75" s="59">
        <f>SUM(AK74:$AR74)*$N75/100</f>
        <v>2968.4025899999997</v>
      </c>
      <c r="AL75" s="59">
        <f>SUM(AL74:$AR74)*$N75/100</f>
        <v>2558.9677499999998</v>
      </c>
      <c r="AM75" s="59">
        <f>SUM(AM74:$AR74)*$N75/100</f>
        <v>2149.5329099999999</v>
      </c>
      <c r="AN75" s="59">
        <f>SUM(AN74:$AR74)*$N75/100</f>
        <v>1740.09807</v>
      </c>
      <c r="AO75" s="59">
        <f>SUM(AO74:$AR74)*$N75/100</f>
        <v>1330.6632300000001</v>
      </c>
      <c r="AP75" s="59">
        <f>SUM(AP74:$AR74)*$N75/100</f>
        <v>921.22838999999988</v>
      </c>
      <c r="AQ75" s="59">
        <f>SUM(AQ74:$AR74)*$N75/100</f>
        <v>511.79354999999998</v>
      </c>
      <c r="AR75" s="59">
        <f>SUM(AR74:$AR74)*$N75/100</f>
        <v>102.35870999999999</v>
      </c>
      <c r="AS75" s="59"/>
      <c r="AT75" s="59"/>
      <c r="AU75" s="60">
        <f t="shared" si="6"/>
        <v>146475.31401000006</v>
      </c>
      <c r="AV75" s="46">
        <f t="shared" si="7"/>
        <v>0</v>
      </c>
      <c r="AW75" s="61">
        <f t="shared" si="8"/>
        <v>79839.793799999985</v>
      </c>
      <c r="AX75" s="62">
        <f t="shared" si="9"/>
        <v>146475.31400999997</v>
      </c>
      <c r="AZ75" s="33" t="b">
        <f t="shared" si="11"/>
        <v>1</v>
      </c>
    </row>
    <row r="76" spans="2:53" s="33" customFormat="1" outlineLevel="1" x14ac:dyDescent="0.3">
      <c r="B76" s="34" t="s">
        <v>751</v>
      </c>
      <c r="C76" s="35">
        <v>36</v>
      </c>
      <c r="D76" s="36" t="s">
        <v>831</v>
      </c>
      <c r="E76" s="37" t="s">
        <v>85</v>
      </c>
      <c r="F76" s="38" t="s">
        <v>86</v>
      </c>
      <c r="G76" s="38" t="s">
        <v>215</v>
      </c>
      <c r="H76" s="38" t="s">
        <v>216</v>
      </c>
      <c r="I76" s="38" t="s">
        <v>9</v>
      </c>
      <c r="J76" s="39">
        <v>2075409</v>
      </c>
      <c r="K76" s="40">
        <v>1486222</v>
      </c>
      <c r="L76" s="40"/>
      <c r="M76" s="40"/>
      <c r="N76" s="41"/>
      <c r="O76" s="41"/>
      <c r="P76" s="41"/>
      <c r="Q76" s="41" t="s">
        <v>8</v>
      </c>
      <c r="R76" s="44">
        <v>123200</v>
      </c>
      <c r="S76" s="44">
        <v>121648</v>
      </c>
      <c r="T76" s="44">
        <v>117000</v>
      </c>
      <c r="U76" s="44">
        <v>117000</v>
      </c>
      <c r="V76" s="44">
        <v>117000</v>
      </c>
      <c r="W76" s="44">
        <v>117000</v>
      </c>
      <c r="X76" s="44">
        <v>110320</v>
      </c>
      <c r="Y76" s="44">
        <v>91212</v>
      </c>
      <c r="Z76" s="44">
        <v>82616</v>
      </c>
      <c r="AA76" s="44">
        <v>82616</v>
      </c>
      <c r="AB76" s="44">
        <v>82616</v>
      </c>
      <c r="AC76" s="44">
        <v>75860</v>
      </c>
      <c r="AD76" s="44">
        <v>36908</v>
      </c>
      <c r="AE76" s="44">
        <v>7954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/>
      <c r="AT76" s="44"/>
      <c r="AU76" s="45">
        <f t="shared" si="6"/>
        <v>1282950</v>
      </c>
      <c r="AV76" s="46">
        <f t="shared" si="7"/>
        <v>0</v>
      </c>
      <c r="AW76" s="47">
        <f t="shared" si="8"/>
        <v>459782</v>
      </c>
      <c r="AX76" s="48">
        <f t="shared" si="9"/>
        <v>1282950</v>
      </c>
      <c r="AZ76" s="33" t="b">
        <f t="shared" si="11"/>
        <v>1</v>
      </c>
      <c r="BA76" s="49"/>
    </row>
    <row r="77" spans="2:53" outlineLevel="1" x14ac:dyDescent="0.3">
      <c r="B77" s="50" t="s">
        <v>751</v>
      </c>
      <c r="C77" s="51"/>
      <c r="D77" s="52" t="s">
        <v>832</v>
      </c>
      <c r="E77" s="53"/>
      <c r="F77" s="54"/>
      <c r="G77" s="54"/>
      <c r="H77" s="54"/>
      <c r="I77" s="54"/>
      <c r="J77" s="55"/>
      <c r="K77" s="55"/>
      <c r="L77" s="55" t="s">
        <v>214</v>
      </c>
      <c r="M77" s="55"/>
      <c r="N77" s="56">
        <f t="shared" si="10"/>
        <v>4.0229999999999997</v>
      </c>
      <c r="O77" s="56">
        <v>4.0229999999999997</v>
      </c>
      <c r="P77" s="56">
        <f>$P$4</f>
        <v>0</v>
      </c>
      <c r="Q77" s="56" t="s">
        <v>10</v>
      </c>
      <c r="R77" s="59">
        <f>SUM(R76:$AR76)*$N77/100</f>
        <v>51613.078499999996</v>
      </c>
      <c r="S77" s="59">
        <f>SUM(S76:$AR76)*$N77/100</f>
        <v>46656.7425</v>
      </c>
      <c r="T77" s="59">
        <f>SUM(T76:$AR76)*$N77/100</f>
        <v>41762.843459999996</v>
      </c>
      <c r="U77" s="59">
        <f>SUM(U76:$AR76)*$N77/100</f>
        <v>37055.93346</v>
      </c>
      <c r="V77" s="59">
        <f>SUM(V76:$AR76)*$N77/100</f>
        <v>32349.02346</v>
      </c>
      <c r="W77" s="59">
        <f>SUM(W76:$AR76)*$N77/100</f>
        <v>27642.11346</v>
      </c>
      <c r="X77" s="59">
        <f>SUM(X76:$AR76)*$N77/100</f>
        <v>22935.203460000001</v>
      </c>
      <c r="Y77" s="59">
        <f>SUM(Y76:$AR76)*$N77/100</f>
        <v>18497.029859999999</v>
      </c>
      <c r="Z77" s="59">
        <f>SUM(Z76:$AR76)*$N77/100</f>
        <v>14827.571099999999</v>
      </c>
      <c r="AA77" s="59">
        <f>SUM(AA76:$AR76)*$N77/100</f>
        <v>11503.929419999999</v>
      </c>
      <c r="AB77" s="59">
        <f>SUM(AB76:$AR76)*$N77/100</f>
        <v>8180.2877399999998</v>
      </c>
      <c r="AC77" s="59">
        <f>SUM(AC76:$AR76)*$N77/100</f>
        <v>4856.64606</v>
      </c>
      <c r="AD77" s="59">
        <f>SUM(AD76:$AR76)*$N77/100</f>
        <v>1804.7982599999998</v>
      </c>
      <c r="AE77" s="59">
        <f>SUM(AE76:$AR76)*$N77/100</f>
        <v>319.98942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v>0</v>
      </c>
      <c r="AM77" s="59">
        <v>0</v>
      </c>
      <c r="AN77" s="59">
        <v>0</v>
      </c>
      <c r="AO77" s="59">
        <v>0</v>
      </c>
      <c r="AP77" s="59">
        <v>0</v>
      </c>
      <c r="AQ77" s="59">
        <v>0</v>
      </c>
      <c r="AR77" s="59">
        <v>0</v>
      </c>
      <c r="AS77" s="59"/>
      <c r="AT77" s="59"/>
      <c r="AU77" s="60">
        <f t="shared" si="6"/>
        <v>320005.19016</v>
      </c>
      <c r="AV77" s="46">
        <f t="shared" si="7"/>
        <v>0</v>
      </c>
      <c r="AW77" s="61">
        <f t="shared" si="8"/>
        <v>59990.251859999997</v>
      </c>
      <c r="AX77" s="62">
        <f t="shared" si="9"/>
        <v>320005.19016</v>
      </c>
      <c r="AZ77" s="33" t="b">
        <f t="shared" si="11"/>
        <v>1</v>
      </c>
    </row>
    <row r="78" spans="2:53" s="33" customFormat="1" outlineLevel="1" x14ac:dyDescent="0.3">
      <c r="B78" s="34" t="s">
        <v>751</v>
      </c>
      <c r="C78" s="35">
        <v>37</v>
      </c>
      <c r="D78" s="36" t="s">
        <v>741</v>
      </c>
      <c r="E78" s="37" t="s">
        <v>87</v>
      </c>
      <c r="F78" s="38" t="s">
        <v>88</v>
      </c>
      <c r="G78" s="38" t="s">
        <v>219</v>
      </c>
      <c r="H78" s="38" t="s">
        <v>218</v>
      </c>
      <c r="I78" s="38" t="s">
        <v>9</v>
      </c>
      <c r="J78" s="39">
        <v>617703</v>
      </c>
      <c r="K78" s="40">
        <v>586320</v>
      </c>
      <c r="L78" s="40"/>
      <c r="M78" s="40"/>
      <c r="N78" s="41"/>
      <c r="O78" s="41"/>
      <c r="P78" s="41"/>
      <c r="Q78" s="41" t="s">
        <v>8</v>
      </c>
      <c r="R78" s="44">
        <v>20940</v>
      </c>
      <c r="S78" s="44">
        <v>20940</v>
      </c>
      <c r="T78" s="44">
        <v>20940</v>
      </c>
      <c r="U78" s="44">
        <v>20940</v>
      </c>
      <c r="V78" s="44">
        <v>20940</v>
      </c>
      <c r="W78" s="44">
        <v>20940</v>
      </c>
      <c r="X78" s="44">
        <v>20940</v>
      </c>
      <c r="Y78" s="44">
        <v>20940</v>
      </c>
      <c r="Z78" s="44">
        <v>20940</v>
      </c>
      <c r="AA78" s="44">
        <v>20940</v>
      </c>
      <c r="AB78" s="44">
        <v>20940</v>
      </c>
      <c r="AC78" s="44">
        <v>20940</v>
      </c>
      <c r="AD78" s="44">
        <v>20940</v>
      </c>
      <c r="AE78" s="44">
        <v>20940</v>
      </c>
      <c r="AF78" s="44">
        <v>20940</v>
      </c>
      <c r="AG78" s="44">
        <v>20940</v>
      </c>
      <c r="AH78" s="44">
        <v>20940</v>
      </c>
      <c r="AI78" s="44">
        <v>20940</v>
      </c>
      <c r="AJ78" s="44">
        <v>20940</v>
      </c>
      <c r="AK78" s="44">
        <v>20940</v>
      </c>
      <c r="AL78" s="44">
        <v>20940</v>
      </c>
      <c r="AM78" s="44">
        <v>20940</v>
      </c>
      <c r="AN78" s="44">
        <v>20940</v>
      </c>
      <c r="AO78" s="44">
        <v>20940</v>
      </c>
      <c r="AP78" s="44">
        <v>20940</v>
      </c>
      <c r="AQ78" s="44">
        <v>20940</v>
      </c>
      <c r="AR78" s="44">
        <v>10470</v>
      </c>
      <c r="AS78" s="44"/>
      <c r="AT78" s="44"/>
      <c r="AU78" s="45">
        <f t="shared" si="6"/>
        <v>554910</v>
      </c>
      <c r="AV78" s="46">
        <f t="shared" si="7"/>
        <v>0</v>
      </c>
      <c r="AW78" s="47">
        <f t="shared" si="8"/>
        <v>408330</v>
      </c>
      <c r="AX78" s="48">
        <f t="shared" si="9"/>
        <v>554910</v>
      </c>
      <c r="AZ78" s="33" t="b">
        <f t="shared" si="11"/>
        <v>1</v>
      </c>
      <c r="BA78" s="49"/>
    </row>
    <row r="79" spans="2:53" outlineLevel="1" x14ac:dyDescent="0.3">
      <c r="B79" s="50" t="s">
        <v>751</v>
      </c>
      <c r="C79" s="51"/>
      <c r="D79" s="52"/>
      <c r="E79" s="53"/>
      <c r="F79" s="54"/>
      <c r="G79" s="54"/>
      <c r="H79" s="54"/>
      <c r="I79" s="54"/>
      <c r="J79" s="55"/>
      <c r="K79" s="55"/>
      <c r="L79" s="55" t="s">
        <v>217</v>
      </c>
      <c r="M79" s="55"/>
      <c r="N79" s="56">
        <f t="shared" si="10"/>
        <v>4.351</v>
      </c>
      <c r="O79" s="56">
        <v>4.351</v>
      </c>
      <c r="P79" s="56">
        <f>$P$4</f>
        <v>0</v>
      </c>
      <c r="Q79" s="56" t="s">
        <v>10</v>
      </c>
      <c r="R79" s="59">
        <f>SUM(R78:$AR78)*$N79/100</f>
        <v>24144.134100000003</v>
      </c>
      <c r="S79" s="59">
        <f>SUM(S78:$AR78)*$N79/100</f>
        <v>23233.034700000004</v>
      </c>
      <c r="T79" s="59">
        <f>SUM(T78:$AR78)*$N79/100</f>
        <v>22321.935299999997</v>
      </c>
      <c r="U79" s="59">
        <f>SUM(U78:$AR78)*$N79/100</f>
        <v>21410.835899999998</v>
      </c>
      <c r="V79" s="59">
        <f>SUM(V78:$AR78)*$N79/100</f>
        <v>20499.736499999999</v>
      </c>
      <c r="W79" s="59">
        <f>SUM(W78:$AR78)*$N79/100</f>
        <v>19588.6371</v>
      </c>
      <c r="X79" s="59">
        <f>SUM(X78:$AR78)*$N79/100</f>
        <v>18677.537700000001</v>
      </c>
      <c r="Y79" s="59">
        <f>SUM(Y78:$AR78)*$N79/100</f>
        <v>17766.438300000002</v>
      </c>
      <c r="Z79" s="59">
        <f>SUM(Z78:$AR78)*$N79/100</f>
        <v>16855.338899999999</v>
      </c>
      <c r="AA79" s="59">
        <f>SUM(AA78:$AR78)*$N79/100</f>
        <v>15944.2395</v>
      </c>
      <c r="AB79" s="59">
        <f>SUM(AB78:$AR78)*$N79/100</f>
        <v>15033.140100000001</v>
      </c>
      <c r="AC79" s="59">
        <f>SUM(AC78:$AR78)*$N79/100</f>
        <v>14122.040700000001</v>
      </c>
      <c r="AD79" s="59">
        <f>SUM(AD78:$AR78)*$N79/100</f>
        <v>13210.941299999999</v>
      </c>
      <c r="AE79" s="59">
        <f>SUM(AE78:$AR78)*$N79/100</f>
        <v>12299.841899999999</v>
      </c>
      <c r="AF79" s="59">
        <f>SUM(AF78:$AR78)*$N79/100</f>
        <v>11388.7425</v>
      </c>
      <c r="AG79" s="59">
        <f>SUM(AG78:$AR78)*$N79/100</f>
        <v>10477.643099999999</v>
      </c>
      <c r="AH79" s="59">
        <f>SUM(AH78:$AR78)*$N79/100</f>
        <v>9566.5437000000002</v>
      </c>
      <c r="AI79" s="59">
        <f>SUM(AI78:$AR78)*$N79/100</f>
        <v>8655.444300000001</v>
      </c>
      <c r="AJ79" s="59">
        <f>SUM(AJ78:$AR78)*$N79/100</f>
        <v>7744.3449000000001</v>
      </c>
      <c r="AK79" s="59">
        <f>SUM(AK78:$AR78)*$N79/100</f>
        <v>6833.2455000000009</v>
      </c>
      <c r="AL79" s="59">
        <f>SUM(AL78:$AR78)*$N79/100</f>
        <v>5922.1460999999999</v>
      </c>
      <c r="AM79" s="59">
        <f>SUM(AM78:$AR78)*$N79/100</f>
        <v>5011.0466999999999</v>
      </c>
      <c r="AN79" s="59">
        <f>SUM(AN78:$AR78)*$N79/100</f>
        <v>4099.9472999999998</v>
      </c>
      <c r="AO79" s="59">
        <f>SUM(AO78:$AR78)*$N79/100</f>
        <v>3188.8478999999998</v>
      </c>
      <c r="AP79" s="59">
        <f>SUM(AP78:$AR78)*$N79/100</f>
        <v>2277.7485000000001</v>
      </c>
      <c r="AQ79" s="59">
        <f>SUM(AQ78:$AR78)*$N79/100</f>
        <v>1366.6491000000001</v>
      </c>
      <c r="AR79" s="59">
        <f>SUM(AR78:$AR78)*$N79/100</f>
        <v>455.54970000000003</v>
      </c>
      <c r="AS79" s="59"/>
      <c r="AT79" s="59"/>
      <c r="AU79" s="60">
        <f t="shared" si="6"/>
        <v>332095.73129999993</v>
      </c>
      <c r="AV79" s="46">
        <f t="shared" si="7"/>
        <v>0</v>
      </c>
      <c r="AW79" s="61">
        <f t="shared" si="8"/>
        <v>182219.87999999998</v>
      </c>
      <c r="AX79" s="62">
        <f t="shared" si="9"/>
        <v>332095.73129999998</v>
      </c>
      <c r="AZ79" s="33" t="b">
        <f t="shared" si="11"/>
        <v>1</v>
      </c>
    </row>
    <row r="80" spans="2:53" s="33" customFormat="1" outlineLevel="1" x14ac:dyDescent="0.3">
      <c r="B80" s="34" t="s">
        <v>751</v>
      </c>
      <c r="C80" s="35">
        <v>38</v>
      </c>
      <c r="D80" s="36" t="s">
        <v>742</v>
      </c>
      <c r="E80" s="37" t="s">
        <v>89</v>
      </c>
      <c r="F80" s="38" t="s">
        <v>90</v>
      </c>
      <c r="G80" s="38" t="s">
        <v>222</v>
      </c>
      <c r="H80" s="38" t="s">
        <v>221</v>
      </c>
      <c r="I80" s="38" t="s">
        <v>9</v>
      </c>
      <c r="J80" s="39">
        <v>131926.07</v>
      </c>
      <c r="K80" s="40">
        <v>121795.07</v>
      </c>
      <c r="L80" s="40"/>
      <c r="M80" s="40"/>
      <c r="N80" s="41"/>
      <c r="O80" s="41"/>
      <c r="P80" s="41"/>
      <c r="Q80" s="41" t="s">
        <v>8</v>
      </c>
      <c r="R80" s="44">
        <v>6772</v>
      </c>
      <c r="S80" s="44">
        <v>6772</v>
      </c>
      <c r="T80" s="44">
        <v>6772</v>
      </c>
      <c r="U80" s="44">
        <v>6772</v>
      </c>
      <c r="V80" s="44">
        <v>6772</v>
      </c>
      <c r="W80" s="44">
        <v>6772</v>
      </c>
      <c r="X80" s="44">
        <v>6772</v>
      </c>
      <c r="Y80" s="44">
        <v>6772</v>
      </c>
      <c r="Z80" s="44">
        <v>6772</v>
      </c>
      <c r="AA80" s="44">
        <v>6772</v>
      </c>
      <c r="AB80" s="44">
        <v>6772</v>
      </c>
      <c r="AC80" s="44">
        <v>6772</v>
      </c>
      <c r="AD80" s="44">
        <v>6772</v>
      </c>
      <c r="AE80" s="44">
        <v>6772</v>
      </c>
      <c r="AF80" s="44">
        <v>6772</v>
      </c>
      <c r="AG80" s="44">
        <v>6772</v>
      </c>
      <c r="AH80" s="44">
        <v>3285.0699999999997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/>
      <c r="AT80" s="44"/>
      <c r="AU80" s="45">
        <f t="shared" si="6"/>
        <v>111637.07</v>
      </c>
      <c r="AV80" s="46">
        <f t="shared" si="7"/>
        <v>0</v>
      </c>
      <c r="AW80" s="47">
        <f t="shared" si="8"/>
        <v>64233.07</v>
      </c>
      <c r="AX80" s="48">
        <f t="shared" si="9"/>
        <v>111637.07</v>
      </c>
      <c r="AZ80" s="33" t="b">
        <f t="shared" si="11"/>
        <v>1</v>
      </c>
      <c r="BA80" s="49"/>
    </row>
    <row r="81" spans="2:53" outlineLevel="1" x14ac:dyDescent="0.3">
      <c r="B81" s="50" t="s">
        <v>751</v>
      </c>
      <c r="C81" s="51"/>
      <c r="D81" s="52"/>
      <c r="E81" s="53"/>
      <c r="F81" s="54"/>
      <c r="G81" s="54"/>
      <c r="H81" s="54"/>
      <c r="I81" s="54"/>
      <c r="J81" s="55"/>
      <c r="K81" s="55"/>
      <c r="L81" s="55" t="s">
        <v>220</v>
      </c>
      <c r="M81" s="55"/>
      <c r="N81" s="56">
        <f t="shared" si="10"/>
        <v>4.1840000000000002</v>
      </c>
      <c r="O81" s="56">
        <v>4.1840000000000002</v>
      </c>
      <c r="P81" s="56">
        <f>$P$4</f>
        <v>0</v>
      </c>
      <c r="Q81" s="56" t="s">
        <v>10</v>
      </c>
      <c r="R81" s="59">
        <f>SUM(R80:$AR80)*$N81/100</f>
        <v>4670.8950088000011</v>
      </c>
      <c r="S81" s="59">
        <f>SUM(S80:$AR80)*$N81/100</f>
        <v>4387.5545288000003</v>
      </c>
      <c r="T81" s="59">
        <f>SUM(T80:$AR80)*$N81/100</f>
        <v>4104.2140488000005</v>
      </c>
      <c r="U81" s="59">
        <f>SUM(U80:$AR80)*$N81/100</f>
        <v>3820.8735688000002</v>
      </c>
      <c r="V81" s="59">
        <f>SUM(V80:$AR80)*$N81/100</f>
        <v>3537.5330888000003</v>
      </c>
      <c r="W81" s="59">
        <f>SUM(W80:$AR80)*$N81/100</f>
        <v>3254.1926088</v>
      </c>
      <c r="X81" s="59">
        <f>SUM(X80:$AR80)*$N81/100</f>
        <v>2970.8521288000006</v>
      </c>
      <c r="Y81" s="59">
        <f>SUM(Y80:$AR80)*$N81/100</f>
        <v>2687.5116487999999</v>
      </c>
      <c r="Z81" s="59">
        <f>SUM(Z80:$AR80)*$N81/100</f>
        <v>2404.1711688</v>
      </c>
      <c r="AA81" s="59">
        <f>SUM(AA80:$AR80)*$N81/100</f>
        <v>2120.8306888000002</v>
      </c>
      <c r="AB81" s="59">
        <f>SUM(AB80:$AR80)*$N81/100</f>
        <v>1837.4902087999999</v>
      </c>
      <c r="AC81" s="59">
        <f>SUM(AC80:$AR80)*$N81/100</f>
        <v>1554.1497288</v>
      </c>
      <c r="AD81" s="59">
        <f>SUM(AD80:$AR80)*$N81/100</f>
        <v>1270.8092488</v>
      </c>
      <c r="AE81" s="59">
        <f>SUM(AE80:$AR80)*$N81/100</f>
        <v>987.46876879999991</v>
      </c>
      <c r="AF81" s="59">
        <f>SUM(AF80:$AR80)*$N81/100</f>
        <v>704.12828880000006</v>
      </c>
      <c r="AG81" s="59">
        <f>SUM(AG80:$AR80)*$N81/100</f>
        <v>420.78780879999999</v>
      </c>
      <c r="AH81" s="59">
        <f>SUM(AH80:$AR80)*$N81/100</f>
        <v>137.44732880000001</v>
      </c>
      <c r="AI81" s="59">
        <v>0</v>
      </c>
      <c r="AJ81" s="59">
        <v>0</v>
      </c>
      <c r="AK81" s="59">
        <v>0</v>
      </c>
      <c r="AL81" s="59">
        <v>0</v>
      </c>
      <c r="AM81" s="59">
        <v>0</v>
      </c>
      <c r="AN81" s="59">
        <v>0</v>
      </c>
      <c r="AO81" s="59">
        <v>0</v>
      </c>
      <c r="AP81" s="59">
        <v>0</v>
      </c>
      <c r="AQ81" s="59">
        <v>0</v>
      </c>
      <c r="AR81" s="59">
        <v>0</v>
      </c>
      <c r="AS81" s="59"/>
      <c r="AT81" s="59"/>
      <c r="AU81" s="60">
        <f t="shared" si="6"/>
        <v>40870.9098696</v>
      </c>
      <c r="AV81" s="46">
        <f t="shared" si="7"/>
        <v>0</v>
      </c>
      <c r="AW81" s="61">
        <f t="shared" si="8"/>
        <v>14124.794888</v>
      </c>
      <c r="AX81" s="62">
        <f t="shared" si="9"/>
        <v>40870.9098696</v>
      </c>
      <c r="AZ81" s="33" t="b">
        <f t="shared" si="11"/>
        <v>1</v>
      </c>
    </row>
    <row r="82" spans="2:53" s="33" customFormat="1" outlineLevel="1" x14ac:dyDescent="0.3">
      <c r="B82" s="34" t="s">
        <v>751</v>
      </c>
      <c r="C82" s="35">
        <v>39</v>
      </c>
      <c r="D82" s="36" t="s">
        <v>833</v>
      </c>
      <c r="E82" s="37" t="s">
        <v>91</v>
      </c>
      <c r="F82" s="38" t="s">
        <v>92</v>
      </c>
      <c r="G82" s="38" t="s">
        <v>222</v>
      </c>
      <c r="H82" s="38" t="s">
        <v>221</v>
      </c>
      <c r="I82" s="38" t="s">
        <v>9</v>
      </c>
      <c r="J82" s="39">
        <v>145332</v>
      </c>
      <c r="K82" s="40">
        <v>134208</v>
      </c>
      <c r="L82" s="40"/>
      <c r="M82" s="40"/>
      <c r="N82" s="41"/>
      <c r="O82" s="41"/>
      <c r="P82" s="41"/>
      <c r="Q82" s="41" t="s">
        <v>8</v>
      </c>
      <c r="R82" s="44">
        <v>7456</v>
      </c>
      <c r="S82" s="44">
        <v>7456</v>
      </c>
      <c r="T82" s="44">
        <v>7456</v>
      </c>
      <c r="U82" s="44">
        <v>7456</v>
      </c>
      <c r="V82" s="44">
        <v>7456</v>
      </c>
      <c r="W82" s="44">
        <v>7456</v>
      </c>
      <c r="X82" s="44">
        <v>7456</v>
      </c>
      <c r="Y82" s="44">
        <v>7456</v>
      </c>
      <c r="Z82" s="44">
        <v>7456</v>
      </c>
      <c r="AA82" s="44">
        <v>7456</v>
      </c>
      <c r="AB82" s="44">
        <v>7456</v>
      </c>
      <c r="AC82" s="44">
        <v>7456</v>
      </c>
      <c r="AD82" s="44">
        <v>7456</v>
      </c>
      <c r="AE82" s="44">
        <v>7456</v>
      </c>
      <c r="AF82" s="44">
        <v>7456</v>
      </c>
      <c r="AG82" s="44">
        <v>7456</v>
      </c>
      <c r="AH82" s="44">
        <v>3728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/>
      <c r="AT82" s="44"/>
      <c r="AU82" s="45">
        <f t="shared" si="6"/>
        <v>123024</v>
      </c>
      <c r="AV82" s="46">
        <f t="shared" si="7"/>
        <v>0</v>
      </c>
      <c r="AW82" s="47">
        <f t="shared" si="8"/>
        <v>70832</v>
      </c>
      <c r="AX82" s="48">
        <f t="shared" si="9"/>
        <v>123024</v>
      </c>
      <c r="AZ82" s="33" t="b">
        <f t="shared" si="11"/>
        <v>1</v>
      </c>
      <c r="BA82" s="49"/>
    </row>
    <row r="83" spans="2:53" outlineLevel="1" x14ac:dyDescent="0.3">
      <c r="B83" s="50" t="s">
        <v>751</v>
      </c>
      <c r="C83" s="51"/>
      <c r="D83" s="52" t="s">
        <v>834</v>
      </c>
      <c r="E83" s="53"/>
      <c r="F83" s="54"/>
      <c r="G83" s="54"/>
      <c r="H83" s="54"/>
      <c r="I83" s="54"/>
      <c r="J83" s="55"/>
      <c r="K83" s="55"/>
      <c r="L83" s="55" t="s">
        <v>220</v>
      </c>
      <c r="M83" s="55"/>
      <c r="N83" s="56">
        <f t="shared" si="10"/>
        <v>4.1840000000000002</v>
      </c>
      <c r="O83" s="56">
        <v>4.1840000000000002</v>
      </c>
      <c r="P83" s="56">
        <f>$P$4</f>
        <v>0</v>
      </c>
      <c r="Q83" s="56" t="s">
        <v>10</v>
      </c>
      <c r="R83" s="59">
        <f>SUM(R82:$AR82)*$N83/100</f>
        <v>5147.3241600000001</v>
      </c>
      <c r="S83" s="59">
        <f>SUM(S82:$AR82)*$N83/100</f>
        <v>4835.3651200000004</v>
      </c>
      <c r="T83" s="59">
        <f>SUM(T82:$AR82)*$N83/100</f>
        <v>4523.4060799999997</v>
      </c>
      <c r="U83" s="59">
        <f>SUM(U82:$AR82)*$N83/100</f>
        <v>4211.44704</v>
      </c>
      <c r="V83" s="59">
        <f>SUM(V82:$AR82)*$N83/100</f>
        <v>3899.4879999999998</v>
      </c>
      <c r="W83" s="59">
        <f>SUM(W82:$AR82)*$N83/100</f>
        <v>3587.5289600000001</v>
      </c>
      <c r="X83" s="59">
        <f>SUM(X82:$AR82)*$N83/100</f>
        <v>3275.5699200000004</v>
      </c>
      <c r="Y83" s="59">
        <f>SUM(Y82:$AR82)*$N83/100</f>
        <v>2963.6108799999997</v>
      </c>
      <c r="Z83" s="59">
        <f>SUM(Z82:$AR82)*$N83/100</f>
        <v>2651.65184</v>
      </c>
      <c r="AA83" s="59">
        <f>SUM(AA82:$AR82)*$N83/100</f>
        <v>2339.6927999999998</v>
      </c>
      <c r="AB83" s="59">
        <f>SUM(AB82:$AR82)*$N83/100</f>
        <v>2027.7337600000001</v>
      </c>
      <c r="AC83" s="59">
        <f>SUM(AC82:$AR82)*$N83/100</f>
        <v>1715.7747200000001</v>
      </c>
      <c r="AD83" s="59">
        <f>SUM(AD82:$AR82)*$N83/100</f>
        <v>1403.8156799999999</v>
      </c>
      <c r="AE83" s="59">
        <f>SUM(AE82:$AR82)*$N83/100</f>
        <v>1091.85664</v>
      </c>
      <c r="AF83" s="59">
        <f>SUM(AF82:$AR82)*$N83/100</f>
        <v>779.89760000000012</v>
      </c>
      <c r="AG83" s="59">
        <f>SUM(AG82:$AR82)*$N83/100</f>
        <v>467.93856</v>
      </c>
      <c r="AH83" s="59">
        <f>SUM(AH82:$AR82)*$N83/100</f>
        <v>155.97952000000001</v>
      </c>
      <c r="AI83" s="59">
        <v>0</v>
      </c>
      <c r="AJ83" s="59">
        <v>0</v>
      </c>
      <c r="AK83" s="59">
        <v>0</v>
      </c>
      <c r="AL83" s="59">
        <v>0</v>
      </c>
      <c r="AM83" s="59">
        <v>0</v>
      </c>
      <c r="AN83" s="59">
        <v>0</v>
      </c>
      <c r="AO83" s="59">
        <v>0</v>
      </c>
      <c r="AP83" s="59">
        <v>0</v>
      </c>
      <c r="AQ83" s="59">
        <v>0</v>
      </c>
      <c r="AR83" s="59">
        <v>0</v>
      </c>
      <c r="AS83" s="59"/>
      <c r="AT83" s="59"/>
      <c r="AU83" s="60">
        <f t="shared" si="6"/>
        <v>45078.081279999999</v>
      </c>
      <c r="AV83" s="46">
        <f t="shared" si="7"/>
        <v>0</v>
      </c>
      <c r="AW83" s="61">
        <f t="shared" si="8"/>
        <v>15597.951999999999</v>
      </c>
      <c r="AX83" s="62">
        <f t="shared" si="9"/>
        <v>45078.081279999999</v>
      </c>
      <c r="AZ83" s="33" t="b">
        <f t="shared" si="11"/>
        <v>1</v>
      </c>
    </row>
    <row r="84" spans="2:53" s="33" customFormat="1" outlineLevel="1" x14ac:dyDescent="0.3">
      <c r="B84" s="34" t="s">
        <v>750</v>
      </c>
      <c r="C84" s="35">
        <v>40</v>
      </c>
      <c r="D84" s="36" t="s">
        <v>734</v>
      </c>
      <c r="E84" s="37" t="s">
        <v>93</v>
      </c>
      <c r="F84" s="38" t="s">
        <v>94</v>
      </c>
      <c r="G84" s="38" t="s">
        <v>224</v>
      </c>
      <c r="H84" s="38" t="s">
        <v>223</v>
      </c>
      <c r="I84" s="38" t="s">
        <v>9</v>
      </c>
      <c r="J84" s="39">
        <v>141294</v>
      </c>
      <c r="K84" s="40">
        <v>96681</v>
      </c>
      <c r="L84" s="40"/>
      <c r="M84" s="40"/>
      <c r="N84" s="41"/>
      <c r="O84" s="41"/>
      <c r="P84" s="41"/>
      <c r="Q84" s="41" t="s">
        <v>8</v>
      </c>
      <c r="R84" s="44">
        <v>29748</v>
      </c>
      <c r="S84" s="44">
        <v>22311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/>
      <c r="AT84" s="44"/>
      <c r="AU84" s="45">
        <f t="shared" si="6"/>
        <v>52059</v>
      </c>
      <c r="AV84" s="46">
        <f t="shared" si="7"/>
        <v>0</v>
      </c>
      <c r="AW84" s="47">
        <f t="shared" si="8"/>
        <v>0</v>
      </c>
      <c r="AX84" s="48">
        <f t="shared" si="9"/>
        <v>52059</v>
      </c>
      <c r="AZ84" s="33" t="b">
        <f t="shared" si="11"/>
        <v>1</v>
      </c>
      <c r="BA84" s="49"/>
    </row>
    <row r="85" spans="2:53" outlineLevel="1" x14ac:dyDescent="0.3">
      <c r="B85" s="50" t="s">
        <v>750</v>
      </c>
      <c r="C85" s="51"/>
      <c r="D85" s="52"/>
      <c r="E85" s="53"/>
      <c r="F85" s="54"/>
      <c r="G85" s="54"/>
      <c r="H85" s="54"/>
      <c r="I85" s="54"/>
      <c r="J85" s="55"/>
      <c r="K85" s="55"/>
      <c r="L85" s="55">
        <v>0</v>
      </c>
      <c r="M85" s="55" t="s">
        <v>748</v>
      </c>
      <c r="N85" s="56">
        <f t="shared" si="10"/>
        <v>0.25</v>
      </c>
      <c r="O85" s="56">
        <v>0.25</v>
      </c>
      <c r="P85" s="56">
        <f>$P$4</f>
        <v>0</v>
      </c>
      <c r="Q85" s="56" t="s">
        <v>10</v>
      </c>
      <c r="R85" s="59">
        <f>SUM(R84:$AR84)*$N85/100</f>
        <v>130.14750000000001</v>
      </c>
      <c r="S85" s="59">
        <f>SUM(S84:$AR84)*$N85/100</f>
        <v>55.777500000000003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0</v>
      </c>
      <c r="AE85" s="59">
        <v>0</v>
      </c>
      <c r="AF85" s="59">
        <v>0</v>
      </c>
      <c r="AG85" s="59">
        <v>0</v>
      </c>
      <c r="AH85" s="59">
        <v>0</v>
      </c>
      <c r="AI85" s="59">
        <v>0</v>
      </c>
      <c r="AJ85" s="59">
        <v>0</v>
      </c>
      <c r="AK85" s="59">
        <v>0</v>
      </c>
      <c r="AL85" s="59">
        <v>0</v>
      </c>
      <c r="AM85" s="59">
        <v>0</v>
      </c>
      <c r="AN85" s="59">
        <v>0</v>
      </c>
      <c r="AO85" s="59">
        <v>0</v>
      </c>
      <c r="AP85" s="59">
        <v>0</v>
      </c>
      <c r="AQ85" s="59">
        <v>0</v>
      </c>
      <c r="AR85" s="59">
        <v>0</v>
      </c>
      <c r="AS85" s="59"/>
      <c r="AT85" s="59"/>
      <c r="AU85" s="60">
        <f t="shared" si="6"/>
        <v>185.92500000000001</v>
      </c>
      <c r="AV85" s="46">
        <f t="shared" si="7"/>
        <v>0</v>
      </c>
      <c r="AW85" s="61">
        <f t="shared" si="8"/>
        <v>0</v>
      </c>
      <c r="AX85" s="62">
        <f t="shared" si="9"/>
        <v>185.92500000000001</v>
      </c>
      <c r="AZ85" s="33" t="b">
        <f t="shared" si="11"/>
        <v>1</v>
      </c>
    </row>
    <row r="86" spans="2:53" s="33" customFormat="1" outlineLevel="1" x14ac:dyDescent="0.3">
      <c r="B86" s="34" t="s">
        <v>750</v>
      </c>
      <c r="C86" s="35">
        <v>41</v>
      </c>
      <c r="D86" s="36" t="s">
        <v>835</v>
      </c>
      <c r="E86" s="37" t="s">
        <v>95</v>
      </c>
      <c r="F86" s="38" t="s">
        <v>96</v>
      </c>
      <c r="G86" s="38" t="s">
        <v>227</v>
      </c>
      <c r="H86" s="38" t="s">
        <v>228</v>
      </c>
      <c r="I86" s="38" t="s">
        <v>9</v>
      </c>
      <c r="J86" s="39">
        <v>186392</v>
      </c>
      <c r="K86" s="40">
        <v>164720</v>
      </c>
      <c r="L86" s="40"/>
      <c r="M86" s="40"/>
      <c r="N86" s="41"/>
      <c r="O86" s="41"/>
      <c r="P86" s="41"/>
      <c r="Q86" s="41" t="s">
        <v>8</v>
      </c>
      <c r="R86" s="44">
        <v>15080</v>
      </c>
      <c r="S86" s="44">
        <v>8240</v>
      </c>
      <c r="T86" s="44">
        <v>8240</v>
      </c>
      <c r="U86" s="44">
        <v>8240</v>
      </c>
      <c r="V86" s="44">
        <v>8240</v>
      </c>
      <c r="W86" s="44">
        <v>8240</v>
      </c>
      <c r="X86" s="44">
        <v>8240</v>
      </c>
      <c r="Y86" s="44">
        <v>8240</v>
      </c>
      <c r="Z86" s="44">
        <v>8240</v>
      </c>
      <c r="AA86" s="44">
        <v>8240</v>
      </c>
      <c r="AB86" s="44">
        <v>8240</v>
      </c>
      <c r="AC86" s="44">
        <v>8240</v>
      </c>
      <c r="AD86" s="44">
        <v>8240</v>
      </c>
      <c r="AE86" s="44">
        <v>8240</v>
      </c>
      <c r="AF86" s="44">
        <v>8240</v>
      </c>
      <c r="AG86" s="44">
        <v>8240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/>
      <c r="AT86" s="44"/>
      <c r="AU86" s="45">
        <f t="shared" si="6"/>
        <v>138680</v>
      </c>
      <c r="AV86" s="46">
        <f t="shared" si="7"/>
        <v>0</v>
      </c>
      <c r="AW86" s="47">
        <f t="shared" si="8"/>
        <v>74160</v>
      </c>
      <c r="AX86" s="48">
        <f t="shared" si="9"/>
        <v>138680</v>
      </c>
      <c r="AZ86" s="33" t="b">
        <f t="shared" si="11"/>
        <v>1</v>
      </c>
      <c r="BA86" s="49"/>
    </row>
    <row r="87" spans="2:53" outlineLevel="1" x14ac:dyDescent="0.3">
      <c r="B87" s="50" t="s">
        <v>750</v>
      </c>
      <c r="C87" s="51"/>
      <c r="D87" s="52" t="s">
        <v>836</v>
      </c>
      <c r="E87" s="53"/>
      <c r="F87" s="54"/>
      <c r="G87" s="54"/>
      <c r="H87" s="54"/>
      <c r="I87" s="54"/>
      <c r="J87" s="55"/>
      <c r="K87" s="55"/>
      <c r="L87" s="55" t="s">
        <v>225</v>
      </c>
      <c r="M87" s="55"/>
      <c r="N87" s="56">
        <f t="shared" si="10"/>
        <v>4.5060000000000002</v>
      </c>
      <c r="O87" s="64">
        <v>4.5060000000000002</v>
      </c>
      <c r="P87" s="56">
        <f>$P$4</f>
        <v>0</v>
      </c>
      <c r="Q87" s="56" t="s">
        <v>10</v>
      </c>
      <c r="R87" s="59">
        <f>SUM(R86:$AR86)*$N87/100</f>
        <v>6248.9208000000008</v>
      </c>
      <c r="S87" s="59">
        <f>SUM(S86:$AR86)*$N87/100</f>
        <v>5569.4160000000002</v>
      </c>
      <c r="T87" s="59">
        <f>SUM(T86:$AR86)*$N87/100</f>
        <v>5198.1216000000004</v>
      </c>
      <c r="U87" s="59">
        <f>SUM(U86:$AR86)*$N87/100</f>
        <v>4826.8272000000006</v>
      </c>
      <c r="V87" s="59">
        <f>SUM(V86:$AR86)*$N87/100</f>
        <v>4455.5328</v>
      </c>
      <c r="W87" s="59">
        <f>SUM(W86:$AR86)*$N87/100</f>
        <v>4084.2384000000002</v>
      </c>
      <c r="X87" s="59">
        <f>SUM(X86:$AR86)*$N87/100</f>
        <v>3712.9440000000004</v>
      </c>
      <c r="Y87" s="59">
        <f>SUM(Y86:$AR86)*$N87/100</f>
        <v>3341.6496000000002</v>
      </c>
      <c r="Z87" s="59">
        <f>SUM(Z86:$AR86)*$N87/100</f>
        <v>2970.3552</v>
      </c>
      <c r="AA87" s="59">
        <f>SUM(AA86:$AR86)*$N87/100</f>
        <v>2599.0608000000002</v>
      </c>
      <c r="AB87" s="59">
        <f>SUM(AB86:$AR86)*$N87/100</f>
        <v>2227.7664</v>
      </c>
      <c r="AC87" s="59">
        <f>SUM(AC86:$AR86)*$N87/100</f>
        <v>1856.4720000000002</v>
      </c>
      <c r="AD87" s="59">
        <f>SUM(AD86:$AR86)*$N87/100</f>
        <v>1485.1776</v>
      </c>
      <c r="AE87" s="59">
        <f>SUM(AE86:$AR86)*$N87/100</f>
        <v>1113.8832</v>
      </c>
      <c r="AF87" s="59">
        <f>SUM(AF86:$AR86)*$N87/100</f>
        <v>742.58879999999999</v>
      </c>
      <c r="AG87" s="59">
        <f>SUM(AG86:$AR86)*$N87/100</f>
        <v>371.2944</v>
      </c>
      <c r="AH87" s="59">
        <v>0</v>
      </c>
      <c r="AI87" s="59">
        <v>0</v>
      </c>
      <c r="AJ87" s="59">
        <v>0</v>
      </c>
      <c r="AK87" s="59">
        <v>0</v>
      </c>
      <c r="AL87" s="59">
        <v>0</v>
      </c>
      <c r="AM87" s="59">
        <v>0</v>
      </c>
      <c r="AN87" s="59">
        <v>0</v>
      </c>
      <c r="AO87" s="59">
        <v>0</v>
      </c>
      <c r="AP87" s="59">
        <v>0</v>
      </c>
      <c r="AQ87" s="59">
        <v>0</v>
      </c>
      <c r="AR87" s="59">
        <v>0</v>
      </c>
      <c r="AS87" s="59"/>
      <c r="AT87" s="59"/>
      <c r="AU87" s="60">
        <f t="shared" si="6"/>
        <v>50804.248800000001</v>
      </c>
      <c r="AV87" s="46">
        <f t="shared" si="7"/>
        <v>0</v>
      </c>
      <c r="AW87" s="61">
        <f t="shared" si="8"/>
        <v>16708.248000000003</v>
      </c>
      <c r="AX87" s="62">
        <f t="shared" si="9"/>
        <v>50804.248800000016</v>
      </c>
      <c r="AZ87" s="33" t="b">
        <f t="shared" si="11"/>
        <v>1</v>
      </c>
    </row>
    <row r="88" spans="2:53" s="33" customFormat="1" outlineLevel="1" x14ac:dyDescent="0.3">
      <c r="B88" s="34" t="s">
        <v>750</v>
      </c>
      <c r="C88" s="35">
        <v>42</v>
      </c>
      <c r="D88" s="36" t="s">
        <v>735</v>
      </c>
      <c r="E88" s="37" t="s">
        <v>97</v>
      </c>
      <c r="F88" s="38" t="s">
        <v>98</v>
      </c>
      <c r="G88" s="38" t="s">
        <v>227</v>
      </c>
      <c r="H88" s="38" t="s">
        <v>226</v>
      </c>
      <c r="I88" s="38" t="s">
        <v>9</v>
      </c>
      <c r="J88" s="39">
        <v>697002</v>
      </c>
      <c r="K88" s="40">
        <v>623662</v>
      </c>
      <c r="L88" s="40"/>
      <c r="M88" s="40"/>
      <c r="N88" s="41"/>
      <c r="O88" s="41"/>
      <c r="P88" s="41"/>
      <c r="Q88" s="41" t="s">
        <v>8</v>
      </c>
      <c r="R88" s="44">
        <v>73372</v>
      </c>
      <c r="S88" s="44">
        <v>73372</v>
      </c>
      <c r="T88" s="44">
        <v>73372</v>
      </c>
      <c r="U88" s="44">
        <v>73372</v>
      </c>
      <c r="V88" s="44">
        <v>73372</v>
      </c>
      <c r="W88" s="44">
        <v>73372</v>
      </c>
      <c r="X88" s="44">
        <v>73372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/>
      <c r="AT88" s="44"/>
      <c r="AU88" s="45">
        <f t="shared" si="6"/>
        <v>513604</v>
      </c>
      <c r="AV88" s="46">
        <f t="shared" si="7"/>
        <v>0</v>
      </c>
      <c r="AW88" s="47">
        <f t="shared" si="8"/>
        <v>0</v>
      </c>
      <c r="AX88" s="48">
        <f t="shared" si="9"/>
        <v>513604</v>
      </c>
      <c r="AZ88" s="33" t="b">
        <f t="shared" si="11"/>
        <v>1</v>
      </c>
      <c r="BA88" s="49"/>
    </row>
    <row r="89" spans="2:53" outlineLevel="1" x14ac:dyDescent="0.3">
      <c r="B89" s="50" t="s">
        <v>750</v>
      </c>
      <c r="C89" s="51"/>
      <c r="D89" s="52"/>
      <c r="E89" s="53"/>
      <c r="F89" s="54"/>
      <c r="G89" s="54"/>
      <c r="H89" s="54"/>
      <c r="I89" s="54"/>
      <c r="J89" s="55"/>
      <c r="K89" s="55"/>
      <c r="L89" s="55" t="s">
        <v>225</v>
      </c>
      <c r="M89" s="55"/>
      <c r="N89" s="56">
        <f t="shared" si="10"/>
        <v>4.3620000000000001</v>
      </c>
      <c r="O89" s="64">
        <v>4.3620000000000001</v>
      </c>
      <c r="P89" s="56">
        <f>$P$4</f>
        <v>0</v>
      </c>
      <c r="Q89" s="56" t="s">
        <v>10</v>
      </c>
      <c r="R89" s="59">
        <f>SUM(R88:$AR88)*$N89/100</f>
        <v>22403.406480000001</v>
      </c>
      <c r="S89" s="59">
        <f>SUM(S88:$AR88)*$N89/100</f>
        <v>19202.919839999999</v>
      </c>
      <c r="T89" s="59">
        <f>SUM(T88:$AR88)*$N89/100</f>
        <v>16002.433200000001</v>
      </c>
      <c r="U89" s="59">
        <f>SUM(U88:$AR88)*$N89/100</f>
        <v>12801.94656</v>
      </c>
      <c r="V89" s="59">
        <f>SUM(V88:$AR88)*$N89/100</f>
        <v>9601.4599199999993</v>
      </c>
      <c r="W89" s="59">
        <f>SUM(W88:$AR88)*$N89/100</f>
        <v>6400.9732800000002</v>
      </c>
      <c r="X89" s="59">
        <f>SUM(X88:$AR88)*$N89/100</f>
        <v>3200.4866400000001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0</v>
      </c>
      <c r="AE89" s="59">
        <v>0</v>
      </c>
      <c r="AF89" s="59">
        <v>0</v>
      </c>
      <c r="AG89" s="59">
        <v>0</v>
      </c>
      <c r="AH89" s="59">
        <v>0</v>
      </c>
      <c r="AI89" s="59">
        <v>0</v>
      </c>
      <c r="AJ89" s="59">
        <v>0</v>
      </c>
      <c r="AK89" s="59">
        <v>0</v>
      </c>
      <c r="AL89" s="59">
        <v>0</v>
      </c>
      <c r="AM89" s="59">
        <v>0</v>
      </c>
      <c r="AN89" s="59">
        <v>0</v>
      </c>
      <c r="AO89" s="59">
        <v>0</v>
      </c>
      <c r="AP89" s="59">
        <v>0</v>
      </c>
      <c r="AQ89" s="59">
        <v>0</v>
      </c>
      <c r="AR89" s="59">
        <v>0</v>
      </c>
      <c r="AS89" s="59"/>
      <c r="AT89" s="59"/>
      <c r="AU89" s="60">
        <f t="shared" si="6"/>
        <v>89613.625920000006</v>
      </c>
      <c r="AV89" s="46">
        <f t="shared" si="7"/>
        <v>0</v>
      </c>
      <c r="AW89" s="61">
        <f t="shared" si="8"/>
        <v>0</v>
      </c>
      <c r="AX89" s="62">
        <f t="shared" si="9"/>
        <v>89613.625920000006</v>
      </c>
      <c r="AZ89" s="33" t="b">
        <f t="shared" si="11"/>
        <v>1</v>
      </c>
    </row>
    <row r="90" spans="2:53" s="33" customFormat="1" outlineLevel="1" x14ac:dyDescent="0.3">
      <c r="B90" s="34" t="s">
        <v>750</v>
      </c>
      <c r="C90" s="35">
        <v>43</v>
      </c>
      <c r="D90" s="36" t="s">
        <v>733</v>
      </c>
      <c r="E90" s="37" t="s">
        <v>99</v>
      </c>
      <c r="F90" s="38" t="s">
        <v>100</v>
      </c>
      <c r="G90" s="38" t="s">
        <v>227</v>
      </c>
      <c r="H90" s="38" t="s">
        <v>226</v>
      </c>
      <c r="I90" s="38" t="s">
        <v>9</v>
      </c>
      <c r="J90" s="39">
        <v>559121.98</v>
      </c>
      <c r="K90" s="40">
        <v>471865.86</v>
      </c>
      <c r="L90" s="40"/>
      <c r="M90" s="40"/>
      <c r="N90" s="41"/>
      <c r="O90" s="41"/>
      <c r="P90" s="41"/>
      <c r="Q90" s="41" t="s">
        <v>8</v>
      </c>
      <c r="R90" s="44">
        <v>58116</v>
      </c>
      <c r="S90" s="44">
        <v>58116</v>
      </c>
      <c r="T90" s="44">
        <v>58116</v>
      </c>
      <c r="U90" s="44">
        <v>58116</v>
      </c>
      <c r="V90" s="44">
        <v>58116</v>
      </c>
      <c r="W90" s="44">
        <v>58116</v>
      </c>
      <c r="X90" s="44">
        <v>35995.86</v>
      </c>
      <c r="Y90" s="44">
        <v>0</v>
      </c>
      <c r="Z90" s="44">
        <v>0</v>
      </c>
      <c r="AA90" s="44">
        <v>0</v>
      </c>
      <c r="AB90" s="44"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/>
      <c r="AT90" s="44"/>
      <c r="AU90" s="45">
        <f t="shared" si="6"/>
        <v>384691.86</v>
      </c>
      <c r="AV90" s="46">
        <f t="shared" si="7"/>
        <v>0</v>
      </c>
      <c r="AW90" s="47">
        <f t="shared" si="8"/>
        <v>0</v>
      </c>
      <c r="AX90" s="48">
        <f t="shared" si="9"/>
        <v>384691.86</v>
      </c>
      <c r="AZ90" s="33" t="b">
        <f t="shared" si="11"/>
        <v>1</v>
      </c>
      <c r="BA90" s="49"/>
    </row>
    <row r="91" spans="2:53" outlineLevel="1" x14ac:dyDescent="0.3">
      <c r="B91" s="50" t="s">
        <v>750</v>
      </c>
      <c r="C91" s="51"/>
      <c r="D91" s="52"/>
      <c r="E91" s="53"/>
      <c r="F91" s="54"/>
      <c r="G91" s="54"/>
      <c r="H91" s="54"/>
      <c r="I91" s="54"/>
      <c r="J91" s="55"/>
      <c r="K91" s="55"/>
      <c r="L91" s="55" t="s">
        <v>225</v>
      </c>
      <c r="M91" s="55"/>
      <c r="N91" s="56">
        <f t="shared" si="10"/>
        <v>4.3620000000000001</v>
      </c>
      <c r="O91" s="64">
        <v>4.3620000000000001</v>
      </c>
      <c r="P91" s="56">
        <f>$P$4</f>
        <v>0</v>
      </c>
      <c r="Q91" s="56" t="s">
        <v>10</v>
      </c>
      <c r="R91" s="59">
        <f>SUM(R90:$AR90)*$N91/100</f>
        <v>16780.258933199999</v>
      </c>
      <c r="S91" s="59">
        <f>SUM(S90:$AR90)*$N91/100</f>
        <v>14245.2390132</v>
      </c>
      <c r="T91" s="59">
        <f>SUM(T90:$AR90)*$N91/100</f>
        <v>11710.219093199999</v>
      </c>
      <c r="U91" s="59">
        <f>SUM(U90:$AR90)*$N91/100</f>
        <v>9175.1991732000006</v>
      </c>
      <c r="V91" s="59">
        <f>SUM(V90:$AR90)*$N91/100</f>
        <v>6640.179253199999</v>
      </c>
      <c r="W91" s="59">
        <f>SUM(W90:$AR90)*$N91/100</f>
        <v>4105.1593332000002</v>
      </c>
      <c r="X91" s="59">
        <f>SUM(X90:$AR90)*$N91/100</f>
        <v>1570.1394132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0</v>
      </c>
      <c r="AG91" s="59">
        <v>0</v>
      </c>
      <c r="AH91" s="59">
        <v>0</v>
      </c>
      <c r="AI91" s="59">
        <v>0</v>
      </c>
      <c r="AJ91" s="59">
        <v>0</v>
      </c>
      <c r="AK91" s="59">
        <v>0</v>
      </c>
      <c r="AL91" s="59">
        <v>0</v>
      </c>
      <c r="AM91" s="59">
        <v>0</v>
      </c>
      <c r="AN91" s="59">
        <v>0</v>
      </c>
      <c r="AO91" s="59">
        <v>0</v>
      </c>
      <c r="AP91" s="59">
        <v>0</v>
      </c>
      <c r="AQ91" s="59">
        <v>0</v>
      </c>
      <c r="AR91" s="59">
        <v>0</v>
      </c>
      <c r="AS91" s="59"/>
      <c r="AT91" s="59"/>
      <c r="AU91" s="60">
        <f t="shared" si="6"/>
        <v>64226.394212399995</v>
      </c>
      <c r="AV91" s="46">
        <f t="shared" si="7"/>
        <v>0</v>
      </c>
      <c r="AW91" s="61">
        <f t="shared" si="8"/>
        <v>0</v>
      </c>
      <c r="AX91" s="62">
        <f t="shared" si="9"/>
        <v>64226.394212399995</v>
      </c>
      <c r="AZ91" s="33" t="b">
        <f t="shared" si="11"/>
        <v>1</v>
      </c>
    </row>
    <row r="92" spans="2:53" s="33" customFormat="1" outlineLevel="1" x14ac:dyDescent="0.3">
      <c r="B92" s="34" t="s">
        <v>751</v>
      </c>
      <c r="C92" s="35">
        <v>44</v>
      </c>
      <c r="D92" s="36" t="s">
        <v>837</v>
      </c>
      <c r="E92" s="37" t="s">
        <v>101</v>
      </c>
      <c r="F92" s="38" t="s">
        <v>102</v>
      </c>
      <c r="G92" s="38" t="s">
        <v>231</v>
      </c>
      <c r="H92" s="38" t="s">
        <v>230</v>
      </c>
      <c r="I92" s="38" t="s">
        <v>9</v>
      </c>
      <c r="J92" s="39">
        <v>247902</v>
      </c>
      <c r="K92" s="40">
        <v>216916</v>
      </c>
      <c r="L92" s="40"/>
      <c r="M92" s="40"/>
      <c r="N92" s="41"/>
      <c r="O92" s="41"/>
      <c r="P92" s="41"/>
      <c r="Q92" s="41" t="s">
        <v>8</v>
      </c>
      <c r="R92" s="44">
        <v>61976</v>
      </c>
      <c r="S92" s="44">
        <v>61976</v>
      </c>
      <c r="T92" s="44">
        <v>0</v>
      </c>
      <c r="U92" s="44">
        <v>0</v>
      </c>
      <c r="V92" s="44">
        <v>0</v>
      </c>
      <c r="W92" s="44">
        <v>0</v>
      </c>
      <c r="X92" s="44">
        <v>0</v>
      </c>
      <c r="Y92" s="44">
        <v>0</v>
      </c>
      <c r="Z92" s="44">
        <v>0</v>
      </c>
      <c r="AA92" s="44">
        <v>0</v>
      </c>
      <c r="AB92" s="44">
        <v>0</v>
      </c>
      <c r="AC92" s="44">
        <v>0</v>
      </c>
      <c r="AD92" s="44">
        <v>0</v>
      </c>
      <c r="AE92" s="44">
        <v>0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/>
      <c r="AT92" s="44"/>
      <c r="AU92" s="45">
        <f t="shared" si="6"/>
        <v>123952</v>
      </c>
      <c r="AV92" s="46">
        <f t="shared" si="7"/>
        <v>0</v>
      </c>
      <c r="AW92" s="47">
        <f t="shared" si="8"/>
        <v>0</v>
      </c>
      <c r="AX92" s="48">
        <f t="shared" si="9"/>
        <v>123952</v>
      </c>
      <c r="AZ92" s="33" t="b">
        <f t="shared" si="11"/>
        <v>1</v>
      </c>
      <c r="BA92" s="49"/>
    </row>
    <row r="93" spans="2:53" outlineLevel="1" x14ac:dyDescent="0.3">
      <c r="B93" s="50" t="s">
        <v>751</v>
      </c>
      <c r="C93" s="51"/>
      <c r="D93" s="52" t="s">
        <v>838</v>
      </c>
      <c r="E93" s="53"/>
      <c r="F93" s="54"/>
      <c r="G93" s="54"/>
      <c r="H93" s="54"/>
      <c r="I93" s="54"/>
      <c r="J93" s="55"/>
      <c r="K93" s="55"/>
      <c r="L93" s="55" t="s">
        <v>229</v>
      </c>
      <c r="M93" s="55"/>
      <c r="N93" s="56">
        <f t="shared" si="10"/>
        <v>4.016</v>
      </c>
      <c r="O93" s="64">
        <v>4.016</v>
      </c>
      <c r="P93" s="56">
        <f>$P$4</f>
        <v>0</v>
      </c>
      <c r="Q93" s="56" t="s">
        <v>10</v>
      </c>
      <c r="R93" s="59">
        <v>5336.22</v>
      </c>
      <c r="S93" s="59">
        <v>2449.1499999999996</v>
      </c>
      <c r="T93" s="59">
        <v>160.5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0</v>
      </c>
      <c r="AE93" s="59">
        <v>0</v>
      </c>
      <c r="AF93" s="59">
        <v>0</v>
      </c>
      <c r="AG93" s="59">
        <v>0</v>
      </c>
      <c r="AH93" s="59">
        <v>0</v>
      </c>
      <c r="AI93" s="59">
        <v>0</v>
      </c>
      <c r="AJ93" s="59">
        <v>0</v>
      </c>
      <c r="AK93" s="59">
        <v>0</v>
      </c>
      <c r="AL93" s="59">
        <v>0</v>
      </c>
      <c r="AM93" s="59">
        <v>0</v>
      </c>
      <c r="AN93" s="59">
        <v>0</v>
      </c>
      <c r="AO93" s="59">
        <v>0</v>
      </c>
      <c r="AP93" s="59">
        <v>0</v>
      </c>
      <c r="AQ93" s="59">
        <v>0</v>
      </c>
      <c r="AR93" s="59">
        <v>0</v>
      </c>
      <c r="AS93" s="59"/>
      <c r="AT93" s="59"/>
      <c r="AU93" s="60">
        <f t="shared" si="6"/>
        <v>7945.87</v>
      </c>
      <c r="AV93" s="46">
        <f t="shared" si="7"/>
        <v>0</v>
      </c>
      <c r="AW93" s="61">
        <f t="shared" si="8"/>
        <v>0</v>
      </c>
      <c r="AX93" s="62">
        <f t="shared" si="9"/>
        <v>7945.87</v>
      </c>
      <c r="AZ93" s="33" t="b">
        <f t="shared" si="11"/>
        <v>1</v>
      </c>
    </row>
    <row r="94" spans="2:53" s="33" customFormat="1" outlineLevel="1" x14ac:dyDescent="0.3">
      <c r="B94" s="34" t="s">
        <v>751</v>
      </c>
      <c r="C94" s="35">
        <v>45</v>
      </c>
      <c r="D94" s="36" t="s">
        <v>839</v>
      </c>
      <c r="E94" s="37" t="s">
        <v>103</v>
      </c>
      <c r="F94" s="38" t="s">
        <v>104</v>
      </c>
      <c r="G94" s="38" t="s">
        <v>233</v>
      </c>
      <c r="H94" s="38" t="s">
        <v>234</v>
      </c>
      <c r="I94" s="38" t="s">
        <v>9</v>
      </c>
      <c r="J94" s="39">
        <v>178121</v>
      </c>
      <c r="K94" s="40">
        <v>99533.52</v>
      </c>
      <c r="L94" s="40"/>
      <c r="M94" s="40"/>
      <c r="N94" s="41"/>
      <c r="O94" s="41"/>
      <c r="P94" s="41"/>
      <c r="Q94" s="41" t="s">
        <v>8</v>
      </c>
      <c r="R94" s="44">
        <v>12500</v>
      </c>
      <c r="S94" s="44">
        <v>12500</v>
      </c>
      <c r="T94" s="44">
        <v>12500</v>
      </c>
      <c r="U94" s="44">
        <v>12500</v>
      </c>
      <c r="V94" s="44">
        <v>12500</v>
      </c>
      <c r="W94" s="44">
        <v>12500</v>
      </c>
      <c r="X94" s="44">
        <v>5783.52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4">
        <v>0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/>
      <c r="AT94" s="44"/>
      <c r="AU94" s="45">
        <f t="shared" si="6"/>
        <v>80783.520000000004</v>
      </c>
      <c r="AV94" s="46">
        <f t="shared" si="7"/>
        <v>0</v>
      </c>
      <c r="AW94" s="47">
        <f t="shared" si="8"/>
        <v>0</v>
      </c>
      <c r="AX94" s="48">
        <f t="shared" si="9"/>
        <v>80783.520000000004</v>
      </c>
      <c r="AZ94" s="33" t="b">
        <f t="shared" si="11"/>
        <v>1</v>
      </c>
      <c r="BA94" s="49"/>
    </row>
    <row r="95" spans="2:53" outlineLevel="1" x14ac:dyDescent="0.3">
      <c r="B95" s="50" t="s">
        <v>751</v>
      </c>
      <c r="C95" s="51"/>
      <c r="D95" s="52" t="s">
        <v>840</v>
      </c>
      <c r="E95" s="53"/>
      <c r="F95" s="54"/>
      <c r="G95" s="54"/>
      <c r="H95" s="54"/>
      <c r="I95" s="54"/>
      <c r="J95" s="55"/>
      <c r="K95" s="55"/>
      <c r="L95" s="55" t="s">
        <v>232</v>
      </c>
      <c r="M95" s="55"/>
      <c r="N95" s="56">
        <f t="shared" si="10"/>
        <v>3.9929999999999999</v>
      </c>
      <c r="O95" s="56">
        <v>3.9929999999999999</v>
      </c>
      <c r="P95" s="56">
        <f>$P$4</f>
        <v>0</v>
      </c>
      <c r="Q95" s="56" t="s">
        <v>10</v>
      </c>
      <c r="R95" s="59">
        <f>SUM(R94:$AR94)*$N95/100</f>
        <v>3225.6859536000002</v>
      </c>
      <c r="S95" s="59">
        <f>SUM(S94:$AR94)*$N95/100</f>
        <v>2726.5609536000002</v>
      </c>
      <c r="T95" s="59">
        <f>SUM(T94:$AR94)*$N95/100</f>
        <v>2227.4359536000002</v>
      </c>
      <c r="U95" s="59">
        <f>SUM(U94:$AR94)*$N95/100</f>
        <v>1728.3109536000002</v>
      </c>
      <c r="V95" s="59">
        <f>SUM(V94:$AR94)*$N95/100</f>
        <v>1229.1859535999999</v>
      </c>
      <c r="W95" s="59">
        <f>SUM(W94:$AR94)*$N95/100</f>
        <v>730.06095360000006</v>
      </c>
      <c r="X95" s="59">
        <f>SUM(X94:$AR94)*$N95/100</f>
        <v>230.9359536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0</v>
      </c>
      <c r="AE95" s="59">
        <v>0</v>
      </c>
      <c r="AF95" s="59">
        <v>0</v>
      </c>
      <c r="AG95" s="59">
        <v>0</v>
      </c>
      <c r="AH95" s="59">
        <v>0</v>
      </c>
      <c r="AI95" s="59">
        <v>0</v>
      </c>
      <c r="AJ95" s="59">
        <v>0</v>
      </c>
      <c r="AK95" s="59">
        <v>0</v>
      </c>
      <c r="AL95" s="59">
        <v>0</v>
      </c>
      <c r="AM95" s="59">
        <v>0</v>
      </c>
      <c r="AN95" s="59">
        <v>0</v>
      </c>
      <c r="AO95" s="59">
        <v>0</v>
      </c>
      <c r="AP95" s="59">
        <v>0</v>
      </c>
      <c r="AQ95" s="59">
        <v>0</v>
      </c>
      <c r="AR95" s="59">
        <v>0</v>
      </c>
      <c r="AS95" s="59"/>
      <c r="AT95" s="59"/>
      <c r="AU95" s="60">
        <f t="shared" si="6"/>
        <v>12098.176675199998</v>
      </c>
      <c r="AV95" s="46">
        <f t="shared" si="7"/>
        <v>0</v>
      </c>
      <c r="AW95" s="61">
        <f t="shared" si="8"/>
        <v>0</v>
      </c>
      <c r="AX95" s="62">
        <f t="shared" si="9"/>
        <v>12098.176675199998</v>
      </c>
      <c r="AZ95" s="33" t="b">
        <f t="shared" si="11"/>
        <v>1</v>
      </c>
    </row>
    <row r="96" spans="2:53" s="33" customFormat="1" outlineLevel="1" x14ac:dyDescent="0.3">
      <c r="B96" s="34" t="s">
        <v>750</v>
      </c>
      <c r="C96" s="35">
        <v>46</v>
      </c>
      <c r="D96" s="36" t="s">
        <v>841</v>
      </c>
      <c r="E96" s="37" t="s">
        <v>105</v>
      </c>
      <c r="F96" s="38" t="s">
        <v>106</v>
      </c>
      <c r="G96" s="38" t="s">
        <v>237</v>
      </c>
      <c r="H96" s="38" t="s">
        <v>236</v>
      </c>
      <c r="I96" s="38" t="s">
        <v>9</v>
      </c>
      <c r="J96" s="39">
        <v>1230506</v>
      </c>
      <c r="K96" s="40">
        <v>873506.23</v>
      </c>
      <c r="L96" s="40"/>
      <c r="M96" s="40"/>
      <c r="N96" s="41"/>
      <c r="O96" s="41"/>
      <c r="P96" s="41"/>
      <c r="Q96" s="41" t="s">
        <v>8</v>
      </c>
      <c r="R96" s="44">
        <v>86352</v>
      </c>
      <c r="S96" s="44">
        <v>86352</v>
      </c>
      <c r="T96" s="44">
        <v>86352</v>
      </c>
      <c r="U96" s="44">
        <v>86352</v>
      </c>
      <c r="V96" s="44">
        <v>86352</v>
      </c>
      <c r="W96" s="44">
        <v>86352</v>
      </c>
      <c r="X96" s="44">
        <v>86352</v>
      </c>
      <c r="Y96" s="44">
        <v>86352</v>
      </c>
      <c r="Z96" s="44">
        <v>53162.229999999996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4">
        <v>0</v>
      </c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0</v>
      </c>
      <c r="AS96" s="44"/>
      <c r="AT96" s="44"/>
      <c r="AU96" s="45">
        <f t="shared" si="6"/>
        <v>743978.23</v>
      </c>
      <c r="AV96" s="46">
        <f t="shared" si="7"/>
        <v>0</v>
      </c>
      <c r="AW96" s="47">
        <f t="shared" si="8"/>
        <v>139514.22999999998</v>
      </c>
      <c r="AX96" s="48">
        <f t="shared" si="9"/>
        <v>743978.23</v>
      </c>
      <c r="AZ96" s="33" t="b">
        <f t="shared" si="11"/>
        <v>1</v>
      </c>
      <c r="BA96" s="49"/>
    </row>
    <row r="97" spans="2:53" outlineLevel="1" x14ac:dyDescent="0.3">
      <c r="B97" s="50" t="s">
        <v>750</v>
      </c>
      <c r="C97" s="51"/>
      <c r="D97" s="52" t="s">
        <v>842</v>
      </c>
      <c r="E97" s="53"/>
      <c r="F97" s="54"/>
      <c r="G97" s="54"/>
      <c r="H97" s="54"/>
      <c r="I97" s="54"/>
      <c r="J97" s="55"/>
      <c r="K97" s="55"/>
      <c r="L97" s="55" t="s">
        <v>235</v>
      </c>
      <c r="M97" s="55"/>
      <c r="N97" s="56">
        <f t="shared" si="10"/>
        <v>4.8170000000000002</v>
      </c>
      <c r="O97" s="56">
        <v>4.8170000000000002</v>
      </c>
      <c r="P97" s="56">
        <f>$P$4</f>
        <v>0</v>
      </c>
      <c r="Q97" s="56" t="s">
        <v>10</v>
      </c>
      <c r="R97" s="59">
        <f>SUM(R96:$AR96)*$N97/100</f>
        <v>35837.431339099996</v>
      </c>
      <c r="S97" s="59">
        <f>SUM(S96:$AR96)*$N97/100</f>
        <v>31677.855499100002</v>
      </c>
      <c r="T97" s="59">
        <f>SUM(T96:$AR96)*$N97/100</f>
        <v>27518.279659099997</v>
      </c>
      <c r="U97" s="59">
        <f>SUM(U96:$AR96)*$N97/100</f>
        <v>23358.703819099999</v>
      </c>
      <c r="V97" s="59">
        <f>SUM(V96:$AR96)*$N97/100</f>
        <v>19199.127979099998</v>
      </c>
      <c r="W97" s="59">
        <f>SUM(W96:$AR96)*$N97/100</f>
        <v>15039.5521391</v>
      </c>
      <c r="X97" s="59">
        <f>SUM(X96:$AR96)*$N97/100</f>
        <v>10879.976299099999</v>
      </c>
      <c r="Y97" s="59">
        <f>SUM(Y96:$AR96)*$N97/100</f>
        <v>6720.4004591000003</v>
      </c>
      <c r="Z97" s="59">
        <f>SUM(Z96:$AR96)*$N97/100</f>
        <v>2560.8246190999998</v>
      </c>
      <c r="AA97" s="59">
        <v>0</v>
      </c>
      <c r="AB97" s="59">
        <v>0</v>
      </c>
      <c r="AC97" s="59">
        <v>0</v>
      </c>
      <c r="AD97" s="59">
        <v>0</v>
      </c>
      <c r="AE97" s="59">
        <v>0</v>
      </c>
      <c r="AF97" s="59">
        <v>0</v>
      </c>
      <c r="AG97" s="59">
        <v>0</v>
      </c>
      <c r="AH97" s="59">
        <v>0</v>
      </c>
      <c r="AI97" s="59">
        <v>0</v>
      </c>
      <c r="AJ97" s="59">
        <v>0</v>
      </c>
      <c r="AK97" s="59">
        <v>0</v>
      </c>
      <c r="AL97" s="59">
        <v>0</v>
      </c>
      <c r="AM97" s="59">
        <v>0</v>
      </c>
      <c r="AN97" s="59">
        <v>0</v>
      </c>
      <c r="AO97" s="59">
        <v>0</v>
      </c>
      <c r="AP97" s="59">
        <v>0</v>
      </c>
      <c r="AQ97" s="59">
        <v>0</v>
      </c>
      <c r="AR97" s="59">
        <v>0</v>
      </c>
      <c r="AS97" s="59"/>
      <c r="AT97" s="59"/>
      <c r="AU97" s="60">
        <f t="shared" si="6"/>
        <v>172792.1518119</v>
      </c>
      <c r="AV97" s="46">
        <f t="shared" si="7"/>
        <v>0</v>
      </c>
      <c r="AW97" s="61">
        <f t="shared" si="8"/>
        <v>9281.225078200001</v>
      </c>
      <c r="AX97" s="62">
        <f t="shared" si="9"/>
        <v>172792.1518119</v>
      </c>
      <c r="AZ97" s="33" t="b">
        <f t="shared" si="11"/>
        <v>1</v>
      </c>
    </row>
    <row r="98" spans="2:53" s="33" customFormat="1" outlineLevel="1" x14ac:dyDescent="0.3">
      <c r="B98" s="34" t="s">
        <v>750</v>
      </c>
      <c r="C98" s="35">
        <v>47</v>
      </c>
      <c r="D98" s="36" t="s">
        <v>727</v>
      </c>
      <c r="E98" s="37" t="s">
        <v>107</v>
      </c>
      <c r="F98" s="38" t="s">
        <v>108</v>
      </c>
      <c r="G98" s="38" t="s">
        <v>240</v>
      </c>
      <c r="H98" s="38" t="s">
        <v>239</v>
      </c>
      <c r="I98" s="38" t="s">
        <v>9</v>
      </c>
      <c r="J98" s="39">
        <v>156436.10999999999</v>
      </c>
      <c r="K98" s="40">
        <v>137903.10999999999</v>
      </c>
      <c r="L98" s="40"/>
      <c r="M98" s="40"/>
      <c r="N98" s="41"/>
      <c r="O98" s="41"/>
      <c r="P98" s="41"/>
      <c r="Q98" s="41" t="s">
        <v>8</v>
      </c>
      <c r="R98" s="44">
        <v>37076</v>
      </c>
      <c r="S98" s="44">
        <v>37076</v>
      </c>
      <c r="T98" s="44">
        <v>8137.11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0</v>
      </c>
      <c r="AC98" s="44">
        <v>0</v>
      </c>
      <c r="AD98" s="44">
        <v>0</v>
      </c>
      <c r="AE98" s="44">
        <v>0</v>
      </c>
      <c r="AF98" s="44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0</v>
      </c>
      <c r="AL98" s="44">
        <v>0</v>
      </c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0</v>
      </c>
      <c r="AS98" s="44"/>
      <c r="AT98" s="44"/>
      <c r="AU98" s="45">
        <f t="shared" si="6"/>
        <v>82289.11</v>
      </c>
      <c r="AV98" s="46">
        <f t="shared" si="7"/>
        <v>0</v>
      </c>
      <c r="AW98" s="47">
        <f t="shared" si="8"/>
        <v>0</v>
      </c>
      <c r="AX98" s="48">
        <f t="shared" si="9"/>
        <v>82289.11</v>
      </c>
      <c r="AZ98" s="33" t="b">
        <f t="shared" si="11"/>
        <v>1</v>
      </c>
      <c r="BA98" s="49"/>
    </row>
    <row r="99" spans="2:53" outlineLevel="1" x14ac:dyDescent="0.3">
      <c r="B99" s="50" t="s">
        <v>750</v>
      </c>
      <c r="C99" s="51"/>
      <c r="D99" s="52"/>
      <c r="E99" s="53"/>
      <c r="F99" s="54"/>
      <c r="G99" s="54"/>
      <c r="H99" s="54"/>
      <c r="I99" s="54"/>
      <c r="J99" s="55"/>
      <c r="K99" s="55"/>
      <c r="L99" s="55" t="s">
        <v>238</v>
      </c>
      <c r="M99" s="55"/>
      <c r="N99" s="56">
        <f t="shared" si="10"/>
        <v>4.4960000000000004</v>
      </c>
      <c r="O99" s="56">
        <v>4.4960000000000004</v>
      </c>
      <c r="P99" s="56">
        <f>$P$4</f>
        <v>0</v>
      </c>
      <c r="Q99" s="56" t="s">
        <v>10</v>
      </c>
      <c r="R99" s="59">
        <f>SUM(R98:$AR98)*$N99/100</f>
        <v>3699.7183856000006</v>
      </c>
      <c r="S99" s="59">
        <f>SUM(S98:$AR98)*$N99/100</f>
        <v>2032.7814256000004</v>
      </c>
      <c r="T99" s="59">
        <f>SUM(T98:$AR98)*$N99/100</f>
        <v>365.84446560000004</v>
      </c>
      <c r="U99" s="59">
        <v>0</v>
      </c>
      <c r="V99" s="59">
        <v>0</v>
      </c>
      <c r="W99" s="59">
        <v>0</v>
      </c>
      <c r="X99" s="59">
        <v>0</v>
      </c>
      <c r="Y99" s="59">
        <v>0</v>
      </c>
      <c r="Z99" s="59">
        <v>0</v>
      </c>
      <c r="AA99" s="59">
        <v>0</v>
      </c>
      <c r="AB99" s="59">
        <v>0</v>
      </c>
      <c r="AC99" s="59">
        <v>0</v>
      </c>
      <c r="AD99" s="59">
        <v>0</v>
      </c>
      <c r="AE99" s="59">
        <v>0</v>
      </c>
      <c r="AF99" s="59">
        <v>0</v>
      </c>
      <c r="AG99" s="59">
        <v>0</v>
      </c>
      <c r="AH99" s="59">
        <v>0</v>
      </c>
      <c r="AI99" s="59">
        <v>0</v>
      </c>
      <c r="AJ99" s="59">
        <v>0</v>
      </c>
      <c r="AK99" s="59">
        <v>0</v>
      </c>
      <c r="AL99" s="59">
        <v>0</v>
      </c>
      <c r="AM99" s="59">
        <v>0</v>
      </c>
      <c r="AN99" s="59">
        <v>0</v>
      </c>
      <c r="AO99" s="59">
        <v>0</v>
      </c>
      <c r="AP99" s="59">
        <v>0</v>
      </c>
      <c r="AQ99" s="59">
        <v>0</v>
      </c>
      <c r="AR99" s="59">
        <v>0</v>
      </c>
      <c r="AS99" s="59"/>
      <c r="AT99" s="59"/>
      <c r="AU99" s="60">
        <f t="shared" si="6"/>
        <v>6098.3442768000014</v>
      </c>
      <c r="AV99" s="46">
        <f t="shared" si="7"/>
        <v>0</v>
      </c>
      <c r="AW99" s="61">
        <f t="shared" si="8"/>
        <v>0</v>
      </c>
      <c r="AX99" s="62">
        <f t="shared" si="9"/>
        <v>6098.3442768000014</v>
      </c>
      <c r="AZ99" s="33" t="b">
        <f t="shared" si="11"/>
        <v>1</v>
      </c>
    </row>
    <row r="100" spans="2:53" s="33" customFormat="1" outlineLevel="1" x14ac:dyDescent="0.3">
      <c r="B100" s="34" t="s">
        <v>750</v>
      </c>
      <c r="C100" s="35">
        <v>48</v>
      </c>
      <c r="D100" s="36" t="s">
        <v>868</v>
      </c>
      <c r="E100" s="37" t="s">
        <v>109</v>
      </c>
      <c r="F100" s="38" t="s">
        <v>110</v>
      </c>
      <c r="G100" s="38" t="s">
        <v>243</v>
      </c>
      <c r="H100" s="38" t="s">
        <v>242</v>
      </c>
      <c r="I100" s="38" t="s">
        <v>9</v>
      </c>
      <c r="J100" s="39">
        <v>90861.19</v>
      </c>
      <c r="K100" s="40">
        <v>80676.19</v>
      </c>
      <c r="L100" s="40"/>
      <c r="M100" s="40"/>
      <c r="N100" s="41"/>
      <c r="O100" s="41"/>
      <c r="P100" s="41"/>
      <c r="Q100" s="41" t="s">
        <v>8</v>
      </c>
      <c r="R100" s="44">
        <v>20380</v>
      </c>
      <c r="S100" s="44">
        <v>20380</v>
      </c>
      <c r="T100" s="44">
        <v>9346.1899999999987</v>
      </c>
      <c r="U100" s="44">
        <v>0</v>
      </c>
      <c r="V100" s="44">
        <v>0</v>
      </c>
      <c r="W100" s="44">
        <v>0</v>
      </c>
      <c r="X100" s="44">
        <v>0</v>
      </c>
      <c r="Y100" s="44">
        <v>0</v>
      </c>
      <c r="Z100" s="44">
        <v>0</v>
      </c>
      <c r="AA100" s="44">
        <v>0</v>
      </c>
      <c r="AB100" s="44">
        <v>0</v>
      </c>
      <c r="AC100" s="44">
        <v>0</v>
      </c>
      <c r="AD100" s="44">
        <v>0</v>
      </c>
      <c r="AE100" s="44">
        <v>0</v>
      </c>
      <c r="AF100" s="44">
        <v>0</v>
      </c>
      <c r="AG100" s="44">
        <v>0</v>
      </c>
      <c r="AH100" s="44">
        <v>0</v>
      </c>
      <c r="AI100" s="44">
        <v>0</v>
      </c>
      <c r="AJ100" s="44">
        <v>0</v>
      </c>
      <c r="AK100" s="44">
        <v>0</v>
      </c>
      <c r="AL100" s="44">
        <v>0</v>
      </c>
      <c r="AM100" s="44">
        <v>0</v>
      </c>
      <c r="AN100" s="44">
        <v>0</v>
      </c>
      <c r="AO100" s="44">
        <v>0</v>
      </c>
      <c r="AP100" s="44">
        <v>0</v>
      </c>
      <c r="AQ100" s="44">
        <v>0</v>
      </c>
      <c r="AR100" s="44">
        <v>0</v>
      </c>
      <c r="AS100" s="44"/>
      <c r="AT100" s="44"/>
      <c r="AU100" s="45">
        <f t="shared" si="6"/>
        <v>50106.19</v>
      </c>
      <c r="AV100" s="46">
        <f t="shared" si="7"/>
        <v>0</v>
      </c>
      <c r="AW100" s="47">
        <f t="shared" si="8"/>
        <v>0</v>
      </c>
      <c r="AX100" s="48">
        <f t="shared" si="9"/>
        <v>50106.19</v>
      </c>
      <c r="AZ100" s="33" t="b">
        <f t="shared" si="11"/>
        <v>1</v>
      </c>
      <c r="BA100" s="49"/>
    </row>
    <row r="101" spans="2:53" outlineLevel="1" x14ac:dyDescent="0.3">
      <c r="B101" s="50" t="s">
        <v>750</v>
      </c>
      <c r="C101" s="51"/>
      <c r="D101" s="52" t="s">
        <v>869</v>
      </c>
      <c r="E101" s="53"/>
      <c r="F101" s="54"/>
      <c r="G101" s="54"/>
      <c r="H101" s="54"/>
      <c r="I101" s="54"/>
      <c r="J101" s="55"/>
      <c r="K101" s="55"/>
      <c r="L101" s="55" t="s">
        <v>241</v>
      </c>
      <c r="M101" s="55"/>
      <c r="N101" s="56">
        <f t="shared" si="10"/>
        <v>4.6020000000000003</v>
      </c>
      <c r="O101" s="196">
        <v>4.6020000000000003</v>
      </c>
      <c r="P101" s="56">
        <f>$P$4</f>
        <v>0</v>
      </c>
      <c r="Q101" s="56" t="s">
        <v>10</v>
      </c>
      <c r="R101" s="59">
        <f>SUM(R100:$AR100)*$N101/100</f>
        <v>2305.8868638000004</v>
      </c>
      <c r="S101" s="59">
        <f>SUM(S100:$AR100)*$N101/100</f>
        <v>1367.9992637999999</v>
      </c>
      <c r="T101" s="59">
        <f>SUM(T100:$AR100)*$N101/100</f>
        <v>430.11166379999997</v>
      </c>
      <c r="U101" s="59">
        <v>0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59">
        <v>0</v>
      </c>
      <c r="AD101" s="59">
        <v>0</v>
      </c>
      <c r="AE101" s="59">
        <v>0</v>
      </c>
      <c r="AF101" s="59">
        <v>0</v>
      </c>
      <c r="AG101" s="59">
        <v>0</v>
      </c>
      <c r="AH101" s="59">
        <v>0</v>
      </c>
      <c r="AI101" s="59">
        <v>0</v>
      </c>
      <c r="AJ101" s="59">
        <v>0</v>
      </c>
      <c r="AK101" s="59">
        <v>0</v>
      </c>
      <c r="AL101" s="59">
        <v>0</v>
      </c>
      <c r="AM101" s="59">
        <v>0</v>
      </c>
      <c r="AN101" s="59">
        <v>0</v>
      </c>
      <c r="AO101" s="59">
        <v>0</v>
      </c>
      <c r="AP101" s="59">
        <v>0</v>
      </c>
      <c r="AQ101" s="59">
        <v>0</v>
      </c>
      <c r="AR101" s="59">
        <v>0</v>
      </c>
      <c r="AS101" s="59"/>
      <c r="AT101" s="59"/>
      <c r="AU101" s="60">
        <f t="shared" si="6"/>
        <v>4103.9977914000001</v>
      </c>
      <c r="AV101" s="46">
        <f t="shared" si="7"/>
        <v>0</v>
      </c>
      <c r="AW101" s="61">
        <f t="shared" si="8"/>
        <v>0</v>
      </c>
      <c r="AX101" s="62">
        <f t="shared" si="9"/>
        <v>4103.9977914000001</v>
      </c>
      <c r="AZ101" s="33" t="b">
        <f t="shared" si="11"/>
        <v>1</v>
      </c>
    </row>
    <row r="102" spans="2:53" s="33" customFormat="1" outlineLevel="1" x14ac:dyDescent="0.3">
      <c r="B102" s="34" t="s">
        <v>750</v>
      </c>
      <c r="C102" s="35">
        <v>49</v>
      </c>
      <c r="D102" s="36" t="s">
        <v>860</v>
      </c>
      <c r="E102" s="37" t="s">
        <v>111</v>
      </c>
      <c r="F102" s="38" t="s">
        <v>112</v>
      </c>
      <c r="G102" s="38" t="s">
        <v>246</v>
      </c>
      <c r="H102" s="38" t="s">
        <v>245</v>
      </c>
      <c r="I102" s="38" t="s">
        <v>9</v>
      </c>
      <c r="J102" s="39">
        <v>496340</v>
      </c>
      <c r="K102" s="40">
        <v>491872</v>
      </c>
      <c r="L102" s="40"/>
      <c r="M102" s="40"/>
      <c r="N102" s="41"/>
      <c r="O102" s="41"/>
      <c r="P102" s="41"/>
      <c r="Q102" s="41" t="s">
        <v>8</v>
      </c>
      <c r="R102" s="44">
        <v>53660</v>
      </c>
      <c r="S102" s="44">
        <v>53660</v>
      </c>
      <c r="T102" s="44">
        <v>53660</v>
      </c>
      <c r="U102" s="44">
        <v>53660</v>
      </c>
      <c r="V102" s="44">
        <v>53660</v>
      </c>
      <c r="W102" s="44">
        <v>53660</v>
      </c>
      <c r="X102" s="44">
        <v>53660</v>
      </c>
      <c r="Y102" s="44">
        <v>40245</v>
      </c>
      <c r="Z102" s="44">
        <v>0</v>
      </c>
      <c r="AA102" s="44">
        <v>0</v>
      </c>
      <c r="AB102" s="44">
        <v>0</v>
      </c>
      <c r="AC102" s="44">
        <v>0</v>
      </c>
      <c r="AD102" s="44">
        <v>0</v>
      </c>
      <c r="AE102" s="44">
        <v>0</v>
      </c>
      <c r="AF102" s="44">
        <v>0</v>
      </c>
      <c r="AG102" s="44">
        <v>0</v>
      </c>
      <c r="AH102" s="44">
        <v>0</v>
      </c>
      <c r="AI102" s="44">
        <v>0</v>
      </c>
      <c r="AJ102" s="44">
        <v>0</v>
      </c>
      <c r="AK102" s="44">
        <v>0</v>
      </c>
      <c r="AL102" s="44">
        <v>0</v>
      </c>
      <c r="AM102" s="44">
        <v>0</v>
      </c>
      <c r="AN102" s="44">
        <v>0</v>
      </c>
      <c r="AO102" s="44">
        <v>0</v>
      </c>
      <c r="AP102" s="44">
        <v>0</v>
      </c>
      <c r="AQ102" s="44">
        <v>0</v>
      </c>
      <c r="AR102" s="44">
        <v>0</v>
      </c>
      <c r="AS102" s="44"/>
      <c r="AT102" s="44"/>
      <c r="AU102" s="45">
        <f t="shared" si="6"/>
        <v>415865</v>
      </c>
      <c r="AV102" s="46">
        <f t="shared" si="7"/>
        <v>0</v>
      </c>
      <c r="AW102" s="47">
        <f t="shared" si="8"/>
        <v>40245</v>
      </c>
      <c r="AX102" s="48">
        <f t="shared" si="9"/>
        <v>415865</v>
      </c>
      <c r="AZ102" s="33" t="b">
        <f t="shared" si="11"/>
        <v>1</v>
      </c>
      <c r="BA102" s="49"/>
    </row>
    <row r="103" spans="2:53" outlineLevel="1" x14ac:dyDescent="0.3">
      <c r="B103" s="50" t="s">
        <v>750</v>
      </c>
      <c r="C103" s="51"/>
      <c r="D103" s="52" t="s">
        <v>861</v>
      </c>
      <c r="E103" s="53"/>
      <c r="F103" s="54"/>
      <c r="G103" s="54"/>
      <c r="H103" s="54"/>
      <c r="I103" s="54"/>
      <c r="J103" s="55"/>
      <c r="K103" s="55"/>
      <c r="L103" s="55" t="s">
        <v>244</v>
      </c>
      <c r="M103" s="55"/>
      <c r="N103" s="56">
        <f t="shared" si="10"/>
        <v>4.7699999999999996</v>
      </c>
      <c r="O103" s="56">
        <v>4.7699999999999996</v>
      </c>
      <c r="P103" s="56">
        <f>$P$4</f>
        <v>0</v>
      </c>
      <c r="Q103" s="56" t="s">
        <v>10</v>
      </c>
      <c r="R103" s="59">
        <f>SUM(R102:$AR102)*$N103/100</f>
        <v>19836.760499999997</v>
      </c>
      <c r="S103" s="59">
        <f>SUM(S102:$AR102)*$N103/100</f>
        <v>17277.178499999998</v>
      </c>
      <c r="T103" s="59">
        <f>SUM(T102:$AR102)*$N103/100</f>
        <v>14717.5965</v>
      </c>
      <c r="U103" s="59">
        <f>SUM(U102:$AR102)*$N103/100</f>
        <v>12158.014499999999</v>
      </c>
      <c r="V103" s="59">
        <f>SUM(V102:$AR102)*$N103/100</f>
        <v>9598.432499999999</v>
      </c>
      <c r="W103" s="59">
        <f>SUM(W102:$AR102)*$N103/100</f>
        <v>7038.8504999999996</v>
      </c>
      <c r="X103" s="59">
        <f>SUM(X102:$AR102)*$N103/100</f>
        <v>4479.2685000000001</v>
      </c>
      <c r="Y103" s="59">
        <f>SUM(Y102:$AR102)*$N103/100</f>
        <v>1919.6865</v>
      </c>
      <c r="Z103" s="59">
        <v>0</v>
      </c>
      <c r="AA103" s="59">
        <v>0</v>
      </c>
      <c r="AB103" s="59">
        <v>0</v>
      </c>
      <c r="AC103" s="59">
        <v>0</v>
      </c>
      <c r="AD103" s="59">
        <v>0</v>
      </c>
      <c r="AE103" s="59">
        <v>0</v>
      </c>
      <c r="AF103" s="59">
        <v>0</v>
      </c>
      <c r="AG103" s="59">
        <v>0</v>
      </c>
      <c r="AH103" s="59">
        <v>0</v>
      </c>
      <c r="AI103" s="59">
        <v>0</v>
      </c>
      <c r="AJ103" s="59">
        <v>0</v>
      </c>
      <c r="AK103" s="59">
        <v>0</v>
      </c>
      <c r="AL103" s="59">
        <v>0</v>
      </c>
      <c r="AM103" s="59">
        <v>0</v>
      </c>
      <c r="AN103" s="59">
        <v>0</v>
      </c>
      <c r="AO103" s="59">
        <v>0</v>
      </c>
      <c r="AP103" s="59">
        <v>0</v>
      </c>
      <c r="AQ103" s="59">
        <v>0</v>
      </c>
      <c r="AR103" s="59">
        <v>0</v>
      </c>
      <c r="AS103" s="59"/>
      <c r="AT103" s="59"/>
      <c r="AU103" s="60">
        <f t="shared" si="6"/>
        <v>87025.788</v>
      </c>
      <c r="AV103" s="46">
        <f t="shared" si="7"/>
        <v>0</v>
      </c>
      <c r="AW103" s="61">
        <f t="shared" si="8"/>
        <v>1919.6865</v>
      </c>
      <c r="AX103" s="62">
        <f t="shared" si="9"/>
        <v>87025.788</v>
      </c>
      <c r="AZ103" s="33" t="b">
        <f t="shared" si="11"/>
        <v>1</v>
      </c>
    </row>
    <row r="104" spans="2:53" s="33" customFormat="1" outlineLevel="1" x14ac:dyDescent="0.3">
      <c r="B104" s="34" t="s">
        <v>751</v>
      </c>
      <c r="C104" s="35">
        <v>50</v>
      </c>
      <c r="D104" s="36" t="s">
        <v>843</v>
      </c>
      <c r="E104" s="37" t="s">
        <v>113</v>
      </c>
      <c r="F104" s="38" t="s">
        <v>114</v>
      </c>
      <c r="G104" s="38" t="s">
        <v>248</v>
      </c>
      <c r="H104" s="38" t="s">
        <v>247</v>
      </c>
      <c r="I104" s="38" t="s">
        <v>9</v>
      </c>
      <c r="J104" s="39">
        <v>6469</v>
      </c>
      <c r="K104" s="40">
        <v>5800</v>
      </c>
      <c r="L104" s="40"/>
      <c r="M104" s="40"/>
      <c r="N104" s="41"/>
      <c r="O104" s="41"/>
      <c r="P104" s="41"/>
      <c r="Q104" s="41" t="s">
        <v>8</v>
      </c>
      <c r="R104" s="194">
        <v>928</v>
      </c>
      <c r="S104" s="194">
        <v>928</v>
      </c>
      <c r="T104" s="194">
        <v>928</v>
      </c>
      <c r="U104" s="194">
        <v>928</v>
      </c>
      <c r="V104" s="194">
        <v>696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E104" s="44">
        <v>0</v>
      </c>
      <c r="AF104" s="44">
        <v>0</v>
      </c>
      <c r="AG104" s="44">
        <v>0</v>
      </c>
      <c r="AH104" s="44">
        <v>0</v>
      </c>
      <c r="AI104" s="44">
        <v>0</v>
      </c>
      <c r="AJ104" s="44">
        <v>0</v>
      </c>
      <c r="AK104" s="44">
        <v>0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S104" s="44"/>
      <c r="AT104" s="44"/>
      <c r="AU104" s="45">
        <f t="shared" si="6"/>
        <v>4408</v>
      </c>
      <c r="AV104" s="46">
        <f t="shared" si="7"/>
        <v>0</v>
      </c>
      <c r="AW104" s="47">
        <f t="shared" si="8"/>
        <v>0</v>
      </c>
      <c r="AX104" s="48">
        <f t="shared" si="9"/>
        <v>4408</v>
      </c>
      <c r="AZ104" s="33" t="b">
        <f t="shared" si="11"/>
        <v>1</v>
      </c>
      <c r="BA104" s="49"/>
    </row>
    <row r="105" spans="2:53" outlineLevel="1" x14ac:dyDescent="0.3">
      <c r="B105" s="50" t="s">
        <v>751</v>
      </c>
      <c r="C105" s="51"/>
      <c r="D105" s="52" t="s">
        <v>844</v>
      </c>
      <c r="E105" s="53"/>
      <c r="F105" s="54"/>
      <c r="G105" s="54"/>
      <c r="H105" s="54"/>
      <c r="I105" s="54"/>
      <c r="J105" s="55"/>
      <c r="K105" s="55"/>
      <c r="L105" s="55" t="s">
        <v>720</v>
      </c>
      <c r="M105" s="55"/>
      <c r="N105" s="56">
        <f t="shared" si="10"/>
        <v>4.5720000000000001</v>
      </c>
      <c r="O105" s="196">
        <v>4.5720000000000001</v>
      </c>
      <c r="P105" s="56">
        <f>$P$4</f>
        <v>0</v>
      </c>
      <c r="Q105" s="56" t="s">
        <v>10</v>
      </c>
      <c r="R105" s="195">
        <f>SUM(R104:$AR104)*$N105/100</f>
        <v>201.53376</v>
      </c>
      <c r="S105" s="195">
        <f>SUM(S104:$AR104)*$N105/100</f>
        <v>159.10559999999998</v>
      </c>
      <c r="T105" s="195">
        <f>SUM(T104:$AR104)*$N105/100</f>
        <v>116.67744</v>
      </c>
      <c r="U105" s="195">
        <f>SUM(U104:$AR104)*$N105/100</f>
        <v>74.249279999999999</v>
      </c>
      <c r="V105" s="195">
        <f>SUM(V104:$AR104)*$N105/100</f>
        <v>31.821120000000001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v>0</v>
      </c>
      <c r="AD105" s="59">
        <v>0</v>
      </c>
      <c r="AE105" s="59">
        <v>0</v>
      </c>
      <c r="AF105" s="59">
        <v>0</v>
      </c>
      <c r="AG105" s="59">
        <v>0</v>
      </c>
      <c r="AH105" s="59">
        <v>0</v>
      </c>
      <c r="AI105" s="59">
        <v>0</v>
      </c>
      <c r="AJ105" s="59">
        <v>0</v>
      </c>
      <c r="AK105" s="59">
        <v>0</v>
      </c>
      <c r="AL105" s="59">
        <v>0</v>
      </c>
      <c r="AM105" s="59">
        <v>0</v>
      </c>
      <c r="AN105" s="59">
        <v>0</v>
      </c>
      <c r="AO105" s="59">
        <v>0</v>
      </c>
      <c r="AP105" s="59">
        <v>0</v>
      </c>
      <c r="AQ105" s="59">
        <v>0</v>
      </c>
      <c r="AR105" s="59">
        <v>0</v>
      </c>
      <c r="AS105" s="59"/>
      <c r="AT105" s="59"/>
      <c r="AU105" s="60">
        <f t="shared" si="6"/>
        <v>583.38720000000001</v>
      </c>
      <c r="AV105" s="46">
        <f t="shared" si="7"/>
        <v>0</v>
      </c>
      <c r="AW105" s="61">
        <f t="shared" si="8"/>
        <v>0</v>
      </c>
      <c r="AX105" s="62">
        <f t="shared" si="9"/>
        <v>583.38720000000001</v>
      </c>
      <c r="AZ105" s="33" t="b">
        <f t="shared" si="11"/>
        <v>1</v>
      </c>
    </row>
    <row r="106" spans="2:53" s="33" customFormat="1" outlineLevel="1" x14ac:dyDescent="0.3">
      <c r="B106" s="34" t="s">
        <v>751</v>
      </c>
      <c r="C106" s="35">
        <v>51</v>
      </c>
      <c r="D106" s="36" t="s">
        <v>845</v>
      </c>
      <c r="E106" s="37" t="s">
        <v>115</v>
      </c>
      <c r="F106" s="38" t="s">
        <v>116</v>
      </c>
      <c r="G106" s="38" t="s">
        <v>250</v>
      </c>
      <c r="H106" s="38" t="s">
        <v>249</v>
      </c>
      <c r="I106" s="38" t="s">
        <v>9</v>
      </c>
      <c r="J106" s="39">
        <v>503660</v>
      </c>
      <c r="K106" s="40">
        <v>503660</v>
      </c>
      <c r="L106" s="40"/>
      <c r="M106" s="40"/>
      <c r="N106" s="41"/>
      <c r="O106" s="41"/>
      <c r="P106" s="41"/>
      <c r="Q106" s="41" t="s">
        <v>8</v>
      </c>
      <c r="R106" s="44">
        <v>35348</v>
      </c>
      <c r="S106" s="44">
        <v>35348</v>
      </c>
      <c r="T106" s="44">
        <v>35348</v>
      </c>
      <c r="U106" s="44">
        <v>35348</v>
      </c>
      <c r="V106" s="44">
        <v>35348</v>
      </c>
      <c r="W106" s="44">
        <v>35348</v>
      </c>
      <c r="X106" s="44">
        <v>35348</v>
      </c>
      <c r="Y106" s="44">
        <v>35348</v>
      </c>
      <c r="Z106" s="44">
        <v>35348</v>
      </c>
      <c r="AA106" s="44">
        <v>35348</v>
      </c>
      <c r="AB106" s="44">
        <v>35348</v>
      </c>
      <c r="AC106" s="44">
        <v>35348</v>
      </c>
      <c r="AD106" s="44">
        <v>35348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/>
      <c r="AT106" s="44"/>
      <c r="AU106" s="45">
        <f t="shared" si="6"/>
        <v>459524</v>
      </c>
      <c r="AV106" s="46">
        <f t="shared" si="7"/>
        <v>0</v>
      </c>
      <c r="AW106" s="47">
        <f t="shared" si="8"/>
        <v>212088</v>
      </c>
      <c r="AX106" s="48">
        <f t="shared" si="9"/>
        <v>459524</v>
      </c>
      <c r="AZ106" s="33" t="b">
        <f t="shared" si="11"/>
        <v>1</v>
      </c>
      <c r="BA106" s="49"/>
    </row>
    <row r="107" spans="2:53" outlineLevel="1" x14ac:dyDescent="0.3">
      <c r="B107" s="50" t="s">
        <v>751</v>
      </c>
      <c r="C107" s="51"/>
      <c r="D107" s="52" t="s">
        <v>846</v>
      </c>
      <c r="E107" s="53"/>
      <c r="F107" s="54"/>
      <c r="G107" s="54"/>
      <c r="H107" s="54"/>
      <c r="I107" s="54"/>
      <c r="J107" s="55"/>
      <c r="K107" s="55"/>
      <c r="L107" s="55">
        <v>0</v>
      </c>
      <c r="M107" s="55" t="s">
        <v>748</v>
      </c>
      <c r="N107" s="56">
        <f t="shared" si="10"/>
        <v>4.6120000000000001</v>
      </c>
      <c r="O107" s="56">
        <v>4.6120000000000001</v>
      </c>
      <c r="P107" s="56">
        <f>$P$4</f>
        <v>0</v>
      </c>
      <c r="Q107" s="56" t="s">
        <v>10</v>
      </c>
      <c r="R107" s="59">
        <f>SUM(R106:$AR106)*$N107/100</f>
        <v>21193.246880000002</v>
      </c>
      <c r="S107" s="59">
        <f>SUM(S106:$AR106)*$N107/100</f>
        <v>19562.99712</v>
      </c>
      <c r="T107" s="59">
        <f>SUM(T106:$AR106)*$N107/100</f>
        <v>17932.747360000001</v>
      </c>
      <c r="U107" s="59">
        <f>SUM(U106:$AR106)*$N107/100</f>
        <v>16302.497600000001</v>
      </c>
      <c r="V107" s="59">
        <f>SUM(V106:$AR106)*$N107/100</f>
        <v>14672.24784</v>
      </c>
      <c r="W107" s="59">
        <f>SUM(W106:$AR106)*$N107/100</f>
        <v>13041.998079999999</v>
      </c>
      <c r="X107" s="59">
        <f>SUM(X106:$AR106)*$N107/100</f>
        <v>11411.748319999999</v>
      </c>
      <c r="Y107" s="59">
        <f>SUM(Y106:$AR106)*$N107/100</f>
        <v>9781.49856</v>
      </c>
      <c r="Z107" s="59">
        <f>SUM(Z106:$AR106)*$N107/100</f>
        <v>8151.2488000000003</v>
      </c>
      <c r="AA107" s="59">
        <f>SUM(AA106:$AR106)*$N107/100</f>
        <v>6520.9990399999997</v>
      </c>
      <c r="AB107" s="59">
        <f>SUM(AB106:$AR106)*$N107/100</f>
        <v>4890.74928</v>
      </c>
      <c r="AC107" s="59">
        <f>SUM(AC106:$AR106)*$N107/100</f>
        <v>3260.4995199999998</v>
      </c>
      <c r="AD107" s="59">
        <f>SUM(AD106:$AR106)*$N107/100</f>
        <v>1630.2497599999999</v>
      </c>
      <c r="AE107" s="59">
        <v>0</v>
      </c>
      <c r="AF107" s="59">
        <v>0</v>
      </c>
      <c r="AG107" s="59">
        <v>0</v>
      </c>
      <c r="AH107" s="59">
        <v>0</v>
      </c>
      <c r="AI107" s="59">
        <v>0</v>
      </c>
      <c r="AJ107" s="59">
        <v>0</v>
      </c>
      <c r="AK107" s="59">
        <v>0</v>
      </c>
      <c r="AL107" s="59">
        <v>0</v>
      </c>
      <c r="AM107" s="59">
        <v>0</v>
      </c>
      <c r="AN107" s="59">
        <v>0</v>
      </c>
      <c r="AO107" s="59">
        <v>0</v>
      </c>
      <c r="AP107" s="59">
        <v>0</v>
      </c>
      <c r="AQ107" s="59">
        <v>0</v>
      </c>
      <c r="AR107" s="59">
        <v>0</v>
      </c>
      <c r="AS107" s="59"/>
      <c r="AT107" s="59"/>
      <c r="AU107" s="60">
        <f t="shared" si="6"/>
        <v>148352.72816</v>
      </c>
      <c r="AV107" s="46">
        <f t="shared" si="7"/>
        <v>0</v>
      </c>
      <c r="AW107" s="61">
        <f t="shared" si="8"/>
        <v>34235.244960000004</v>
      </c>
      <c r="AX107" s="62">
        <f t="shared" si="9"/>
        <v>148352.72816</v>
      </c>
      <c r="AZ107" s="33" t="b">
        <f t="shared" si="11"/>
        <v>1</v>
      </c>
    </row>
    <row r="108" spans="2:53" s="33" customFormat="1" outlineLevel="1" x14ac:dyDescent="0.3">
      <c r="B108" s="34" t="s">
        <v>751</v>
      </c>
      <c r="C108" s="35">
        <v>52</v>
      </c>
      <c r="D108" s="36" t="s">
        <v>845</v>
      </c>
      <c r="E108" s="37" t="s">
        <v>117</v>
      </c>
      <c r="F108" s="38" t="s">
        <v>118</v>
      </c>
      <c r="G108" s="38" t="s">
        <v>250</v>
      </c>
      <c r="H108" s="38" t="s">
        <v>251</v>
      </c>
      <c r="I108" s="38" t="s">
        <v>9</v>
      </c>
      <c r="J108" s="39">
        <v>300000</v>
      </c>
      <c r="K108" s="40">
        <v>300000</v>
      </c>
      <c r="L108" s="40"/>
      <c r="M108" s="40"/>
      <c r="N108" s="41"/>
      <c r="O108" s="41"/>
      <c r="P108" s="41"/>
      <c r="Q108" s="41" t="s">
        <v>8</v>
      </c>
      <c r="R108" s="44">
        <v>32436</v>
      </c>
      <c r="S108" s="44">
        <v>32436</v>
      </c>
      <c r="T108" s="44">
        <v>32436</v>
      </c>
      <c r="U108" s="44">
        <v>32436</v>
      </c>
      <c r="V108" s="44">
        <v>32436</v>
      </c>
      <c r="W108" s="44">
        <v>32436</v>
      </c>
      <c r="X108" s="44">
        <v>32436</v>
      </c>
      <c r="Y108" s="44">
        <v>32436</v>
      </c>
      <c r="Z108" s="44">
        <v>0</v>
      </c>
      <c r="AA108" s="44">
        <v>0</v>
      </c>
      <c r="AB108" s="44">
        <v>0</v>
      </c>
      <c r="AC108" s="44">
        <v>0</v>
      </c>
      <c r="AD108" s="44">
        <v>0</v>
      </c>
      <c r="AE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/>
      <c r="AT108" s="44"/>
      <c r="AU108" s="45">
        <f t="shared" si="6"/>
        <v>259488</v>
      </c>
      <c r="AV108" s="46">
        <f t="shared" si="7"/>
        <v>0</v>
      </c>
      <c r="AW108" s="47">
        <f t="shared" si="8"/>
        <v>32436</v>
      </c>
      <c r="AX108" s="48">
        <f t="shared" si="9"/>
        <v>259488</v>
      </c>
      <c r="AZ108" s="33" t="b">
        <f t="shared" si="11"/>
        <v>1</v>
      </c>
      <c r="BA108" s="49"/>
    </row>
    <row r="109" spans="2:53" outlineLevel="1" x14ac:dyDescent="0.3">
      <c r="B109" s="50" t="s">
        <v>751</v>
      </c>
      <c r="C109" s="51"/>
      <c r="D109" s="52" t="s">
        <v>847</v>
      </c>
      <c r="E109" s="53"/>
      <c r="F109" s="54"/>
      <c r="G109" s="54"/>
      <c r="H109" s="54"/>
      <c r="I109" s="54"/>
      <c r="J109" s="55"/>
      <c r="K109" s="55"/>
      <c r="L109" s="55">
        <v>0</v>
      </c>
      <c r="M109" s="55" t="s">
        <v>748</v>
      </c>
      <c r="N109" s="56">
        <f t="shared" si="10"/>
        <v>4.3979999999999997</v>
      </c>
      <c r="O109" s="56">
        <v>4.3979999999999997</v>
      </c>
      <c r="P109" s="56">
        <f>$P$4</f>
        <v>0</v>
      </c>
      <c r="Q109" s="56" t="s">
        <v>10</v>
      </c>
      <c r="R109" s="59">
        <f>SUM(R108:$AR108)*$N109/100</f>
        <v>11412.282239999999</v>
      </c>
      <c r="S109" s="59">
        <f>SUM(S108:$AR108)*$N109/100</f>
        <v>9985.7469599999986</v>
      </c>
      <c r="T109" s="59">
        <f>SUM(T108:$AR108)*$N109/100</f>
        <v>8559.2116800000003</v>
      </c>
      <c r="U109" s="59">
        <f>SUM(U108:$AR108)*$N109/100</f>
        <v>7132.6763999999994</v>
      </c>
      <c r="V109" s="59">
        <f>SUM(V108:$AR108)*$N109/100</f>
        <v>5706.1411199999993</v>
      </c>
      <c r="W109" s="59">
        <f>SUM(W108:$AR108)*$N109/100</f>
        <v>4279.6058400000002</v>
      </c>
      <c r="X109" s="59">
        <f>SUM(X108:$AR108)*$N109/100</f>
        <v>2853.0705599999997</v>
      </c>
      <c r="Y109" s="59">
        <f>SUM(Y108:$AR108)*$N109/100</f>
        <v>1426.5352799999998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0</v>
      </c>
      <c r="AF109" s="59">
        <v>0</v>
      </c>
      <c r="AG109" s="59">
        <v>0</v>
      </c>
      <c r="AH109" s="59">
        <v>0</v>
      </c>
      <c r="AI109" s="59">
        <v>0</v>
      </c>
      <c r="AJ109" s="59">
        <v>0</v>
      </c>
      <c r="AK109" s="59">
        <v>0</v>
      </c>
      <c r="AL109" s="59">
        <v>0</v>
      </c>
      <c r="AM109" s="59">
        <v>0</v>
      </c>
      <c r="AN109" s="59">
        <v>0</v>
      </c>
      <c r="AO109" s="59">
        <v>0</v>
      </c>
      <c r="AP109" s="59">
        <v>0</v>
      </c>
      <c r="AQ109" s="59">
        <v>0</v>
      </c>
      <c r="AR109" s="59">
        <v>0</v>
      </c>
      <c r="AS109" s="59"/>
      <c r="AT109" s="59"/>
      <c r="AU109" s="60">
        <f t="shared" si="6"/>
        <v>51355.270079999995</v>
      </c>
      <c r="AV109" s="46">
        <f t="shared" si="7"/>
        <v>0</v>
      </c>
      <c r="AW109" s="61">
        <f t="shared" si="8"/>
        <v>1426.5352799999998</v>
      </c>
      <c r="AX109" s="62">
        <f t="shared" si="9"/>
        <v>51355.270079999995</v>
      </c>
      <c r="AZ109" s="33" t="b">
        <f t="shared" si="11"/>
        <v>1</v>
      </c>
    </row>
    <row r="110" spans="2:53" s="33" customFormat="1" outlineLevel="1" x14ac:dyDescent="0.3">
      <c r="B110" s="34" t="s">
        <v>750</v>
      </c>
      <c r="C110" s="35">
        <v>53</v>
      </c>
      <c r="D110" s="36" t="s">
        <v>848</v>
      </c>
      <c r="E110" s="37" t="s">
        <v>119</v>
      </c>
      <c r="F110" s="38" t="s">
        <v>120</v>
      </c>
      <c r="G110" s="38" t="s">
        <v>253</v>
      </c>
      <c r="H110" s="38" t="s">
        <v>252</v>
      </c>
      <c r="I110" s="38" t="s">
        <v>9</v>
      </c>
      <c r="J110" s="39">
        <v>292889</v>
      </c>
      <c r="K110" s="40">
        <v>126903.87</v>
      </c>
      <c r="L110" s="40"/>
      <c r="M110" s="40"/>
      <c r="N110" s="41"/>
      <c r="O110" s="41"/>
      <c r="P110" s="41"/>
      <c r="Q110" s="41" t="s">
        <v>8</v>
      </c>
      <c r="R110" s="44">
        <v>20200</v>
      </c>
      <c r="S110" s="44">
        <v>20200</v>
      </c>
      <c r="T110" s="44">
        <v>20200</v>
      </c>
      <c r="U110" s="44">
        <v>20200</v>
      </c>
      <c r="V110" s="44">
        <v>20200</v>
      </c>
      <c r="W110" s="44">
        <v>20200</v>
      </c>
      <c r="X110" s="44">
        <v>20200</v>
      </c>
      <c r="Y110" s="44">
        <v>20200</v>
      </c>
      <c r="Z110" s="44">
        <v>20200</v>
      </c>
      <c r="AA110" s="44">
        <v>20200</v>
      </c>
      <c r="AB110" s="44">
        <v>20200</v>
      </c>
      <c r="AC110" s="44">
        <v>20200</v>
      </c>
      <c r="AD110" s="44">
        <v>20200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/>
      <c r="AT110" s="44"/>
      <c r="AU110" s="45">
        <f t="shared" si="6"/>
        <v>262600</v>
      </c>
      <c r="AV110" s="46">
        <f t="shared" si="7"/>
        <v>0</v>
      </c>
      <c r="AW110" s="47">
        <f t="shared" si="8"/>
        <v>121200</v>
      </c>
      <c r="AX110" s="48">
        <f t="shared" si="9"/>
        <v>262600</v>
      </c>
      <c r="AZ110" s="33" t="b">
        <f t="shared" si="11"/>
        <v>1</v>
      </c>
      <c r="BA110" s="49"/>
    </row>
    <row r="111" spans="2:53" outlineLevel="1" x14ac:dyDescent="0.3">
      <c r="B111" s="50" t="s">
        <v>750</v>
      </c>
      <c r="C111" s="51"/>
      <c r="D111" s="52" t="s">
        <v>849</v>
      </c>
      <c r="E111" s="53"/>
      <c r="F111" s="54"/>
      <c r="G111" s="54"/>
      <c r="H111" s="54"/>
      <c r="I111" s="54"/>
      <c r="J111" s="55"/>
      <c r="K111" s="55"/>
      <c r="L111" s="55">
        <v>0</v>
      </c>
      <c r="M111" s="55" t="s">
        <v>748</v>
      </c>
      <c r="N111" s="56">
        <f t="shared" si="10"/>
        <v>4.6100000000000003</v>
      </c>
      <c r="O111" s="56">
        <v>4.6100000000000003</v>
      </c>
      <c r="P111" s="56">
        <f>$P$4</f>
        <v>0</v>
      </c>
      <c r="Q111" s="56" t="s">
        <v>10</v>
      </c>
      <c r="R111" s="59">
        <f>SUM(R110:$AR110)*$N111/100</f>
        <v>12105.86</v>
      </c>
      <c r="S111" s="59">
        <f>SUM(S110:$AR110)*$N111/100</f>
        <v>11174.64</v>
      </c>
      <c r="T111" s="59">
        <f>SUM(T110:$AR110)*$N111/100</f>
        <v>10243.420000000002</v>
      </c>
      <c r="U111" s="59">
        <f>SUM(U110:$AR110)*$N111/100</f>
        <v>9312.2000000000007</v>
      </c>
      <c r="V111" s="59">
        <f>SUM(V110:$AR110)*$N111/100</f>
        <v>8380.98</v>
      </c>
      <c r="W111" s="59">
        <f>SUM(W110:$AR110)*$N111/100</f>
        <v>7449.76</v>
      </c>
      <c r="X111" s="59">
        <f>SUM(X110:$AR110)*$N111/100</f>
        <v>6518.54</v>
      </c>
      <c r="Y111" s="59">
        <f>SUM(Y110:$AR110)*$N111/100</f>
        <v>5587.32</v>
      </c>
      <c r="Z111" s="59">
        <f>SUM(Z110:$AR110)*$N111/100</f>
        <v>4656.1000000000004</v>
      </c>
      <c r="AA111" s="59">
        <f>SUM(AA110:$AR110)*$N111/100</f>
        <v>3724.88</v>
      </c>
      <c r="AB111" s="59">
        <f>SUM(AB110:$AR110)*$N111/100</f>
        <v>2793.66</v>
      </c>
      <c r="AC111" s="59">
        <f>SUM(AC110:$AR110)*$N111/100</f>
        <v>1862.44</v>
      </c>
      <c r="AD111" s="59">
        <f>SUM(AD110:$AR110)*$N111/100</f>
        <v>931.22</v>
      </c>
      <c r="AE111" s="59">
        <v>0</v>
      </c>
      <c r="AF111" s="59">
        <v>0</v>
      </c>
      <c r="AG111" s="59">
        <v>0</v>
      </c>
      <c r="AH111" s="59">
        <v>0</v>
      </c>
      <c r="AI111" s="59">
        <v>0</v>
      </c>
      <c r="AJ111" s="59">
        <v>0</v>
      </c>
      <c r="AK111" s="59">
        <v>0</v>
      </c>
      <c r="AL111" s="59">
        <v>0</v>
      </c>
      <c r="AM111" s="59">
        <v>0</v>
      </c>
      <c r="AN111" s="59">
        <v>0</v>
      </c>
      <c r="AO111" s="59">
        <v>0</v>
      </c>
      <c r="AP111" s="59">
        <v>0</v>
      </c>
      <c r="AQ111" s="59">
        <v>0</v>
      </c>
      <c r="AR111" s="59">
        <v>0</v>
      </c>
      <c r="AS111" s="59"/>
      <c r="AT111" s="59"/>
      <c r="AU111" s="60">
        <f t="shared" si="6"/>
        <v>84741.020000000019</v>
      </c>
      <c r="AV111" s="46">
        <f t="shared" si="7"/>
        <v>0</v>
      </c>
      <c r="AW111" s="61">
        <f t="shared" si="8"/>
        <v>19555.62</v>
      </c>
      <c r="AX111" s="62">
        <f t="shared" si="9"/>
        <v>84741.01999999999</v>
      </c>
      <c r="AZ111" s="33" t="b">
        <f t="shared" si="11"/>
        <v>1</v>
      </c>
    </row>
    <row r="112" spans="2:53" s="33" customFormat="1" outlineLevel="1" x14ac:dyDescent="0.3">
      <c r="B112" s="34" t="s">
        <v>751</v>
      </c>
      <c r="C112" s="35">
        <v>54</v>
      </c>
      <c r="D112" s="36" t="s">
        <v>850</v>
      </c>
      <c r="E112" s="37" t="s">
        <v>123</v>
      </c>
      <c r="F112" s="38" t="s">
        <v>124</v>
      </c>
      <c r="G112" s="38" t="s">
        <v>256</v>
      </c>
      <c r="H112" s="38" t="s">
        <v>216</v>
      </c>
      <c r="I112" s="38" t="s">
        <v>9</v>
      </c>
      <c r="J112" s="39">
        <v>495501</v>
      </c>
      <c r="K112" s="65">
        <v>296400.88</v>
      </c>
      <c r="L112" s="40"/>
      <c r="M112" s="40"/>
      <c r="N112" s="41"/>
      <c r="O112" s="41"/>
      <c r="P112" s="41"/>
      <c r="Q112" s="41" t="s">
        <v>8</v>
      </c>
      <c r="R112" s="44">
        <v>34772</v>
      </c>
      <c r="S112" s="44">
        <v>34772</v>
      </c>
      <c r="T112" s="44">
        <v>34772</v>
      </c>
      <c r="U112" s="44">
        <v>34772</v>
      </c>
      <c r="V112" s="44">
        <v>34772</v>
      </c>
      <c r="W112" s="44">
        <v>34772</v>
      </c>
      <c r="X112" s="44">
        <v>34772</v>
      </c>
      <c r="Y112" s="44">
        <v>34772</v>
      </c>
      <c r="Z112" s="44">
        <v>34772</v>
      </c>
      <c r="AA112" s="44">
        <v>34772</v>
      </c>
      <c r="AB112" s="44">
        <v>34772</v>
      </c>
      <c r="AC112" s="44">
        <v>34772</v>
      </c>
      <c r="AD112" s="44">
        <v>34772</v>
      </c>
      <c r="AE112" s="44">
        <v>17386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/>
      <c r="AT112" s="44"/>
      <c r="AU112" s="45">
        <f t="shared" si="6"/>
        <v>469422</v>
      </c>
      <c r="AV112" s="46">
        <f t="shared" si="7"/>
        <v>0</v>
      </c>
      <c r="AW112" s="47">
        <f t="shared" si="8"/>
        <v>226018</v>
      </c>
      <c r="AX112" s="48">
        <f t="shared" si="9"/>
        <v>469422</v>
      </c>
      <c r="AZ112" s="33" t="b">
        <f t="shared" si="11"/>
        <v>1</v>
      </c>
      <c r="BA112" s="49"/>
    </row>
    <row r="113" spans="2:53" outlineLevel="1" x14ac:dyDescent="0.3">
      <c r="B113" s="50" t="s">
        <v>751</v>
      </c>
      <c r="C113" s="51"/>
      <c r="D113" s="52" t="s">
        <v>851</v>
      </c>
      <c r="E113" s="53"/>
      <c r="F113" s="54"/>
      <c r="G113" s="54"/>
      <c r="H113" s="54"/>
      <c r="I113" s="54"/>
      <c r="J113" s="55"/>
      <c r="K113" s="63"/>
      <c r="L113" s="55" t="s">
        <v>255</v>
      </c>
      <c r="M113" s="55"/>
      <c r="N113" s="56">
        <f t="shared" si="10"/>
        <v>4.9909999999999997</v>
      </c>
      <c r="O113" s="56">
        <v>4.9909999999999997</v>
      </c>
      <c r="P113" s="56">
        <f>$P$4</f>
        <v>0</v>
      </c>
      <c r="Q113" s="56" t="s">
        <v>10</v>
      </c>
      <c r="R113" s="59">
        <f>SUM(R112:$AR112)*$N113/100</f>
        <v>23428.852020000002</v>
      </c>
      <c r="S113" s="59">
        <f>SUM(S112:$AR112)*$N113/100</f>
        <v>21693.3815</v>
      </c>
      <c r="T113" s="59">
        <f>SUM(T112:$AR112)*$N113/100</f>
        <v>19957.910979999997</v>
      </c>
      <c r="U113" s="59">
        <f>SUM(U112:$AR112)*$N113/100</f>
        <v>18222.440459999998</v>
      </c>
      <c r="V113" s="59">
        <f>SUM(V112:$AR112)*$N113/100</f>
        <v>16486.969939999999</v>
      </c>
      <c r="W113" s="59">
        <f>SUM(W112:$AR112)*$N113/100</f>
        <v>14751.499419999998</v>
      </c>
      <c r="X113" s="59">
        <f>SUM(X112:$AR112)*$N113/100</f>
        <v>13016.028899999999</v>
      </c>
      <c r="Y113" s="59">
        <f>SUM(Y112:$AR112)*$N113/100</f>
        <v>11280.55838</v>
      </c>
      <c r="Z113" s="59">
        <f>SUM(Z112:$AR112)*$N113/100</f>
        <v>9545.0878599999996</v>
      </c>
      <c r="AA113" s="59">
        <f>SUM(AA112:$AR112)*$N113/100</f>
        <v>7809.6173399999998</v>
      </c>
      <c r="AB113" s="59">
        <f>SUM(AB112:$AR112)*$N113/100</f>
        <v>6074.146819999999</v>
      </c>
      <c r="AC113" s="59">
        <f>SUM(AC112:$AR112)*$N113/100</f>
        <v>4338.6762999999992</v>
      </c>
      <c r="AD113" s="59">
        <f>SUM(AD112:$AR112)*$N113/100</f>
        <v>2603.2057799999998</v>
      </c>
      <c r="AE113" s="59">
        <f>SUM(AE112:$AR112)*$N113/100</f>
        <v>867.73525999999993</v>
      </c>
      <c r="AF113" s="59">
        <v>0</v>
      </c>
      <c r="AG113" s="59">
        <v>0</v>
      </c>
      <c r="AH113" s="59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59">
        <v>0</v>
      </c>
      <c r="AO113" s="59">
        <v>0</v>
      </c>
      <c r="AP113" s="59">
        <v>0</v>
      </c>
      <c r="AQ113" s="59">
        <v>0</v>
      </c>
      <c r="AR113" s="59">
        <v>0</v>
      </c>
      <c r="AS113" s="59"/>
      <c r="AT113" s="59"/>
      <c r="AU113" s="60">
        <f t="shared" si="6"/>
        <v>170076.11095999993</v>
      </c>
      <c r="AV113" s="46">
        <f t="shared" si="7"/>
        <v>0</v>
      </c>
      <c r="AW113" s="61">
        <f t="shared" si="8"/>
        <v>42519.027739999998</v>
      </c>
      <c r="AX113" s="62">
        <f t="shared" si="9"/>
        <v>170076.11095999999</v>
      </c>
      <c r="AZ113" s="33" t="b">
        <f t="shared" si="11"/>
        <v>1</v>
      </c>
    </row>
    <row r="114" spans="2:53" s="70" customFormat="1" x14ac:dyDescent="0.3">
      <c r="B114" s="66" t="s">
        <v>750</v>
      </c>
      <c r="C114" s="67">
        <v>55</v>
      </c>
      <c r="D114" s="68" t="s">
        <v>854</v>
      </c>
      <c r="E114" s="37" t="s">
        <v>717</v>
      </c>
      <c r="F114" s="37" t="s">
        <v>718</v>
      </c>
      <c r="G114" s="69">
        <v>45159</v>
      </c>
      <c r="H114" s="37" t="s">
        <v>719</v>
      </c>
      <c r="I114" s="37" t="s">
        <v>9</v>
      </c>
      <c r="J114" s="39">
        <v>287500</v>
      </c>
      <c r="K114" s="40">
        <v>0</v>
      </c>
      <c r="L114" s="40"/>
      <c r="M114" s="40"/>
      <c r="N114" s="41"/>
      <c r="O114" s="41"/>
      <c r="P114" s="41"/>
      <c r="Q114" s="41" t="s">
        <v>8</v>
      </c>
      <c r="R114" s="44">
        <v>31084</v>
      </c>
      <c r="S114" s="44">
        <v>31084</v>
      </c>
      <c r="T114" s="44">
        <v>31084</v>
      </c>
      <c r="U114" s="44">
        <v>31084</v>
      </c>
      <c r="V114" s="44">
        <v>31084</v>
      </c>
      <c r="W114" s="44">
        <v>31084</v>
      </c>
      <c r="X114" s="44">
        <v>31084</v>
      </c>
      <c r="Y114" s="44">
        <v>31084</v>
      </c>
      <c r="Z114" s="44">
        <v>23286</v>
      </c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5">
        <f t="shared" si="6"/>
        <v>271958</v>
      </c>
      <c r="AV114" s="46">
        <f t="shared" si="7"/>
        <v>0</v>
      </c>
      <c r="AW114" s="47">
        <f t="shared" si="8"/>
        <v>54370</v>
      </c>
      <c r="AX114" s="48">
        <f t="shared" si="9"/>
        <v>271958</v>
      </c>
      <c r="AZ114" s="70" t="b">
        <f t="shared" si="11"/>
        <v>1</v>
      </c>
      <c r="BA114" s="71"/>
    </row>
    <row r="115" spans="2:53" s="13" customFormat="1" x14ac:dyDescent="0.3">
      <c r="B115" s="72" t="s">
        <v>750</v>
      </c>
      <c r="C115" s="73"/>
      <c r="D115" s="74" t="s">
        <v>855</v>
      </c>
      <c r="E115" s="53"/>
      <c r="F115" s="53"/>
      <c r="G115" s="53"/>
      <c r="H115" s="53"/>
      <c r="I115" s="53"/>
      <c r="J115" s="55"/>
      <c r="K115" s="55"/>
      <c r="L115" s="55"/>
      <c r="M115" s="55"/>
      <c r="N115" s="56">
        <f t="shared" si="10"/>
        <v>4.2270000000000003</v>
      </c>
      <c r="O115" s="56">
        <v>4.2270000000000003</v>
      </c>
      <c r="P115" s="56">
        <f>$P$4</f>
        <v>0</v>
      </c>
      <c r="Q115" s="56" t="s">
        <v>10</v>
      </c>
      <c r="R115" s="59">
        <f>SUM(R114:$AR114)*$N115/100</f>
        <v>11495.66466</v>
      </c>
      <c r="S115" s="59">
        <f>SUM(S114:$AR114)*$N115/100</f>
        <v>10181.743980000001</v>
      </c>
      <c r="T115" s="59">
        <f>SUM(T114:$AR114)*$N115/100</f>
        <v>8867.8233</v>
      </c>
      <c r="U115" s="59">
        <f>SUM(U114:$AR114)*$N115/100</f>
        <v>7553.9026200000008</v>
      </c>
      <c r="V115" s="59">
        <f>SUM(V114:$AR114)*$N115/100</f>
        <v>6239.9819400000006</v>
      </c>
      <c r="W115" s="59">
        <f>SUM(W114:$AR114)*$N115/100</f>
        <v>4926.0612600000004</v>
      </c>
      <c r="X115" s="59">
        <f>SUM(X114:$AR114)*$N115/100</f>
        <v>3612.1405800000002</v>
      </c>
      <c r="Y115" s="59">
        <f>SUM(Y114:$AR114)*$N115/100</f>
        <v>2298.2199000000001</v>
      </c>
      <c r="Z115" s="59">
        <f>SUM(Z114:$AR114)*$N115/100</f>
        <v>984.2992200000001</v>
      </c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60">
        <f t="shared" si="6"/>
        <v>56159.83746000001</v>
      </c>
      <c r="AV115" s="46">
        <f t="shared" si="7"/>
        <v>0</v>
      </c>
      <c r="AW115" s="61">
        <f t="shared" si="8"/>
        <v>3282.5191199999999</v>
      </c>
      <c r="AX115" s="62">
        <f t="shared" si="9"/>
        <v>56159.837460000002</v>
      </c>
      <c r="AZ115" s="70" t="b">
        <f t="shared" si="11"/>
        <v>1</v>
      </c>
    </row>
    <row r="116" spans="2:53" s="70" customFormat="1" x14ac:dyDescent="0.3">
      <c r="B116" s="66" t="s">
        <v>750</v>
      </c>
      <c r="C116" s="67">
        <v>56</v>
      </c>
      <c r="D116" s="68" t="s">
        <v>856</v>
      </c>
      <c r="E116" s="37" t="s">
        <v>779</v>
      </c>
      <c r="F116" s="37" t="s">
        <v>780</v>
      </c>
      <c r="G116" s="69">
        <v>45215</v>
      </c>
      <c r="H116" s="69">
        <v>49572</v>
      </c>
      <c r="I116" s="37" t="s">
        <v>9</v>
      </c>
      <c r="J116" s="39">
        <v>353750</v>
      </c>
      <c r="K116" s="40">
        <v>353750</v>
      </c>
      <c r="L116" s="40"/>
      <c r="M116" s="40"/>
      <c r="N116" s="41"/>
      <c r="O116" s="41"/>
      <c r="P116" s="41"/>
      <c r="Q116" s="41" t="s">
        <v>8</v>
      </c>
      <c r="R116" s="44">
        <f t="shared" ref="R116:AA116" si="12">7527*4</f>
        <v>30108</v>
      </c>
      <c r="S116" s="44">
        <f t="shared" si="12"/>
        <v>30108</v>
      </c>
      <c r="T116" s="44">
        <f t="shared" si="12"/>
        <v>30108</v>
      </c>
      <c r="U116" s="44">
        <f t="shared" si="12"/>
        <v>30108</v>
      </c>
      <c r="V116" s="44">
        <f t="shared" si="12"/>
        <v>30108</v>
      </c>
      <c r="W116" s="44">
        <f t="shared" si="12"/>
        <v>30108</v>
      </c>
      <c r="X116" s="44">
        <f t="shared" si="12"/>
        <v>30108</v>
      </c>
      <c r="Y116" s="44">
        <f t="shared" si="12"/>
        <v>30108</v>
      </c>
      <c r="Z116" s="44">
        <f t="shared" si="12"/>
        <v>30108</v>
      </c>
      <c r="AA116" s="44">
        <f t="shared" si="12"/>
        <v>30108</v>
      </c>
      <c r="AB116" s="44">
        <f>7527*2+7508</f>
        <v>22562</v>
      </c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5">
        <f t="shared" si="6"/>
        <v>323642</v>
      </c>
      <c r="AV116" s="46">
        <f t="shared" si="7"/>
        <v>0</v>
      </c>
      <c r="AW116" s="47">
        <f t="shared" si="8"/>
        <v>112886</v>
      </c>
      <c r="AX116" s="48">
        <f t="shared" si="9"/>
        <v>323642</v>
      </c>
      <c r="AZ116" s="70" t="b">
        <f t="shared" si="11"/>
        <v>1</v>
      </c>
      <c r="BA116" s="71"/>
    </row>
    <row r="117" spans="2:53" s="13" customFormat="1" x14ac:dyDescent="0.3">
      <c r="B117" s="72" t="s">
        <v>750</v>
      </c>
      <c r="C117" s="73"/>
      <c r="D117" s="74" t="s">
        <v>857</v>
      </c>
      <c r="E117" s="53"/>
      <c r="F117" s="53"/>
      <c r="G117" s="53"/>
      <c r="H117" s="53"/>
      <c r="I117" s="53"/>
      <c r="J117" s="55"/>
      <c r="K117" s="55"/>
      <c r="L117" s="55"/>
      <c r="M117" s="55"/>
      <c r="N117" s="56">
        <f t="shared" si="10"/>
        <v>4.5910000000000002</v>
      </c>
      <c r="O117" s="56">
        <v>4.5910000000000002</v>
      </c>
      <c r="P117" s="56"/>
      <c r="Q117" s="56" t="s">
        <v>10</v>
      </c>
      <c r="R117" s="59">
        <f>SUM(R116:$AR116)*$N117/100</f>
        <v>14858.40422</v>
      </c>
      <c r="S117" s="59">
        <f>SUM(S116:$AR116)*$N117/100</f>
        <v>13476.14594</v>
      </c>
      <c r="T117" s="59">
        <f>SUM(T116:$AR116)*$N117/100</f>
        <v>12093.88766</v>
      </c>
      <c r="U117" s="59">
        <f>SUM(U116:$AR116)*$N117/100</f>
        <v>10711.62938</v>
      </c>
      <c r="V117" s="59">
        <f>SUM(V116:$AR116)*$N117/100</f>
        <v>9329.3711000000003</v>
      </c>
      <c r="W117" s="59">
        <f>SUM(W116:$AR116)*$N117/100</f>
        <v>7947.1128200000003</v>
      </c>
      <c r="X117" s="59">
        <f>SUM(X116:$AR116)*$N117/100</f>
        <v>6564.8545400000003</v>
      </c>
      <c r="Y117" s="59">
        <f>SUM(Y116:$AR116)*$N117/100</f>
        <v>5182.5962600000003</v>
      </c>
      <c r="Z117" s="59">
        <f>SUM(Z116:$AR116)*$N117/100</f>
        <v>3800.3379800000002</v>
      </c>
      <c r="AA117" s="59">
        <f>SUM(AA116:$AR116)*$N117/100</f>
        <v>2418.0797000000002</v>
      </c>
      <c r="AB117" s="59">
        <f>SUM(AB116:$AR116)*$N117/100</f>
        <v>1035.82142</v>
      </c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60">
        <f t="shared" si="6"/>
        <v>87418.241019999987</v>
      </c>
      <c r="AV117" s="46">
        <f t="shared" si="7"/>
        <v>0</v>
      </c>
      <c r="AW117" s="61">
        <f t="shared" si="8"/>
        <v>12436.835360000001</v>
      </c>
      <c r="AX117" s="62">
        <f t="shared" si="9"/>
        <v>87418.241019999987</v>
      </c>
      <c r="AZ117" s="70" t="b">
        <f t="shared" si="11"/>
        <v>1</v>
      </c>
    </row>
    <row r="118" spans="2:53" s="70" customFormat="1" x14ac:dyDescent="0.3">
      <c r="B118" s="66"/>
      <c r="C118" s="67">
        <v>57</v>
      </c>
      <c r="D118" s="68" t="s">
        <v>798</v>
      </c>
      <c r="E118" s="37" t="s">
        <v>872</v>
      </c>
      <c r="F118" s="37"/>
      <c r="G118" s="69">
        <v>45561</v>
      </c>
      <c r="H118" s="69">
        <v>49207</v>
      </c>
      <c r="I118" s="37" t="s">
        <v>9</v>
      </c>
      <c r="J118" s="39">
        <v>729424</v>
      </c>
      <c r="K118" s="40"/>
      <c r="L118" s="40"/>
      <c r="M118" s="40"/>
      <c r="N118" s="41"/>
      <c r="O118" s="41"/>
      <c r="P118" s="41"/>
      <c r="Q118" s="41" t="s">
        <v>8</v>
      </c>
      <c r="R118" s="44">
        <f>$J$118/10/2</f>
        <v>36471.199999999997</v>
      </c>
      <c r="S118" s="44">
        <f t="shared" ref="S118:AA118" si="13">$J$118/10</f>
        <v>72942.399999999994</v>
      </c>
      <c r="T118" s="44">
        <f t="shared" si="13"/>
        <v>72942.399999999994</v>
      </c>
      <c r="U118" s="44">
        <f t="shared" si="13"/>
        <v>72942.399999999994</v>
      </c>
      <c r="V118" s="44">
        <f t="shared" si="13"/>
        <v>72942.399999999994</v>
      </c>
      <c r="W118" s="44">
        <f t="shared" si="13"/>
        <v>72942.399999999994</v>
      </c>
      <c r="X118" s="44">
        <f t="shared" si="13"/>
        <v>72942.399999999994</v>
      </c>
      <c r="Y118" s="44">
        <f t="shared" si="13"/>
        <v>72942.399999999994</v>
      </c>
      <c r="Z118" s="44">
        <f t="shared" si="13"/>
        <v>72942.399999999994</v>
      </c>
      <c r="AA118" s="44">
        <f t="shared" si="13"/>
        <v>72942.399999999994</v>
      </c>
      <c r="AB118" s="44">
        <f>$J$118/10/2</f>
        <v>36471.199999999997</v>
      </c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5">
        <f>SUM(R118:AT118)</f>
        <v>729424</v>
      </c>
      <c r="AV118" s="46">
        <f>AU118-SUM(R118:AT118)</f>
        <v>0</v>
      </c>
      <c r="AW118" s="47">
        <f>SUM(Y118:AT118)</f>
        <v>255298.39999999997</v>
      </c>
      <c r="AX118" s="48">
        <f>SUM(R118:X118,AW118)</f>
        <v>729424</v>
      </c>
      <c r="AZ118" s="70" t="b">
        <f>AU118=AX118</f>
        <v>1</v>
      </c>
      <c r="BA118" s="71"/>
    </row>
    <row r="119" spans="2:53" s="13" customFormat="1" x14ac:dyDescent="0.3">
      <c r="B119" s="72"/>
      <c r="C119" s="73"/>
      <c r="D119" s="74" t="s">
        <v>799</v>
      </c>
      <c r="E119" s="53"/>
      <c r="F119" s="53"/>
      <c r="G119" s="53"/>
      <c r="H119" s="53"/>
      <c r="I119" s="53"/>
      <c r="J119" s="55"/>
      <c r="K119" s="55"/>
      <c r="L119" s="55"/>
      <c r="M119" s="55"/>
      <c r="N119" s="56">
        <f t="shared" ref="N119" si="14">SUM(O119:P119)</f>
        <v>3.976</v>
      </c>
      <c r="O119" s="56">
        <v>3.976</v>
      </c>
      <c r="P119" s="56">
        <f>$P$4</f>
        <v>0</v>
      </c>
      <c r="Q119" s="56" t="s">
        <v>10</v>
      </c>
      <c r="R119" s="59">
        <f>SUM(R118:$AR118)*$N119/100</f>
        <v>29001.898239999999</v>
      </c>
      <c r="S119" s="59">
        <f>SUM(S118:$AR118)*$N119/100</f>
        <v>27551.803327999998</v>
      </c>
      <c r="T119" s="59">
        <f>SUM(T118:$AR118)*$N119/100</f>
        <v>24651.613503999997</v>
      </c>
      <c r="U119" s="59">
        <f>SUM(U118:$AR118)*$N119/100</f>
        <v>21751.423679999996</v>
      </c>
      <c r="V119" s="59">
        <f>SUM(V118:$AR118)*$N119/100</f>
        <v>18851.233856000003</v>
      </c>
      <c r="W119" s="59">
        <f>SUM(W118:$AR118)*$N119/100</f>
        <v>15951.044032</v>
      </c>
      <c r="X119" s="59">
        <f>SUM(X118:$AR118)*$N119/100</f>
        <v>13050.854207999999</v>
      </c>
      <c r="Y119" s="59">
        <f>SUM(Y118:$AR118)*$N119/100</f>
        <v>10150.664383999998</v>
      </c>
      <c r="Z119" s="59">
        <f>SUM(Z118:$AR118)*$N119/100</f>
        <v>7250.4745599999997</v>
      </c>
      <c r="AA119" s="59">
        <f>SUM(AA118:$AR118)*$N119/100</f>
        <v>4350.2847359999996</v>
      </c>
      <c r="AB119" s="59">
        <f>SUM(AB118:$AR118)*$N119/100</f>
        <v>1450.0949119999998</v>
      </c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60">
        <f>SUM(R119:AT119)</f>
        <v>174011.38944</v>
      </c>
      <c r="AV119" s="46">
        <f>AU119-SUM(R119:AT119)</f>
        <v>0</v>
      </c>
      <c r="AW119" s="61">
        <f>SUM(Y119:AT119)</f>
        <v>23201.518592</v>
      </c>
      <c r="AX119" s="62">
        <f>SUM(R119:X119,AW119)</f>
        <v>174011.38944</v>
      </c>
      <c r="AZ119" s="70" t="b">
        <f>AU119=AX119</f>
        <v>1</v>
      </c>
    </row>
    <row r="120" spans="2:53" s="147" customFormat="1" x14ac:dyDescent="0.3">
      <c r="B120" s="136" t="s">
        <v>750</v>
      </c>
      <c r="C120" s="137">
        <v>58</v>
      </c>
      <c r="D120" s="160" t="s">
        <v>773</v>
      </c>
      <c r="E120" s="138" t="s">
        <v>752</v>
      </c>
      <c r="F120" s="138"/>
      <c r="G120" s="138">
        <v>2024</v>
      </c>
      <c r="H120" s="138">
        <v>2029</v>
      </c>
      <c r="I120" s="138" t="s">
        <v>9</v>
      </c>
      <c r="J120" s="170">
        <v>123379.93</v>
      </c>
      <c r="K120" s="170"/>
      <c r="L120" s="170"/>
      <c r="M120" s="170"/>
      <c r="N120" s="171"/>
      <c r="O120" s="171"/>
      <c r="P120" s="171"/>
      <c r="Q120" s="172" t="s">
        <v>8</v>
      </c>
      <c r="R120" s="174">
        <f>$J$120/4/4*3</f>
        <v>23133.736874999999</v>
      </c>
      <c r="S120" s="174">
        <f>$J$120/4</f>
        <v>30844.982499999998</v>
      </c>
      <c r="T120" s="174">
        <f>$J$120/4</f>
        <v>30844.982499999998</v>
      </c>
      <c r="U120" s="174">
        <f>$J$120/4</f>
        <v>30844.982499999998</v>
      </c>
      <c r="V120" s="174">
        <f>$J$120/4/4</f>
        <v>7711.2456249999996</v>
      </c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44">
        <f>SUM(R120:AT120)</f>
        <v>123379.93</v>
      </c>
      <c r="AV120" s="145">
        <f>AU120-SUM(R120:AT120)</f>
        <v>0</v>
      </c>
      <c r="AW120" s="175">
        <f>SUM(Y120:AT120)</f>
        <v>0</v>
      </c>
      <c r="AX120" s="144">
        <f>SUM(R120:X120,AW120)</f>
        <v>123379.93</v>
      </c>
      <c r="AZ120" s="148" t="b">
        <f>AU120=AX120</f>
        <v>1</v>
      </c>
      <c r="BA120" s="149"/>
    </row>
    <row r="121" spans="2:53" s="147" customFormat="1" x14ac:dyDescent="0.3">
      <c r="B121" s="150" t="s">
        <v>750</v>
      </c>
      <c r="C121" s="151"/>
      <c r="D121" s="191"/>
      <c r="E121" s="152"/>
      <c r="F121" s="152"/>
      <c r="G121" s="152"/>
      <c r="H121" s="152"/>
      <c r="I121" s="152"/>
      <c r="J121" s="176"/>
      <c r="K121" s="176"/>
      <c r="L121" s="176"/>
      <c r="M121" s="176"/>
      <c r="N121" s="177">
        <f>SUM(O121:P121)</f>
        <v>3.5630000000000002</v>
      </c>
      <c r="O121" s="177">
        <f>1+2.563</f>
        <v>3.5630000000000002</v>
      </c>
      <c r="P121" s="177">
        <f>$P$4</f>
        <v>0</v>
      </c>
      <c r="Q121" s="177" t="s">
        <v>10</v>
      </c>
      <c r="R121" s="179">
        <f>SUM(R120:$AR120)*$N121/100</f>
        <v>4396.0269059000002</v>
      </c>
      <c r="S121" s="179">
        <f>SUM(S120:$AR120)*$N121/100</f>
        <v>3571.7718610437501</v>
      </c>
      <c r="T121" s="179">
        <f>SUM(T120:$AR120)*$N121/100</f>
        <v>2472.76513456875</v>
      </c>
      <c r="U121" s="179">
        <f>SUM(U120:$AR120)*$N121/100</f>
        <v>1373.7584080937499</v>
      </c>
      <c r="V121" s="179">
        <f>SUM(V120:$AR120)*$N121/100</f>
        <v>274.75168161875001</v>
      </c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57">
        <f>SUM(R121:AT121)</f>
        <v>12089.073991225001</v>
      </c>
      <c r="AV121" s="145">
        <f>AU121-SUM(R121:AT121)</f>
        <v>0</v>
      </c>
      <c r="AW121" s="180">
        <f>SUM(Y121:AT121)</f>
        <v>0</v>
      </c>
      <c r="AX121" s="157">
        <f>SUM(R121:X121,AW121)</f>
        <v>12089.073991225001</v>
      </c>
      <c r="AZ121" s="148" t="b">
        <f>AU121=AX121</f>
        <v>1</v>
      </c>
    </row>
    <row r="122" spans="2:53" s="147" customFormat="1" x14ac:dyDescent="0.3">
      <c r="B122" s="136" t="s">
        <v>751</v>
      </c>
      <c r="C122" s="137">
        <v>59</v>
      </c>
      <c r="D122" s="160" t="s">
        <v>774</v>
      </c>
      <c r="E122" s="138" t="s">
        <v>752</v>
      </c>
      <c r="F122" s="138"/>
      <c r="G122" s="138">
        <v>2024</v>
      </c>
      <c r="H122" s="138">
        <v>2029</v>
      </c>
      <c r="I122" s="138" t="s">
        <v>9</v>
      </c>
      <c r="J122" s="139">
        <v>196584</v>
      </c>
      <c r="K122" s="139"/>
      <c r="L122" s="139"/>
      <c r="M122" s="139"/>
      <c r="N122" s="140"/>
      <c r="O122" s="140"/>
      <c r="P122" s="140"/>
      <c r="Q122" s="141" t="s">
        <v>8</v>
      </c>
      <c r="R122" s="143"/>
      <c r="S122" s="143">
        <f>$J$122/5</f>
        <v>39316.800000000003</v>
      </c>
      <c r="T122" s="143">
        <f t="shared" ref="T122:W122" si="15">$J$122/5</f>
        <v>39316.800000000003</v>
      </c>
      <c r="U122" s="143">
        <f t="shared" si="15"/>
        <v>39316.800000000003</v>
      </c>
      <c r="V122" s="143">
        <f t="shared" si="15"/>
        <v>39316.800000000003</v>
      </c>
      <c r="W122" s="143">
        <f t="shared" si="15"/>
        <v>39316.800000000003</v>
      </c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4">
        <f t="shared" si="6"/>
        <v>196584</v>
      </c>
      <c r="AV122" s="145">
        <f t="shared" si="7"/>
        <v>0</v>
      </c>
      <c r="AW122" s="146">
        <f t="shared" si="8"/>
        <v>0</v>
      </c>
      <c r="AX122" s="144">
        <f t="shared" si="9"/>
        <v>196584</v>
      </c>
      <c r="AZ122" s="148" t="b">
        <f t="shared" si="11"/>
        <v>1</v>
      </c>
      <c r="BA122" s="149"/>
    </row>
    <row r="123" spans="2:53" s="147" customFormat="1" x14ac:dyDescent="0.3">
      <c r="B123" s="150" t="s">
        <v>751</v>
      </c>
      <c r="C123" s="151"/>
      <c r="D123" s="191" t="s">
        <v>775</v>
      </c>
      <c r="E123" s="152"/>
      <c r="F123" s="152"/>
      <c r="G123" s="152"/>
      <c r="H123" s="152"/>
      <c r="I123" s="152"/>
      <c r="J123" s="153"/>
      <c r="K123" s="153"/>
      <c r="L123" s="153"/>
      <c r="M123" s="153"/>
      <c r="N123" s="154">
        <f t="shared" si="10"/>
        <v>3.5630000000000002</v>
      </c>
      <c r="O123" s="154">
        <f>1+2.563</f>
        <v>3.5630000000000002</v>
      </c>
      <c r="P123" s="154">
        <f>$P$4</f>
        <v>0</v>
      </c>
      <c r="Q123" s="154" t="s">
        <v>10</v>
      </c>
      <c r="R123" s="156">
        <f>SUM(R122:$AR122)*$N123/100</f>
        <v>7004.2879199999998</v>
      </c>
      <c r="S123" s="156">
        <f>SUM(S122:$AR122)*$N123/100</f>
        <v>7004.2879199999998</v>
      </c>
      <c r="T123" s="156">
        <f>SUM(T122:$AR122)*$N123/100</f>
        <v>5603.4303360000013</v>
      </c>
      <c r="U123" s="156">
        <f>SUM(U122:$AR122)*$N123/100</f>
        <v>4202.572752</v>
      </c>
      <c r="V123" s="156">
        <f>SUM(V122:$AR122)*$N123/100</f>
        <v>2801.7151680000006</v>
      </c>
      <c r="W123" s="156">
        <f>SUM(W122:$AR122)*$N123/100</f>
        <v>1400.8575840000003</v>
      </c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7">
        <f t="shared" si="6"/>
        <v>28017.151680000006</v>
      </c>
      <c r="AV123" s="145">
        <f t="shared" si="7"/>
        <v>0</v>
      </c>
      <c r="AW123" s="158">
        <f t="shared" si="8"/>
        <v>0</v>
      </c>
      <c r="AX123" s="157">
        <f t="shared" si="9"/>
        <v>28017.151680000006</v>
      </c>
      <c r="AZ123" s="148" t="b">
        <f t="shared" si="11"/>
        <v>1</v>
      </c>
    </row>
    <row r="124" spans="2:53" s="147" customFormat="1" x14ac:dyDescent="0.3">
      <c r="B124" s="136" t="s">
        <v>751</v>
      </c>
      <c r="C124" s="137">
        <v>60</v>
      </c>
      <c r="D124" s="160" t="s">
        <v>753</v>
      </c>
      <c r="E124" s="138" t="s">
        <v>752</v>
      </c>
      <c r="F124" s="138"/>
      <c r="G124" s="138">
        <v>2024</v>
      </c>
      <c r="H124" s="138">
        <v>2039</v>
      </c>
      <c r="I124" s="138" t="s">
        <v>9</v>
      </c>
      <c r="J124" s="139">
        <v>787514</v>
      </c>
      <c r="K124" s="139"/>
      <c r="L124" s="139"/>
      <c r="M124" s="139"/>
      <c r="N124" s="140"/>
      <c r="O124" s="140"/>
      <c r="P124" s="140"/>
      <c r="Q124" s="141" t="s">
        <v>8</v>
      </c>
      <c r="R124" s="143"/>
      <c r="S124" s="143"/>
      <c r="T124" s="143">
        <f>$J$124/15</f>
        <v>52500.933333333334</v>
      </c>
      <c r="U124" s="143">
        <f t="shared" ref="U124:AH124" si="16">$J$124/15</f>
        <v>52500.933333333334</v>
      </c>
      <c r="V124" s="143">
        <f t="shared" si="16"/>
        <v>52500.933333333334</v>
      </c>
      <c r="W124" s="143">
        <f t="shared" si="16"/>
        <v>52500.933333333334</v>
      </c>
      <c r="X124" s="143">
        <f t="shared" si="16"/>
        <v>52500.933333333334</v>
      </c>
      <c r="Y124" s="143">
        <f t="shared" si="16"/>
        <v>52500.933333333334</v>
      </c>
      <c r="Z124" s="143">
        <f t="shared" si="16"/>
        <v>52500.933333333334</v>
      </c>
      <c r="AA124" s="143">
        <f t="shared" si="16"/>
        <v>52500.933333333334</v>
      </c>
      <c r="AB124" s="143">
        <f t="shared" si="16"/>
        <v>52500.933333333334</v>
      </c>
      <c r="AC124" s="143">
        <f t="shared" si="16"/>
        <v>52500.933333333334</v>
      </c>
      <c r="AD124" s="143">
        <f t="shared" si="16"/>
        <v>52500.933333333334</v>
      </c>
      <c r="AE124" s="143">
        <f t="shared" si="16"/>
        <v>52500.933333333334</v>
      </c>
      <c r="AF124" s="143">
        <f t="shared" si="16"/>
        <v>52500.933333333334</v>
      </c>
      <c r="AG124" s="143">
        <f t="shared" si="16"/>
        <v>52500.933333333334</v>
      </c>
      <c r="AH124" s="143">
        <f t="shared" si="16"/>
        <v>52500.933333333334</v>
      </c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43"/>
      <c r="AT124" s="143"/>
      <c r="AU124" s="144">
        <f t="shared" si="6"/>
        <v>787514.00000000012</v>
      </c>
      <c r="AV124" s="145">
        <f t="shared" si="7"/>
        <v>0</v>
      </c>
      <c r="AW124" s="146">
        <f t="shared" si="8"/>
        <v>525009.33333333337</v>
      </c>
      <c r="AX124" s="144">
        <f t="shared" si="9"/>
        <v>787514</v>
      </c>
      <c r="AZ124" s="148" t="b">
        <f t="shared" si="11"/>
        <v>1</v>
      </c>
      <c r="BA124" s="149"/>
    </row>
    <row r="125" spans="2:53" s="147" customFormat="1" x14ac:dyDescent="0.3">
      <c r="B125" s="150" t="s">
        <v>751</v>
      </c>
      <c r="C125" s="151"/>
      <c r="D125" s="191"/>
      <c r="E125" s="152"/>
      <c r="F125" s="152"/>
      <c r="G125" s="152"/>
      <c r="H125" s="152"/>
      <c r="I125" s="152"/>
      <c r="J125" s="152"/>
      <c r="K125" s="153"/>
      <c r="L125" s="153"/>
      <c r="M125" s="153"/>
      <c r="N125" s="154">
        <f t="shared" ref="N125" si="17">SUM(O125:P125)</f>
        <v>4.0449999999999999</v>
      </c>
      <c r="O125" s="154">
        <f>1.482+2.563</f>
        <v>4.0449999999999999</v>
      </c>
      <c r="P125" s="154">
        <f>$P$4</f>
        <v>0</v>
      </c>
      <c r="Q125" s="154" t="s">
        <v>10</v>
      </c>
      <c r="R125" s="156">
        <f>SUM(R124:$AR124)*$N125/100</f>
        <v>31854.941300000002</v>
      </c>
      <c r="S125" s="156">
        <f>SUM(S124:$AR124)*$N125/100</f>
        <v>31854.941300000002</v>
      </c>
      <c r="T125" s="156">
        <f>SUM(T124:$AR124)*$N125/100</f>
        <v>31854.941300000002</v>
      </c>
      <c r="U125" s="156">
        <f>SUM(U124:$AR124)*$N125/100</f>
        <v>29731.278546666672</v>
      </c>
      <c r="V125" s="156">
        <f>SUM(V124:$AR124)*$N125/100</f>
        <v>27607.615793333338</v>
      </c>
      <c r="W125" s="156">
        <f>SUM(W124:$AR124)*$N125/100</f>
        <v>25483.953040000004</v>
      </c>
      <c r="X125" s="156">
        <f>SUM(X124:$AR124)*$N125/100</f>
        <v>23360.290286666666</v>
      </c>
      <c r="Y125" s="156">
        <f>SUM(Y124:$AR124)*$N125/100</f>
        <v>21236.627533333332</v>
      </c>
      <c r="Z125" s="156">
        <f>SUM(Z124:$AR124)*$N125/100</f>
        <v>19112.964780000002</v>
      </c>
      <c r="AA125" s="156">
        <f>SUM(AA124:$AR124)*$N125/100</f>
        <v>16989.302026666668</v>
      </c>
      <c r="AB125" s="156">
        <f>SUM(AB124:$AR124)*$N125/100</f>
        <v>14865.639273333336</v>
      </c>
      <c r="AC125" s="156">
        <f>SUM(AC124:$AR124)*$N125/100</f>
        <v>12741.976520000002</v>
      </c>
      <c r="AD125" s="156">
        <f>SUM(AD124:$AR124)*$N125/100</f>
        <v>10618.313766666666</v>
      </c>
      <c r="AE125" s="156">
        <f>SUM(AE124:$AR124)*$N125/100</f>
        <v>8494.6510133333322</v>
      </c>
      <c r="AF125" s="156">
        <f>SUM(AF124:$AR124)*$N125/100</f>
        <v>6370.9882599999992</v>
      </c>
      <c r="AG125" s="156">
        <f>SUM(AG124:$AR124)*$N125/100</f>
        <v>4247.3255066666661</v>
      </c>
      <c r="AH125" s="156">
        <f>SUM(AH124:$AR124)*$N125/100</f>
        <v>2123.6627533333331</v>
      </c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7">
        <f t="shared" si="6"/>
        <v>318549.41300000012</v>
      </c>
      <c r="AV125" s="145">
        <f t="shared" si="7"/>
        <v>0</v>
      </c>
      <c r="AW125" s="158">
        <f t="shared" si="8"/>
        <v>116801.45143333332</v>
      </c>
      <c r="AX125" s="157">
        <f t="shared" si="9"/>
        <v>318549.413</v>
      </c>
      <c r="AZ125" s="148" t="b">
        <f t="shared" si="11"/>
        <v>1</v>
      </c>
    </row>
    <row r="126" spans="2:53" s="147" customFormat="1" x14ac:dyDescent="0.3">
      <c r="B126" s="136" t="s">
        <v>750</v>
      </c>
      <c r="C126" s="137">
        <v>61</v>
      </c>
      <c r="D126" s="160" t="s">
        <v>776</v>
      </c>
      <c r="E126" s="138" t="s">
        <v>752</v>
      </c>
      <c r="F126" s="138"/>
      <c r="G126" s="138">
        <v>2025</v>
      </c>
      <c r="H126" s="138">
        <v>2045</v>
      </c>
      <c r="I126" s="138" t="s">
        <v>9</v>
      </c>
      <c r="J126" s="139">
        <v>9672043</v>
      </c>
      <c r="K126" s="139"/>
      <c r="L126" s="139"/>
      <c r="M126" s="139"/>
      <c r="N126" s="140"/>
      <c r="O126" s="140"/>
      <c r="P126" s="140"/>
      <c r="Q126" s="141" t="s">
        <v>8</v>
      </c>
      <c r="R126" s="143"/>
      <c r="S126" s="143"/>
      <c r="T126" s="143">
        <f>$J$126/18/2</f>
        <v>268667.86111111112</v>
      </c>
      <c r="U126" s="143">
        <f t="shared" ref="U126:AJ126" si="18">$J$126/18</f>
        <v>537335.72222222225</v>
      </c>
      <c r="V126" s="143">
        <f t="shared" si="18"/>
        <v>537335.72222222225</v>
      </c>
      <c r="W126" s="143">
        <f t="shared" si="18"/>
        <v>537335.72222222225</v>
      </c>
      <c r="X126" s="143">
        <f t="shared" si="18"/>
        <v>537335.72222222225</v>
      </c>
      <c r="Y126" s="143">
        <f t="shared" si="18"/>
        <v>537335.72222222225</v>
      </c>
      <c r="Z126" s="143">
        <f t="shared" si="18"/>
        <v>537335.72222222225</v>
      </c>
      <c r="AA126" s="143">
        <f t="shared" si="18"/>
        <v>537335.72222222225</v>
      </c>
      <c r="AB126" s="143">
        <f t="shared" si="18"/>
        <v>537335.72222222225</v>
      </c>
      <c r="AC126" s="143">
        <f t="shared" si="18"/>
        <v>537335.72222222225</v>
      </c>
      <c r="AD126" s="143">
        <f t="shared" si="18"/>
        <v>537335.72222222225</v>
      </c>
      <c r="AE126" s="143">
        <f t="shared" si="18"/>
        <v>537335.72222222225</v>
      </c>
      <c r="AF126" s="143">
        <f t="shared" si="18"/>
        <v>537335.72222222225</v>
      </c>
      <c r="AG126" s="143">
        <f t="shared" si="18"/>
        <v>537335.72222222225</v>
      </c>
      <c r="AH126" s="143">
        <f t="shared" si="18"/>
        <v>537335.72222222225</v>
      </c>
      <c r="AI126" s="143">
        <f t="shared" si="18"/>
        <v>537335.72222222225</v>
      </c>
      <c r="AJ126" s="143">
        <f t="shared" si="18"/>
        <v>537335.72222222225</v>
      </c>
      <c r="AK126" s="143">
        <f>$J$126/18+$J$126/18/2</f>
        <v>806003.58333333337</v>
      </c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4">
        <f>SUM(R126:AT126)</f>
        <v>9672042.9999999981</v>
      </c>
      <c r="AV126" s="145">
        <f t="shared" si="7"/>
        <v>0</v>
      </c>
      <c r="AW126" s="146">
        <f t="shared" si="8"/>
        <v>7254032.2499999981</v>
      </c>
      <c r="AX126" s="144">
        <f t="shared" si="9"/>
        <v>9672042.9999999981</v>
      </c>
      <c r="AZ126" s="148" t="b">
        <f t="shared" si="11"/>
        <v>1</v>
      </c>
      <c r="BA126" s="149"/>
    </row>
    <row r="127" spans="2:53" s="147" customFormat="1" x14ac:dyDescent="0.3">
      <c r="B127" s="150" t="s">
        <v>750</v>
      </c>
      <c r="C127" s="151"/>
      <c r="D127" s="152"/>
      <c r="E127" s="152"/>
      <c r="F127" s="152"/>
      <c r="G127" s="152"/>
      <c r="H127" s="152"/>
      <c r="I127" s="152"/>
      <c r="J127" s="153"/>
      <c r="K127" s="153"/>
      <c r="L127" s="153"/>
      <c r="M127" s="153"/>
      <c r="N127" s="154">
        <f t="shared" ref="N127" si="19">SUM(O127:P127)</f>
        <v>4.2860000000000005</v>
      </c>
      <c r="O127" s="154">
        <f>1.723+2.563</f>
        <v>4.2860000000000005</v>
      </c>
      <c r="P127" s="154">
        <f>$P$4</f>
        <v>0</v>
      </c>
      <c r="Q127" s="154" t="s">
        <v>10</v>
      </c>
      <c r="R127" s="156">
        <f>SUM(R126:$AR126)*$N127/100/4</f>
        <v>103635.94074499999</v>
      </c>
      <c r="S127" s="156">
        <f>SUM(S126:$AR126)*$N127/100</f>
        <v>414543.76297999994</v>
      </c>
      <c r="T127" s="156">
        <f>SUM(T126:$AR126)*$N127/100</f>
        <v>414543.76297999994</v>
      </c>
      <c r="U127" s="156">
        <f>SUM(U126:$AR126)*$N127/100</f>
        <v>403028.65845277777</v>
      </c>
      <c r="V127" s="156">
        <f>SUM(V126:$AR126)*$N127/100</f>
        <v>379998.44939833326</v>
      </c>
      <c r="W127" s="156">
        <f>SUM(W126:$AR126)*$N127/100</f>
        <v>356968.24034388887</v>
      </c>
      <c r="X127" s="156">
        <f>SUM(X126:$AR126)*$N127/100</f>
        <v>333938.03128944436</v>
      </c>
      <c r="Y127" s="156">
        <f>SUM(Y126:$AR126)*$N127/100</f>
        <v>310907.82223499997</v>
      </c>
      <c r="Z127" s="156">
        <f>SUM(Z126:$AR126)*$N127/100</f>
        <v>287877.61318055552</v>
      </c>
      <c r="AA127" s="156">
        <f>SUM(AA126:$AR126)*$N127/100</f>
        <v>264847.40412611107</v>
      </c>
      <c r="AB127" s="156">
        <f>SUM(AB126:$AR126)*$N127/100</f>
        <v>241817.19507166665</v>
      </c>
      <c r="AC127" s="156">
        <f>SUM(AC126:$AR126)*$N127/100</f>
        <v>218786.98601722223</v>
      </c>
      <c r="AD127" s="156">
        <f>SUM(AD126:$AR126)*$N127/100</f>
        <v>195756.77696277775</v>
      </c>
      <c r="AE127" s="156">
        <f>SUM(AE126:$AR126)*$N127/100</f>
        <v>172726.56790833335</v>
      </c>
      <c r="AF127" s="156">
        <f>SUM(AF126:$AR126)*$N127/100</f>
        <v>149696.3588538889</v>
      </c>
      <c r="AG127" s="156">
        <f>SUM(AG126:$AR126)*$N127/100</f>
        <v>126666.14979944447</v>
      </c>
      <c r="AH127" s="156">
        <f>SUM(AH126:$AR126)*$N127/100</f>
        <v>103635.94074500001</v>
      </c>
      <c r="AI127" s="156">
        <f>SUM(AI126:$AR126)*$N127/100</f>
        <v>80605.731690555564</v>
      </c>
      <c r="AJ127" s="156">
        <f>SUM(AJ126:$AR126)*$N127/100</f>
        <v>57575.52263611112</v>
      </c>
      <c r="AK127" s="156">
        <f>SUM(AK126:$AR126)*$N127/100</f>
        <v>34545.313581666669</v>
      </c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7">
        <f t="shared" ref="AU127" si="20">SUM(R127:AT127)</f>
        <v>4652102.2289977763</v>
      </c>
      <c r="AV127" s="159">
        <f t="shared" ref="AV127:AV132" si="21">AU127-SUM(R127:AT127)</f>
        <v>0</v>
      </c>
      <c r="AW127" s="158">
        <f t="shared" ref="AW127:AW132" si="22">SUM(Y127:AT127)</f>
        <v>2245445.3828083328</v>
      </c>
      <c r="AX127" s="157">
        <f t="shared" ref="AX127:AX132" si="23">SUM(R127:X127,AW127)</f>
        <v>4652102.2289977763</v>
      </c>
      <c r="AZ127" s="148" t="b">
        <f t="shared" si="11"/>
        <v>1</v>
      </c>
    </row>
    <row r="128" spans="2:53" x14ac:dyDescent="0.3">
      <c r="J128" s="75"/>
      <c r="K128" s="75"/>
      <c r="L128" s="75"/>
      <c r="M128" s="75"/>
      <c r="N128" s="76"/>
      <c r="O128" s="76"/>
      <c r="P128" s="76"/>
      <c r="Q128" s="77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159">
        <f t="shared" si="21"/>
        <v>0</v>
      </c>
      <c r="AW128" s="75">
        <f t="shared" si="22"/>
        <v>0</v>
      </c>
      <c r="AX128" s="75">
        <f t="shared" si="23"/>
        <v>0</v>
      </c>
      <c r="AZ128" s="33" t="b">
        <f t="shared" si="11"/>
        <v>1</v>
      </c>
    </row>
    <row r="129" spans="2:54" hidden="1" outlineLevel="1" x14ac:dyDescent="0.3">
      <c r="J129" s="80">
        <f>SUM(J6:J127)</f>
        <v>77781445.709999993</v>
      </c>
      <c r="K129" s="75"/>
      <c r="L129" s="75"/>
      <c r="M129" s="75"/>
      <c r="N129" s="76"/>
      <c r="O129" s="76"/>
      <c r="P129" s="76"/>
      <c r="Q129" s="76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159">
        <f t="shared" si="21"/>
        <v>0</v>
      </c>
      <c r="AW129" s="75">
        <f t="shared" si="22"/>
        <v>0</v>
      </c>
      <c r="AX129" s="75">
        <f t="shared" si="23"/>
        <v>0</v>
      </c>
      <c r="AZ129" s="33"/>
    </row>
    <row r="130" spans="2:54" s="33" customFormat="1" collapsed="1" x14ac:dyDescent="0.3">
      <c r="E130" s="70"/>
      <c r="H130" s="164"/>
      <c r="I130" s="81"/>
      <c r="J130" s="49"/>
      <c r="K130" s="82">
        <f>SUM(K6:K127)</f>
        <v>51722880.679999992</v>
      </c>
      <c r="L130" s="49"/>
      <c r="M130" s="49"/>
      <c r="N130" s="83">
        <f>AVERAGE(N7:N127)</f>
        <v>3.8633114754098359</v>
      </c>
      <c r="O130" s="84"/>
      <c r="P130" s="84"/>
      <c r="Q130" s="85" t="s">
        <v>8</v>
      </c>
      <c r="R130" s="88">
        <f t="shared" ref="R130:AA131" si="24">SUMIF($Q$6:$Q$127,$Q130,R$6:R$127)</f>
        <v>3467727.4268750004</v>
      </c>
      <c r="S130" s="88">
        <f t="shared" si="24"/>
        <v>3496018.3424999998</v>
      </c>
      <c r="T130" s="88">
        <f t="shared" si="24"/>
        <v>3658799.4369444437</v>
      </c>
      <c r="U130" s="88">
        <f t="shared" si="24"/>
        <v>3888691.9980555549</v>
      </c>
      <c r="V130" s="88">
        <f t="shared" si="24"/>
        <v>3807781.2611805554</v>
      </c>
      <c r="W130" s="88">
        <f t="shared" si="24"/>
        <v>3771007.015555555</v>
      </c>
      <c r="X130" s="88">
        <f t="shared" si="24"/>
        <v>3684687.8755555553</v>
      </c>
      <c r="Y130" s="88">
        <f t="shared" si="24"/>
        <v>3026060.765555555</v>
      </c>
      <c r="Z130" s="88">
        <f t="shared" si="24"/>
        <v>2822341.0355555555</v>
      </c>
      <c r="AA130" s="88">
        <f t="shared" si="24"/>
        <v>2465260.8155555557</v>
      </c>
      <c r="AB130" s="88">
        <f t="shared" ref="AB130:AK131" si="25">SUMIF($Q$6:$Q$127,$Q130,AB$6:AB$127)</f>
        <v>2329933.6155555556</v>
      </c>
      <c r="AC130" s="88">
        <f t="shared" si="25"/>
        <v>2164353.3655555556</v>
      </c>
      <c r="AD130" s="88">
        <f t="shared" si="25"/>
        <v>2053540.6555555556</v>
      </c>
      <c r="AE130" s="88">
        <f t="shared" si="25"/>
        <v>1919136.6555555556</v>
      </c>
      <c r="AF130" s="88">
        <f t="shared" si="25"/>
        <v>1847008.6555555556</v>
      </c>
      <c r="AG130" s="88">
        <f t="shared" si="25"/>
        <v>1805958.6955555556</v>
      </c>
      <c r="AH130" s="88">
        <f t="shared" si="25"/>
        <v>1781197.7255555557</v>
      </c>
      <c r="AI130" s="88">
        <f t="shared" si="25"/>
        <v>1721683.7222222222</v>
      </c>
      <c r="AJ130" s="88">
        <f t="shared" si="25"/>
        <v>1721683.7222222222</v>
      </c>
      <c r="AK130" s="88">
        <f t="shared" si="25"/>
        <v>1990351.5833333335</v>
      </c>
      <c r="AL130" s="88">
        <f t="shared" ref="AL130:AT131" si="26">SUMIF($Q$6:$Q$127,$Q130,AL$6:AL$127)</f>
        <v>1184348</v>
      </c>
      <c r="AM130" s="88">
        <f t="shared" si="26"/>
        <v>1184348</v>
      </c>
      <c r="AN130" s="88">
        <f t="shared" si="26"/>
        <v>1184348</v>
      </c>
      <c r="AO130" s="88">
        <f t="shared" si="26"/>
        <v>867315.83000000007</v>
      </c>
      <c r="AP130" s="88">
        <f t="shared" si="26"/>
        <v>452632</v>
      </c>
      <c r="AQ130" s="88">
        <f t="shared" si="26"/>
        <v>409981</v>
      </c>
      <c r="AR130" s="88">
        <f t="shared" si="26"/>
        <v>55587.92</v>
      </c>
      <c r="AS130" s="88">
        <f t="shared" si="26"/>
        <v>0</v>
      </c>
      <c r="AT130" s="88">
        <f t="shared" si="26"/>
        <v>0</v>
      </c>
      <c r="AU130" s="88">
        <f t="shared" ref="AU130:AU132" si="27">SUM(R130:AT130)</f>
        <v>58761785.119999997</v>
      </c>
      <c r="AV130" s="159">
        <f t="shared" si="21"/>
        <v>0</v>
      </c>
      <c r="AW130" s="88">
        <f t="shared" si="22"/>
        <v>32987071.763333336</v>
      </c>
      <c r="AX130" s="88">
        <f t="shared" si="23"/>
        <v>58761785.120000005</v>
      </c>
      <c r="AZ130" s="33" t="b">
        <f t="shared" si="11"/>
        <v>1</v>
      </c>
      <c r="BA130" s="49"/>
    </row>
    <row r="131" spans="2:54" x14ac:dyDescent="0.3">
      <c r="H131" s="164"/>
      <c r="J131" s="49"/>
      <c r="K131" s="17"/>
      <c r="L131" s="17"/>
      <c r="M131" s="17"/>
      <c r="Q131" s="89" t="s">
        <v>10</v>
      </c>
      <c r="R131" s="92">
        <f t="shared" si="24"/>
        <v>2158579.2681013006</v>
      </c>
      <c r="S131" s="92">
        <f t="shared" si="24"/>
        <v>2328007.9985424429</v>
      </c>
      <c r="T131" s="92">
        <f t="shared" si="24"/>
        <v>2185382.8702759692</v>
      </c>
      <c r="U131" s="92">
        <f t="shared" si="24"/>
        <v>2034518.0880995388</v>
      </c>
      <c r="V131" s="92">
        <f t="shared" si="24"/>
        <v>1873828.620725286</v>
      </c>
      <c r="W131" s="92">
        <f t="shared" si="24"/>
        <v>1716104.4325058889</v>
      </c>
      <c r="X131" s="92">
        <f t="shared" si="24"/>
        <v>1559857.2054581111</v>
      </c>
      <c r="Y131" s="92">
        <f t="shared" si="24"/>
        <v>1407325.5207931334</v>
      </c>
      <c r="Z131" s="92">
        <f t="shared" si="24"/>
        <v>1279375.5626973552</v>
      </c>
      <c r="AA131" s="92">
        <f t="shared" si="24"/>
        <v>1160260.1850918776</v>
      </c>
      <c r="AB131" s="92">
        <f t="shared" si="25"/>
        <v>1055711.6890472998</v>
      </c>
      <c r="AC131" s="92">
        <f t="shared" si="25"/>
        <v>956565.96985472227</v>
      </c>
      <c r="AD131" s="92">
        <f t="shared" si="25"/>
        <v>864346.43412814429</v>
      </c>
      <c r="AE131" s="92">
        <f t="shared" si="25"/>
        <v>776588.48676036671</v>
      </c>
      <c r="AF131" s="92">
        <f t="shared" si="25"/>
        <v>694707.06643258908</v>
      </c>
      <c r="AG131" s="92">
        <f t="shared" si="25"/>
        <v>615779.53282481118</v>
      </c>
      <c r="AH131" s="92">
        <f t="shared" si="25"/>
        <v>538548.92364343326</v>
      </c>
      <c r="AI131" s="92">
        <f t="shared" si="25"/>
        <v>462311.05094685557</v>
      </c>
      <c r="AJ131" s="92">
        <f t="shared" si="25"/>
        <v>388490.26785241114</v>
      </c>
      <c r="AK131" s="92">
        <f t="shared" si="25"/>
        <v>314669.48475796671</v>
      </c>
      <c r="AL131" s="92">
        <f t="shared" si="26"/>
        <v>229333.5971363</v>
      </c>
      <c r="AM131" s="92">
        <f t="shared" si="26"/>
        <v>178543.02309630002</v>
      </c>
      <c r="AN131" s="92">
        <f t="shared" si="26"/>
        <v>127752.44905629999</v>
      </c>
      <c r="AO131" s="92">
        <f t="shared" si="26"/>
        <v>76961.875016299993</v>
      </c>
      <c r="AP131" s="92">
        <f t="shared" si="26"/>
        <v>40201.341846000003</v>
      </c>
      <c r="AQ131" s="92">
        <f t="shared" si="26"/>
        <v>20490.842645999997</v>
      </c>
      <c r="AR131" s="92">
        <f t="shared" si="26"/>
        <v>2457.3924659999998</v>
      </c>
      <c r="AS131" s="92">
        <f t="shared" si="26"/>
        <v>0</v>
      </c>
      <c r="AT131" s="92">
        <f t="shared" si="26"/>
        <v>0</v>
      </c>
      <c r="AU131" s="92">
        <f t="shared" si="27"/>
        <v>25046699.179802701</v>
      </c>
      <c r="AV131" s="159">
        <f t="shared" si="21"/>
        <v>0</v>
      </c>
      <c r="AW131" s="92">
        <f t="shared" si="22"/>
        <v>11190420.696094166</v>
      </c>
      <c r="AX131" s="92">
        <f t="shared" si="23"/>
        <v>25046699.179802705</v>
      </c>
      <c r="AZ131" s="33" t="b">
        <f t="shared" si="11"/>
        <v>1</v>
      </c>
      <c r="BA131" s="49"/>
    </row>
    <row r="132" spans="2:54" s="70" customFormat="1" x14ac:dyDescent="0.3">
      <c r="H132" s="164"/>
      <c r="J132" s="49"/>
      <c r="Q132" s="85" t="s">
        <v>767</v>
      </c>
      <c r="R132" s="95">
        <f t="shared" ref="R132:AT132" si="28">SUM(R130:R131)</f>
        <v>5626306.6949763009</v>
      </c>
      <c r="S132" s="95">
        <f t="shared" si="28"/>
        <v>5824026.3410424422</v>
      </c>
      <c r="T132" s="95">
        <f t="shared" si="28"/>
        <v>5844182.3072204124</v>
      </c>
      <c r="U132" s="95">
        <f t="shared" si="28"/>
        <v>5923210.0861550942</v>
      </c>
      <c r="V132" s="95">
        <f t="shared" si="28"/>
        <v>5681609.8819058416</v>
      </c>
      <c r="W132" s="95">
        <f t="shared" si="28"/>
        <v>5487111.4480614439</v>
      </c>
      <c r="X132" s="95">
        <f t="shared" si="28"/>
        <v>5244545.0810136665</v>
      </c>
      <c r="Y132" s="95">
        <f t="shared" si="28"/>
        <v>4433386.2863486884</v>
      </c>
      <c r="Z132" s="95">
        <f t="shared" si="28"/>
        <v>4101716.5982529107</v>
      </c>
      <c r="AA132" s="95">
        <f t="shared" si="28"/>
        <v>3625521.0006474331</v>
      </c>
      <c r="AB132" s="95">
        <f t="shared" si="28"/>
        <v>3385645.3046028554</v>
      </c>
      <c r="AC132" s="95">
        <f t="shared" si="28"/>
        <v>3120919.3354102778</v>
      </c>
      <c r="AD132" s="95">
        <f t="shared" si="28"/>
        <v>2917887.0896836999</v>
      </c>
      <c r="AE132" s="95">
        <f t="shared" si="28"/>
        <v>2695725.1423159223</v>
      </c>
      <c r="AF132" s="95">
        <f t="shared" si="28"/>
        <v>2541715.7219881448</v>
      </c>
      <c r="AG132" s="95">
        <f t="shared" si="28"/>
        <v>2421738.2283803667</v>
      </c>
      <c r="AH132" s="95">
        <f t="shared" si="28"/>
        <v>2319746.6491989889</v>
      </c>
      <c r="AI132" s="95">
        <f t="shared" si="28"/>
        <v>2183994.7731690779</v>
      </c>
      <c r="AJ132" s="95">
        <f t="shared" si="28"/>
        <v>2110173.9900746336</v>
      </c>
      <c r="AK132" s="95">
        <f t="shared" si="28"/>
        <v>2305021.0680913003</v>
      </c>
      <c r="AL132" s="95">
        <f t="shared" si="28"/>
        <v>1413681.5971363001</v>
      </c>
      <c r="AM132" s="95">
        <f t="shared" si="28"/>
        <v>1362891.0230963</v>
      </c>
      <c r="AN132" s="95">
        <f t="shared" si="28"/>
        <v>1312100.4490562999</v>
      </c>
      <c r="AO132" s="95">
        <f t="shared" si="28"/>
        <v>944277.70501630008</v>
      </c>
      <c r="AP132" s="95">
        <f t="shared" si="28"/>
        <v>492833.341846</v>
      </c>
      <c r="AQ132" s="95">
        <f t="shared" si="28"/>
        <v>430471.84264599998</v>
      </c>
      <c r="AR132" s="95">
        <f t="shared" si="28"/>
        <v>58045.312465999996</v>
      </c>
      <c r="AS132" s="95">
        <f t="shared" si="28"/>
        <v>0</v>
      </c>
      <c r="AT132" s="95">
        <f t="shared" si="28"/>
        <v>0</v>
      </c>
      <c r="AU132" s="95">
        <f t="shared" si="27"/>
        <v>83808484.299802676</v>
      </c>
      <c r="AV132" s="159">
        <f t="shared" si="21"/>
        <v>0</v>
      </c>
      <c r="AW132" s="95">
        <f t="shared" si="22"/>
        <v>44177492.459427513</v>
      </c>
      <c r="AX132" s="95">
        <f t="shared" si="23"/>
        <v>83808484.299802721</v>
      </c>
      <c r="AZ132" s="33" t="b">
        <f t="shared" ref="AZ132" si="29">AU132=AX132</f>
        <v>1</v>
      </c>
      <c r="BA132" s="49"/>
      <c r="BB132" s="71">
        <f>SUM(R6:AT127)</f>
        <v>83808484.29980278</v>
      </c>
    </row>
    <row r="133" spans="2:54" x14ac:dyDescent="0.3">
      <c r="K133" s="70"/>
      <c r="R133" s="193"/>
      <c r="S133" s="17"/>
      <c r="T133" s="17"/>
      <c r="U133" s="17"/>
      <c r="V133" s="17"/>
      <c r="W133" s="17"/>
      <c r="AX133" s="17"/>
      <c r="BB133" s="17">
        <f>BB132-AX132</f>
        <v>0</v>
      </c>
    </row>
    <row r="134" spans="2:54" x14ac:dyDescent="0.3">
      <c r="I134" s="97"/>
      <c r="J134" s="98"/>
      <c r="K134" s="70"/>
      <c r="R134" s="193"/>
      <c r="S134" s="164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</row>
    <row r="135" spans="2:54" ht="15.6" x14ac:dyDescent="0.3">
      <c r="C135" s="8" t="s">
        <v>754</v>
      </c>
      <c r="J135" s="101"/>
      <c r="R135" s="193"/>
      <c r="S135" s="164"/>
      <c r="T135" s="17"/>
    </row>
    <row r="136" spans="2:54" ht="57.6" x14ac:dyDescent="0.3">
      <c r="C136" s="25" t="s">
        <v>744</v>
      </c>
      <c r="D136" s="24" t="s">
        <v>755</v>
      </c>
      <c r="E136" s="24" t="s">
        <v>756</v>
      </c>
      <c r="F136" s="24" t="s">
        <v>757</v>
      </c>
      <c r="G136" s="24" t="s">
        <v>266</v>
      </c>
      <c r="H136" s="24" t="s">
        <v>265</v>
      </c>
      <c r="I136" s="24" t="s">
        <v>264</v>
      </c>
      <c r="J136" s="26" t="s">
        <v>263</v>
      </c>
      <c r="K136" s="26" t="s">
        <v>262</v>
      </c>
      <c r="L136" s="26" t="s">
        <v>746</v>
      </c>
      <c r="M136" s="26" t="s">
        <v>747</v>
      </c>
      <c r="N136" s="26" t="s">
        <v>125</v>
      </c>
      <c r="O136" s="26" t="s">
        <v>126</v>
      </c>
      <c r="P136" s="26" t="s">
        <v>127</v>
      </c>
      <c r="Q136" s="28" t="s">
        <v>2</v>
      </c>
      <c r="R136" s="25">
        <v>2025</v>
      </c>
      <c r="S136" s="25">
        <v>2026</v>
      </c>
      <c r="T136" s="25">
        <v>2027</v>
      </c>
      <c r="U136" s="25">
        <v>2028</v>
      </c>
      <c r="V136" s="25">
        <v>2029</v>
      </c>
      <c r="W136" s="25">
        <v>2030</v>
      </c>
      <c r="X136" s="25">
        <v>2031</v>
      </c>
      <c r="Y136" s="25">
        <v>2032</v>
      </c>
      <c r="Z136" s="25">
        <v>2033</v>
      </c>
      <c r="AA136" s="25">
        <v>2034</v>
      </c>
      <c r="AB136" s="25">
        <v>2035</v>
      </c>
      <c r="AC136" s="25">
        <v>2036</v>
      </c>
      <c r="AD136" s="25">
        <v>2037</v>
      </c>
      <c r="AE136" s="25">
        <v>2038</v>
      </c>
      <c r="AF136" s="25">
        <v>2039</v>
      </c>
      <c r="AG136" s="25">
        <v>2040</v>
      </c>
      <c r="AH136" s="25">
        <v>2041</v>
      </c>
      <c r="AI136" s="25">
        <v>2042</v>
      </c>
      <c r="AJ136" s="25">
        <v>2043</v>
      </c>
      <c r="AK136" s="25">
        <v>2044</v>
      </c>
      <c r="AL136" s="25">
        <v>2045</v>
      </c>
      <c r="AM136" s="25">
        <v>2046</v>
      </c>
      <c r="AN136" s="25">
        <v>2047</v>
      </c>
      <c r="AO136" s="25">
        <v>2048</v>
      </c>
      <c r="AP136" s="25">
        <v>2049</v>
      </c>
      <c r="AQ136" s="25">
        <v>2050</v>
      </c>
      <c r="AR136" s="25">
        <v>2051</v>
      </c>
      <c r="AS136" s="25">
        <v>2052</v>
      </c>
      <c r="AT136" s="25">
        <v>2053</v>
      </c>
      <c r="AU136" s="24" t="s">
        <v>745</v>
      </c>
      <c r="AW136" s="23" t="s">
        <v>870</v>
      </c>
      <c r="AX136" s="24" t="s">
        <v>871</v>
      </c>
    </row>
    <row r="137" spans="2:54" s="33" customFormat="1" x14ac:dyDescent="0.3">
      <c r="B137" s="34"/>
      <c r="C137" s="36">
        <v>1</v>
      </c>
      <c r="D137" s="36" t="s">
        <v>758</v>
      </c>
      <c r="E137" s="68"/>
      <c r="F137" s="36"/>
      <c r="G137" s="38">
        <v>3.2017000000000002</v>
      </c>
      <c r="H137" s="38">
        <v>3.2031999999999998</v>
      </c>
      <c r="I137" s="38" t="s">
        <v>9</v>
      </c>
      <c r="J137" s="39">
        <v>129553</v>
      </c>
      <c r="K137" s="40"/>
      <c r="L137" s="40"/>
      <c r="M137" s="40"/>
      <c r="N137" s="41"/>
      <c r="O137" s="41"/>
      <c r="P137" s="41"/>
      <c r="Q137" s="41" t="s">
        <v>8</v>
      </c>
      <c r="R137" s="44">
        <v>8936</v>
      </c>
      <c r="S137" s="44">
        <v>8936</v>
      </c>
      <c r="T137" s="44">
        <v>8936</v>
      </c>
      <c r="U137" s="44">
        <v>8936</v>
      </c>
      <c r="V137" s="44">
        <v>8936</v>
      </c>
      <c r="W137" s="44">
        <v>8936</v>
      </c>
      <c r="X137" s="44">
        <v>8936</v>
      </c>
      <c r="Y137" s="44">
        <v>2234</v>
      </c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8">
        <f t="shared" ref="AU137:AU143" si="30">SUM(R137:AT137)</f>
        <v>64786</v>
      </c>
      <c r="AV137" s="122"/>
      <c r="AW137" s="47">
        <f t="shared" ref="AW137:AW143" si="31">SUM(Y137:AT137)</f>
        <v>2234</v>
      </c>
      <c r="AX137" s="48">
        <f t="shared" ref="AX137:AX143" si="32">SUM(R137:X137,AW137)</f>
        <v>64786</v>
      </c>
      <c r="AZ137" s="33" t="b">
        <f t="shared" ref="AZ137:AZ143" si="33">AU137=AX137</f>
        <v>1</v>
      </c>
    </row>
    <row r="138" spans="2:54" x14ac:dyDescent="0.3">
      <c r="B138" s="50"/>
      <c r="C138" s="54"/>
      <c r="D138" s="54"/>
      <c r="E138" s="53"/>
      <c r="F138" s="54"/>
      <c r="G138" s="54"/>
      <c r="H138" s="54"/>
      <c r="I138" s="54"/>
      <c r="J138" s="55"/>
      <c r="K138" s="55"/>
      <c r="L138" s="55"/>
      <c r="M138" s="55"/>
      <c r="N138" s="56">
        <f t="shared" ref="N138:N140" si="34">SUM(O138:P138)</f>
        <v>3.0089999999999999</v>
      </c>
      <c r="O138" s="56">
        <v>2.7589999999999999</v>
      </c>
      <c r="P138" s="56">
        <v>0.25</v>
      </c>
      <c r="Q138" s="56" t="s">
        <v>10</v>
      </c>
      <c r="R138" s="59">
        <f>SUM(R137:$AR137)*$N138/100</f>
        <v>1949.41074</v>
      </c>
      <c r="S138" s="59">
        <f>SUM(S137:$AR137)*$N138/100</f>
        <v>1680.5264999999999</v>
      </c>
      <c r="T138" s="59">
        <f>SUM(T137:$AR137)*$N138/100</f>
        <v>1411.6422599999999</v>
      </c>
      <c r="U138" s="59">
        <f>SUM(U137:$AR137)*$N138/100</f>
        <v>1142.75802</v>
      </c>
      <c r="V138" s="59">
        <f>SUM(V137:$AR137)*$N138/100</f>
        <v>873.87378000000001</v>
      </c>
      <c r="W138" s="59">
        <f>SUM(W137:$AR137)*$N138/100</f>
        <v>604.98954000000003</v>
      </c>
      <c r="X138" s="59">
        <f>SUM(X137:$AR137)*$N138/100</f>
        <v>336.1053</v>
      </c>
      <c r="Y138" s="59">
        <f>SUM(Y137:$AR137)*$N138/100</f>
        <v>67.221059999999994</v>
      </c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62">
        <f t="shared" si="30"/>
        <v>8066.5271999999995</v>
      </c>
      <c r="AV138" s="123"/>
      <c r="AW138" s="61">
        <f t="shared" si="31"/>
        <v>67.221059999999994</v>
      </c>
      <c r="AX138" s="62">
        <f t="shared" si="32"/>
        <v>8066.5271999999995</v>
      </c>
      <c r="AZ138" s="12" t="b">
        <f t="shared" si="33"/>
        <v>1</v>
      </c>
    </row>
    <row r="139" spans="2:54" s="33" customFormat="1" x14ac:dyDescent="0.3">
      <c r="B139" s="34"/>
      <c r="C139" s="36">
        <v>2</v>
      </c>
      <c r="D139" s="36" t="s">
        <v>758</v>
      </c>
      <c r="E139" s="68"/>
      <c r="F139" s="36"/>
      <c r="G139" s="192">
        <v>44655</v>
      </c>
      <c r="H139" s="192">
        <v>55598</v>
      </c>
      <c r="I139" s="38" t="s">
        <v>9</v>
      </c>
      <c r="J139" s="39">
        <v>2209678</v>
      </c>
      <c r="K139" s="40"/>
      <c r="L139" s="40"/>
      <c r="M139" s="40"/>
      <c r="N139" s="41"/>
      <c r="O139" s="41"/>
      <c r="P139" s="41"/>
      <c r="Q139" s="41" t="s">
        <v>8</v>
      </c>
      <c r="R139" s="44">
        <v>67990</v>
      </c>
      <c r="S139" s="44">
        <v>81588</v>
      </c>
      <c r="T139" s="44">
        <v>81588</v>
      </c>
      <c r="U139" s="44">
        <v>81588</v>
      </c>
      <c r="V139" s="44">
        <v>81588</v>
      </c>
      <c r="W139" s="44">
        <v>81588</v>
      </c>
      <c r="X139" s="44">
        <v>81588</v>
      </c>
      <c r="Y139" s="44">
        <v>81588</v>
      </c>
      <c r="Z139" s="44">
        <v>81588</v>
      </c>
      <c r="AA139" s="44">
        <v>81588</v>
      </c>
      <c r="AB139" s="44">
        <v>81588</v>
      </c>
      <c r="AC139" s="44">
        <v>81588</v>
      </c>
      <c r="AD139" s="44">
        <v>81588</v>
      </c>
      <c r="AE139" s="44">
        <v>81588</v>
      </c>
      <c r="AF139" s="44">
        <v>81588</v>
      </c>
      <c r="AG139" s="44">
        <v>81588</v>
      </c>
      <c r="AH139" s="44">
        <v>81588</v>
      </c>
      <c r="AI139" s="44">
        <v>81588</v>
      </c>
      <c r="AJ139" s="44">
        <v>81588</v>
      </c>
      <c r="AK139" s="44">
        <v>81588</v>
      </c>
      <c r="AL139" s="44">
        <v>81588</v>
      </c>
      <c r="AM139" s="44">
        <v>81588</v>
      </c>
      <c r="AN139" s="44">
        <v>81588</v>
      </c>
      <c r="AO139" s="44">
        <v>81588</v>
      </c>
      <c r="AP139" s="44">
        <v>81588</v>
      </c>
      <c r="AQ139" s="44">
        <v>81588</v>
      </c>
      <c r="AR139" s="44">
        <v>81588</v>
      </c>
      <c r="AS139" s="44">
        <v>81588</v>
      </c>
      <c r="AT139" s="44">
        <v>20400</v>
      </c>
      <c r="AU139" s="48">
        <f t="shared" si="30"/>
        <v>2291266</v>
      </c>
      <c r="AV139" s="122"/>
      <c r="AW139" s="47">
        <f t="shared" si="31"/>
        <v>1733748</v>
      </c>
      <c r="AX139" s="48">
        <f t="shared" si="32"/>
        <v>2291266</v>
      </c>
      <c r="AZ139" s="33" t="b">
        <f t="shared" si="33"/>
        <v>1</v>
      </c>
    </row>
    <row r="140" spans="2:54" x14ac:dyDescent="0.3">
      <c r="B140" s="50"/>
      <c r="C140" s="54"/>
      <c r="D140" s="54"/>
      <c r="E140" s="53"/>
      <c r="F140" s="54"/>
      <c r="G140" s="54"/>
      <c r="H140" s="54"/>
      <c r="I140" s="54"/>
      <c r="J140" s="55"/>
      <c r="K140" s="55"/>
      <c r="L140" s="55"/>
      <c r="M140" s="55"/>
      <c r="N140" s="56">
        <f t="shared" si="34"/>
        <v>3.008</v>
      </c>
      <c r="O140" s="56">
        <v>2.758</v>
      </c>
      <c r="P140" s="56">
        <v>0.25</v>
      </c>
      <c r="Q140" s="56" t="s">
        <v>10</v>
      </c>
      <c r="R140" s="59">
        <f>SUM(R139:$AT139)*$N140/100</f>
        <v>68921.281279999996</v>
      </c>
      <c r="S140" s="59">
        <f>SUM(S139:$AT139)*$N140/100</f>
        <v>66876.142079999991</v>
      </c>
      <c r="T140" s="59">
        <f>SUM(T139:$AT139)*$N140/100</f>
        <v>64421.975039999998</v>
      </c>
      <c r="U140" s="59">
        <f>SUM(U139:$AT139)*$N140/100</f>
        <v>61967.807999999997</v>
      </c>
      <c r="V140" s="59">
        <f>SUM(V139:$AT139)*$N140/100</f>
        <v>59513.640959999997</v>
      </c>
      <c r="W140" s="59">
        <f>SUM(W139:$AT139)*$N140/100</f>
        <v>57059.473919999997</v>
      </c>
      <c r="X140" s="59">
        <f>SUM(X139:$AT139)*$N140/100</f>
        <v>54605.306880000004</v>
      </c>
      <c r="Y140" s="59">
        <f>SUM(Y139:$AT139)*$N140/100</f>
        <v>52151.139840000003</v>
      </c>
      <c r="Z140" s="59">
        <f>SUM(Z139:$AT139)*$N140/100</f>
        <v>49696.972800000003</v>
      </c>
      <c r="AA140" s="59">
        <f>SUM(AA139:$AT139)*$N140/100</f>
        <v>47242.805760000003</v>
      </c>
      <c r="AB140" s="59">
        <f>SUM(AB139:$AT139)*$N140/100</f>
        <v>44788.638720000003</v>
      </c>
      <c r="AC140" s="59">
        <f>SUM(AC139:$AT139)*$N140/100</f>
        <v>42334.471679999995</v>
      </c>
      <c r="AD140" s="59">
        <f>SUM(AD139:$AT139)*$N140/100</f>
        <v>39880.304640000002</v>
      </c>
      <c r="AE140" s="59">
        <f>SUM(AE139:$AT139)*$N140/100</f>
        <v>37426.137599999995</v>
      </c>
      <c r="AF140" s="59">
        <f>SUM(AF139:$AT139)*$N140/100</f>
        <v>34971.970560000002</v>
      </c>
      <c r="AG140" s="59">
        <f>SUM(AG139:$AT139)*$N140/100</f>
        <v>32517.803520000001</v>
      </c>
      <c r="AH140" s="59">
        <f>SUM(AH139:$AT139)*$N140/100</f>
        <v>30063.636480000001</v>
      </c>
      <c r="AI140" s="59">
        <f>SUM(AI139:$AT139)*$N140/100</f>
        <v>27609.469440000001</v>
      </c>
      <c r="AJ140" s="59">
        <f>SUM(AJ139:$AT139)*$N140/100</f>
        <v>25155.3024</v>
      </c>
      <c r="AK140" s="59">
        <f>SUM(AK139:$AT139)*$N140/100</f>
        <v>22701.13536</v>
      </c>
      <c r="AL140" s="59">
        <f>SUM(AL139:$AT139)*$N140/100</f>
        <v>20246.96832</v>
      </c>
      <c r="AM140" s="59">
        <f>SUM(AM139:$AT139)*$N140/100</f>
        <v>17792.80128</v>
      </c>
      <c r="AN140" s="59">
        <f>SUM(AN139:$AT139)*$N140/100</f>
        <v>15338.634240000001</v>
      </c>
      <c r="AO140" s="59">
        <f>SUM(AO139:$AT139)*$N140/100</f>
        <v>12884.467199999999</v>
      </c>
      <c r="AP140" s="59">
        <f>SUM(AP139:$AT139)*$N140/100</f>
        <v>10430.300159999999</v>
      </c>
      <c r="AQ140" s="59">
        <f>SUM(AQ139:$AT139)*$N140/100</f>
        <v>7976.1331200000004</v>
      </c>
      <c r="AR140" s="59">
        <f>SUM(AR139:$AT139)*$N140/100</f>
        <v>5521.9660800000001</v>
      </c>
      <c r="AS140" s="59">
        <f>SUM(AS139:$AT139)*$N140/100</f>
        <v>3067.7990399999999</v>
      </c>
      <c r="AT140" s="59">
        <f>SUM(AT139:$AT139)*$N140/100</f>
        <v>613.63199999999995</v>
      </c>
      <c r="AU140" s="62">
        <f t="shared" si="30"/>
        <v>1013778.1184</v>
      </c>
      <c r="AV140" s="46"/>
      <c r="AW140" s="61">
        <f t="shared" si="31"/>
        <v>580412.49023999996</v>
      </c>
      <c r="AX140" s="62">
        <f t="shared" si="32"/>
        <v>1013778.1183999999</v>
      </c>
      <c r="AZ140" s="12" t="b">
        <f t="shared" si="33"/>
        <v>1</v>
      </c>
    </row>
    <row r="141" spans="2:54" s="148" customFormat="1" x14ac:dyDescent="0.3">
      <c r="B141" s="136"/>
      <c r="C141" s="160">
        <v>3</v>
      </c>
      <c r="D141" s="160" t="s">
        <v>758</v>
      </c>
      <c r="E141" s="160"/>
      <c r="F141" s="160"/>
      <c r="G141" s="161" t="s">
        <v>752</v>
      </c>
      <c r="H141" s="161">
        <v>49572</v>
      </c>
      <c r="I141" s="138" t="s">
        <v>9</v>
      </c>
      <c r="J141" s="139">
        <v>801681</v>
      </c>
      <c r="K141" s="162"/>
      <c r="L141" s="162"/>
      <c r="M141" s="162"/>
      <c r="N141" s="141"/>
      <c r="O141" s="141"/>
      <c r="P141" s="141"/>
      <c r="Q141" s="141" t="s">
        <v>8</v>
      </c>
      <c r="R141" s="143"/>
      <c r="S141" s="143"/>
      <c r="T141" s="143">
        <f t="shared" ref="T141:AC141" si="35">$J$141/40*4</f>
        <v>80168.100000000006</v>
      </c>
      <c r="U141" s="143">
        <f t="shared" si="35"/>
        <v>80168.100000000006</v>
      </c>
      <c r="V141" s="143">
        <f t="shared" si="35"/>
        <v>80168.100000000006</v>
      </c>
      <c r="W141" s="143">
        <f t="shared" si="35"/>
        <v>80168.100000000006</v>
      </c>
      <c r="X141" s="143">
        <f t="shared" si="35"/>
        <v>80168.100000000006</v>
      </c>
      <c r="Y141" s="143">
        <f t="shared" si="35"/>
        <v>80168.100000000006</v>
      </c>
      <c r="Z141" s="143">
        <f t="shared" si="35"/>
        <v>80168.100000000006</v>
      </c>
      <c r="AA141" s="143">
        <f t="shared" si="35"/>
        <v>80168.100000000006</v>
      </c>
      <c r="AB141" s="143">
        <f t="shared" si="35"/>
        <v>80168.100000000006</v>
      </c>
      <c r="AC141" s="143">
        <f t="shared" si="35"/>
        <v>80168.100000000006</v>
      </c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43"/>
      <c r="AU141" s="144">
        <f t="shared" si="30"/>
        <v>801680.99999999988</v>
      </c>
      <c r="AV141" s="163"/>
      <c r="AW141" s="146">
        <f t="shared" si="31"/>
        <v>400840.5</v>
      </c>
      <c r="AX141" s="144">
        <f t="shared" si="32"/>
        <v>801681</v>
      </c>
      <c r="AZ141" s="148" t="b">
        <f t="shared" si="33"/>
        <v>1</v>
      </c>
    </row>
    <row r="142" spans="2:54" s="147" customFormat="1" x14ac:dyDescent="0.3">
      <c r="B142" s="150"/>
      <c r="C142" s="152"/>
      <c r="D142" s="191" t="s">
        <v>777</v>
      </c>
      <c r="E142" s="152"/>
      <c r="F142" s="152"/>
      <c r="G142" s="152"/>
      <c r="H142" s="152"/>
      <c r="I142" s="152"/>
      <c r="J142" s="153"/>
      <c r="K142" s="153"/>
      <c r="L142" s="153"/>
      <c r="M142" s="153"/>
      <c r="N142" s="154">
        <f t="shared" ref="N142" si="36">SUM(O142:P142)</f>
        <v>4.915</v>
      </c>
      <c r="O142" s="154">
        <v>4.665</v>
      </c>
      <c r="P142" s="154">
        <v>0.25</v>
      </c>
      <c r="Q142" s="154" t="s">
        <v>10</v>
      </c>
      <c r="R142" s="156">
        <f>SUM(R141:$AT141)*$N142/100</f>
        <v>39402.621149999992</v>
      </c>
      <c r="S142" s="156">
        <f>SUM(S141:$AT141)*$N142/100</f>
        <v>39402.621149999992</v>
      </c>
      <c r="T142" s="156">
        <f>SUM(T141:$AT141)*$N142/100</f>
        <v>39402.621149999992</v>
      </c>
      <c r="U142" s="156">
        <f>SUM(U141:$AT141)*$N142/100</f>
        <v>35462.359034999994</v>
      </c>
      <c r="V142" s="156">
        <f>SUM(V141:$AT141)*$N142/100</f>
        <v>31522.096919999996</v>
      </c>
      <c r="W142" s="156">
        <f>SUM(W141:$AT141)*$N142/100</f>
        <v>27581.834804999995</v>
      </c>
      <c r="X142" s="156">
        <f>SUM(X141:$AT141)*$N142/100</f>
        <v>23641.572689999997</v>
      </c>
      <c r="Y142" s="156">
        <f>SUM(Y141:$AT141)*$N142/100</f>
        <v>19701.310575</v>
      </c>
      <c r="Z142" s="156">
        <f>SUM(Z141:$AT141)*$N142/100</f>
        <v>15761.048460000002</v>
      </c>
      <c r="AA142" s="156">
        <f>SUM(AA141:$AT141)*$N142/100</f>
        <v>11820.786345000002</v>
      </c>
      <c r="AB142" s="156">
        <f>SUM(AB141:$AT141)*$N142/100</f>
        <v>7880.5242300000009</v>
      </c>
      <c r="AC142" s="156">
        <f>SUM(AC141:$AT141)*$N142/100</f>
        <v>3940.2621150000004</v>
      </c>
      <c r="AD142" s="156">
        <f>SUM(AD141:$AT141)*$N142/100</f>
        <v>0</v>
      </c>
      <c r="AE142" s="156">
        <f>SUM(AE141:$AT141)*$N142/100</f>
        <v>0</v>
      </c>
      <c r="AF142" s="156">
        <f>SUM(AF141:$AT141)*$N142/100</f>
        <v>0</v>
      </c>
      <c r="AG142" s="156">
        <f>SUM(AG141:$AT141)*$N142/100</f>
        <v>0</v>
      </c>
      <c r="AH142" s="156">
        <f>SUM(AH141:$AT141)*$N142/100</f>
        <v>0</v>
      </c>
      <c r="AI142" s="156">
        <f>SUM(AI141:$AT141)*$N142/100</f>
        <v>0</v>
      </c>
      <c r="AJ142" s="156">
        <f>SUM(AJ141:$AT141)*$N142/100</f>
        <v>0</v>
      </c>
      <c r="AK142" s="156">
        <f>SUM(AK141:$AT141)*$N142/100</f>
        <v>0</v>
      </c>
      <c r="AL142" s="156">
        <f>SUM(AL141:$AT141)*$N142/100</f>
        <v>0</v>
      </c>
      <c r="AM142" s="156">
        <f>SUM(AM141:$AT141)*$N142/100</f>
        <v>0</v>
      </c>
      <c r="AN142" s="156">
        <f>SUM(AN141:$AT141)*$N142/100</f>
        <v>0</v>
      </c>
      <c r="AO142" s="156">
        <f>SUM(AO141:$AT141)*$N142/100</f>
        <v>0</v>
      </c>
      <c r="AP142" s="156">
        <f>SUM(AP141:$AT141)*$N142/100</f>
        <v>0</v>
      </c>
      <c r="AQ142" s="156">
        <f>SUM(AQ141:$AT141)*$N142/100</f>
        <v>0</v>
      </c>
      <c r="AR142" s="156">
        <f>SUM(AR141:$AT141)*$N142/100</f>
        <v>0</v>
      </c>
      <c r="AS142" s="156">
        <f>SUM(AS141:$AT141)*$N142/100</f>
        <v>0</v>
      </c>
      <c r="AT142" s="156">
        <f>SUM(AT141:$AT141)*$N142/100</f>
        <v>0</v>
      </c>
      <c r="AU142" s="157">
        <f t="shared" si="30"/>
        <v>295519.65862499998</v>
      </c>
      <c r="AV142" s="145"/>
      <c r="AW142" s="158">
        <f t="shared" si="31"/>
        <v>59103.931725000002</v>
      </c>
      <c r="AX142" s="157">
        <f t="shared" si="32"/>
        <v>295519.65862499992</v>
      </c>
      <c r="AZ142" s="147" t="b">
        <f t="shared" si="33"/>
        <v>1</v>
      </c>
    </row>
    <row r="143" spans="2:54" s="70" customFormat="1" x14ac:dyDescent="0.3"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6" t="s">
        <v>765</v>
      </c>
      <c r="R143" s="128">
        <f t="shared" ref="R143:AT143" si="37">SUM(R137:R142)</f>
        <v>187199.31316999998</v>
      </c>
      <c r="S143" s="128">
        <f t="shared" si="37"/>
        <v>198483.28972999999</v>
      </c>
      <c r="T143" s="128">
        <f t="shared" si="37"/>
        <v>275928.33844999998</v>
      </c>
      <c r="U143" s="128">
        <f t="shared" si="37"/>
        <v>269265.02505499998</v>
      </c>
      <c r="V143" s="128">
        <f t="shared" si="37"/>
        <v>262601.71165999997</v>
      </c>
      <c r="W143" s="128">
        <f t="shared" si="37"/>
        <v>255938.398265</v>
      </c>
      <c r="X143" s="128">
        <f t="shared" si="37"/>
        <v>249275.08486999999</v>
      </c>
      <c r="Y143" s="128">
        <f t="shared" si="37"/>
        <v>235909.77147500002</v>
      </c>
      <c r="Z143" s="128">
        <f t="shared" si="37"/>
        <v>227214.12125999999</v>
      </c>
      <c r="AA143" s="128">
        <f t="shared" si="37"/>
        <v>220819.69210499999</v>
      </c>
      <c r="AB143" s="128">
        <f t="shared" si="37"/>
        <v>214425.26295000003</v>
      </c>
      <c r="AC143" s="128">
        <f t="shared" si="37"/>
        <v>208030.83379499998</v>
      </c>
      <c r="AD143" s="128">
        <f t="shared" si="37"/>
        <v>121468.30464</v>
      </c>
      <c r="AE143" s="128">
        <f t="shared" si="37"/>
        <v>119014.13759999999</v>
      </c>
      <c r="AF143" s="128">
        <f t="shared" si="37"/>
        <v>116559.97056</v>
      </c>
      <c r="AG143" s="128">
        <f t="shared" si="37"/>
        <v>114105.80352</v>
      </c>
      <c r="AH143" s="128">
        <f t="shared" si="37"/>
        <v>111651.63648</v>
      </c>
      <c r="AI143" s="128">
        <f t="shared" si="37"/>
        <v>109197.46944</v>
      </c>
      <c r="AJ143" s="128">
        <f t="shared" si="37"/>
        <v>106743.3024</v>
      </c>
      <c r="AK143" s="128">
        <f t="shared" si="37"/>
        <v>104289.13536</v>
      </c>
      <c r="AL143" s="128">
        <f t="shared" si="37"/>
        <v>101834.96832</v>
      </c>
      <c r="AM143" s="128">
        <f t="shared" si="37"/>
        <v>99380.80128</v>
      </c>
      <c r="AN143" s="128">
        <f t="shared" si="37"/>
        <v>96926.634239999999</v>
      </c>
      <c r="AO143" s="128">
        <f t="shared" si="37"/>
        <v>94472.467199999999</v>
      </c>
      <c r="AP143" s="128">
        <f t="shared" si="37"/>
        <v>92018.300159999999</v>
      </c>
      <c r="AQ143" s="128">
        <f t="shared" si="37"/>
        <v>89564.133119999999</v>
      </c>
      <c r="AR143" s="128">
        <f t="shared" si="37"/>
        <v>87109.966079999998</v>
      </c>
      <c r="AS143" s="128">
        <f t="shared" si="37"/>
        <v>84655.799039999998</v>
      </c>
      <c r="AT143" s="128">
        <f t="shared" si="37"/>
        <v>21013.632000000001</v>
      </c>
      <c r="AU143" s="103">
        <f t="shared" si="30"/>
        <v>4475097.3042249996</v>
      </c>
      <c r="AV143" s="125"/>
      <c r="AW143" s="129">
        <f t="shared" si="31"/>
        <v>2776406.1430250001</v>
      </c>
      <c r="AX143" s="129">
        <f t="shared" si="32"/>
        <v>4475097.3042249996</v>
      </c>
      <c r="AZ143" s="70" t="b">
        <f t="shared" si="33"/>
        <v>1</v>
      </c>
      <c r="BB143" s="71">
        <f>SUM(R137:AT142)</f>
        <v>4475097.3042250015</v>
      </c>
    </row>
    <row r="144" spans="2:54" x14ac:dyDescent="0.3">
      <c r="BB144" s="17">
        <f>BB143-AX143</f>
        <v>0</v>
      </c>
    </row>
    <row r="146" spans="6:50" ht="28.8" x14ac:dyDescent="0.3">
      <c r="R146" s="25">
        <v>2025</v>
      </c>
      <c r="S146" s="25">
        <v>2026</v>
      </c>
      <c r="T146" s="25">
        <v>2027</v>
      </c>
      <c r="U146" s="25">
        <v>2028</v>
      </c>
      <c r="V146" s="25">
        <v>2029</v>
      </c>
      <c r="W146" s="25">
        <v>2030</v>
      </c>
      <c r="X146" s="25">
        <v>2031</v>
      </c>
      <c r="Y146" s="25">
        <v>2032</v>
      </c>
      <c r="Z146" s="25">
        <v>2033</v>
      </c>
      <c r="AA146" s="25">
        <v>2034</v>
      </c>
      <c r="AB146" s="25">
        <v>2035</v>
      </c>
      <c r="AC146" s="25">
        <v>2036</v>
      </c>
      <c r="AD146" s="25">
        <v>2037</v>
      </c>
      <c r="AE146" s="25">
        <v>2038</v>
      </c>
      <c r="AF146" s="25">
        <v>2039</v>
      </c>
      <c r="AG146" s="25">
        <v>2040</v>
      </c>
      <c r="AH146" s="25">
        <v>2041</v>
      </c>
      <c r="AI146" s="25">
        <v>2042</v>
      </c>
      <c r="AJ146" s="25">
        <v>2043</v>
      </c>
      <c r="AK146" s="25">
        <v>2044</v>
      </c>
      <c r="AL146" s="25">
        <v>2045</v>
      </c>
      <c r="AM146" s="25">
        <v>2046</v>
      </c>
      <c r="AN146" s="25">
        <v>2047</v>
      </c>
      <c r="AO146" s="25">
        <v>2048</v>
      </c>
      <c r="AP146" s="25">
        <v>2049</v>
      </c>
      <c r="AQ146" s="25">
        <v>2050</v>
      </c>
      <c r="AR146" s="25">
        <v>2051</v>
      </c>
      <c r="AS146" s="25">
        <v>2052</v>
      </c>
      <c r="AT146" s="25">
        <v>2053</v>
      </c>
      <c r="AU146" s="24" t="s">
        <v>745</v>
      </c>
      <c r="AW146" s="25" t="s">
        <v>870</v>
      </c>
      <c r="AX146" s="24" t="s">
        <v>871</v>
      </c>
    </row>
    <row r="147" spans="6:50" x14ac:dyDescent="0.3">
      <c r="Q147" s="10" t="s">
        <v>770</v>
      </c>
      <c r="R147" s="105">
        <f t="shared" ref="R147:AT147" si="38">R130</f>
        <v>3467727.4268750004</v>
      </c>
      <c r="S147" s="105">
        <f t="shared" si="38"/>
        <v>3496018.3424999998</v>
      </c>
      <c r="T147" s="105">
        <f t="shared" si="38"/>
        <v>3658799.4369444437</v>
      </c>
      <c r="U147" s="105">
        <f t="shared" si="38"/>
        <v>3888691.9980555549</v>
      </c>
      <c r="V147" s="105">
        <f t="shared" si="38"/>
        <v>3807781.2611805554</v>
      </c>
      <c r="W147" s="105">
        <f t="shared" si="38"/>
        <v>3771007.015555555</v>
      </c>
      <c r="X147" s="105">
        <f t="shared" si="38"/>
        <v>3684687.8755555553</v>
      </c>
      <c r="Y147" s="105">
        <f t="shared" si="38"/>
        <v>3026060.765555555</v>
      </c>
      <c r="Z147" s="105">
        <f t="shared" si="38"/>
        <v>2822341.0355555555</v>
      </c>
      <c r="AA147" s="105">
        <f t="shared" si="38"/>
        <v>2465260.8155555557</v>
      </c>
      <c r="AB147" s="105">
        <f t="shared" si="38"/>
        <v>2329933.6155555556</v>
      </c>
      <c r="AC147" s="105">
        <f t="shared" si="38"/>
        <v>2164353.3655555556</v>
      </c>
      <c r="AD147" s="105">
        <f t="shared" si="38"/>
        <v>2053540.6555555556</v>
      </c>
      <c r="AE147" s="105">
        <f t="shared" si="38"/>
        <v>1919136.6555555556</v>
      </c>
      <c r="AF147" s="105">
        <f t="shared" si="38"/>
        <v>1847008.6555555556</v>
      </c>
      <c r="AG147" s="105">
        <f t="shared" si="38"/>
        <v>1805958.6955555556</v>
      </c>
      <c r="AH147" s="105">
        <f t="shared" si="38"/>
        <v>1781197.7255555557</v>
      </c>
      <c r="AI147" s="105">
        <f t="shared" si="38"/>
        <v>1721683.7222222222</v>
      </c>
      <c r="AJ147" s="105">
        <f t="shared" si="38"/>
        <v>1721683.7222222222</v>
      </c>
      <c r="AK147" s="105">
        <f t="shared" si="38"/>
        <v>1990351.5833333335</v>
      </c>
      <c r="AL147" s="105">
        <f t="shared" si="38"/>
        <v>1184348</v>
      </c>
      <c r="AM147" s="105">
        <f t="shared" si="38"/>
        <v>1184348</v>
      </c>
      <c r="AN147" s="105">
        <f t="shared" si="38"/>
        <v>1184348</v>
      </c>
      <c r="AO147" s="105">
        <f t="shared" si="38"/>
        <v>867315.83000000007</v>
      </c>
      <c r="AP147" s="105">
        <f t="shared" si="38"/>
        <v>452632</v>
      </c>
      <c r="AQ147" s="105">
        <f t="shared" si="38"/>
        <v>409981</v>
      </c>
      <c r="AR147" s="105">
        <f t="shared" si="38"/>
        <v>55587.92</v>
      </c>
      <c r="AS147" s="105">
        <f t="shared" si="38"/>
        <v>0</v>
      </c>
      <c r="AT147" s="105">
        <f t="shared" si="38"/>
        <v>0</v>
      </c>
      <c r="AU147" s="107">
        <f t="shared" ref="AU147:AU150" si="39">SUM(R147:AT147)</f>
        <v>58761785.119999997</v>
      </c>
      <c r="AW147" s="108">
        <f t="shared" ref="AW147:AW150" si="40">SUM(Y147:AT147)</f>
        <v>32987071.763333336</v>
      </c>
      <c r="AX147" s="48">
        <f t="shared" ref="AX147:AX150" si="41">SUM(R147:X147,AW147)</f>
        <v>58761785.120000005</v>
      </c>
    </row>
    <row r="148" spans="6:50" x14ac:dyDescent="0.3">
      <c r="Q148" s="10" t="s">
        <v>771</v>
      </c>
      <c r="R148" s="105">
        <f t="shared" ref="R148:AT148" si="42">R131</f>
        <v>2158579.2681013006</v>
      </c>
      <c r="S148" s="105">
        <f t="shared" si="42"/>
        <v>2328007.9985424429</v>
      </c>
      <c r="T148" s="105">
        <f t="shared" si="42"/>
        <v>2185382.8702759692</v>
      </c>
      <c r="U148" s="105">
        <f t="shared" si="42"/>
        <v>2034518.0880995388</v>
      </c>
      <c r="V148" s="105">
        <f t="shared" si="42"/>
        <v>1873828.620725286</v>
      </c>
      <c r="W148" s="105">
        <f t="shared" si="42"/>
        <v>1716104.4325058889</v>
      </c>
      <c r="X148" s="105">
        <f t="shared" si="42"/>
        <v>1559857.2054581111</v>
      </c>
      <c r="Y148" s="105">
        <f t="shared" si="42"/>
        <v>1407325.5207931334</v>
      </c>
      <c r="Z148" s="105">
        <f t="shared" si="42"/>
        <v>1279375.5626973552</v>
      </c>
      <c r="AA148" s="105">
        <f t="shared" si="42"/>
        <v>1160260.1850918776</v>
      </c>
      <c r="AB148" s="105">
        <f t="shared" si="42"/>
        <v>1055711.6890472998</v>
      </c>
      <c r="AC148" s="105">
        <f t="shared" si="42"/>
        <v>956565.96985472227</v>
      </c>
      <c r="AD148" s="105">
        <f t="shared" si="42"/>
        <v>864346.43412814429</v>
      </c>
      <c r="AE148" s="105">
        <f t="shared" si="42"/>
        <v>776588.48676036671</v>
      </c>
      <c r="AF148" s="105">
        <f t="shared" si="42"/>
        <v>694707.06643258908</v>
      </c>
      <c r="AG148" s="105">
        <f t="shared" si="42"/>
        <v>615779.53282481118</v>
      </c>
      <c r="AH148" s="105">
        <f t="shared" si="42"/>
        <v>538548.92364343326</v>
      </c>
      <c r="AI148" s="105">
        <f t="shared" si="42"/>
        <v>462311.05094685557</v>
      </c>
      <c r="AJ148" s="105">
        <f t="shared" si="42"/>
        <v>388490.26785241114</v>
      </c>
      <c r="AK148" s="105">
        <f t="shared" si="42"/>
        <v>314669.48475796671</v>
      </c>
      <c r="AL148" s="105">
        <f t="shared" si="42"/>
        <v>229333.5971363</v>
      </c>
      <c r="AM148" s="105">
        <f t="shared" si="42"/>
        <v>178543.02309630002</v>
      </c>
      <c r="AN148" s="105">
        <f t="shared" si="42"/>
        <v>127752.44905629999</v>
      </c>
      <c r="AO148" s="105">
        <f t="shared" si="42"/>
        <v>76961.875016299993</v>
      </c>
      <c r="AP148" s="105">
        <f t="shared" si="42"/>
        <v>40201.341846000003</v>
      </c>
      <c r="AQ148" s="105">
        <f t="shared" si="42"/>
        <v>20490.842645999997</v>
      </c>
      <c r="AR148" s="105">
        <f t="shared" si="42"/>
        <v>2457.3924659999998</v>
      </c>
      <c r="AS148" s="105">
        <f t="shared" si="42"/>
        <v>0</v>
      </c>
      <c r="AT148" s="105">
        <f t="shared" si="42"/>
        <v>0</v>
      </c>
      <c r="AU148" s="107">
        <f t="shared" si="39"/>
        <v>25046699.179802701</v>
      </c>
      <c r="AW148" s="108">
        <f t="shared" si="40"/>
        <v>11190420.696094166</v>
      </c>
      <c r="AX148" s="107">
        <f t="shared" si="41"/>
        <v>25046699.179802705</v>
      </c>
    </row>
    <row r="149" spans="6:50" x14ac:dyDescent="0.3">
      <c r="Q149" s="10" t="s">
        <v>772</v>
      </c>
      <c r="R149" s="105">
        <f t="shared" ref="R149:AT149" si="43">R143</f>
        <v>187199.31316999998</v>
      </c>
      <c r="S149" s="105">
        <f t="shared" si="43"/>
        <v>198483.28972999999</v>
      </c>
      <c r="T149" s="105">
        <f t="shared" si="43"/>
        <v>275928.33844999998</v>
      </c>
      <c r="U149" s="105">
        <f t="shared" si="43"/>
        <v>269265.02505499998</v>
      </c>
      <c r="V149" s="105">
        <f t="shared" si="43"/>
        <v>262601.71165999997</v>
      </c>
      <c r="W149" s="105">
        <f t="shared" si="43"/>
        <v>255938.398265</v>
      </c>
      <c r="X149" s="105">
        <f t="shared" si="43"/>
        <v>249275.08486999999</v>
      </c>
      <c r="Y149" s="105">
        <f t="shared" si="43"/>
        <v>235909.77147500002</v>
      </c>
      <c r="Z149" s="105">
        <f t="shared" si="43"/>
        <v>227214.12125999999</v>
      </c>
      <c r="AA149" s="105">
        <f t="shared" si="43"/>
        <v>220819.69210499999</v>
      </c>
      <c r="AB149" s="105">
        <f t="shared" si="43"/>
        <v>214425.26295000003</v>
      </c>
      <c r="AC149" s="105">
        <f t="shared" si="43"/>
        <v>208030.83379499998</v>
      </c>
      <c r="AD149" s="105">
        <f t="shared" si="43"/>
        <v>121468.30464</v>
      </c>
      <c r="AE149" s="105">
        <f t="shared" si="43"/>
        <v>119014.13759999999</v>
      </c>
      <c r="AF149" s="105">
        <f t="shared" si="43"/>
        <v>116559.97056</v>
      </c>
      <c r="AG149" s="105">
        <f t="shared" si="43"/>
        <v>114105.80352</v>
      </c>
      <c r="AH149" s="105">
        <f t="shared" si="43"/>
        <v>111651.63648</v>
      </c>
      <c r="AI149" s="105">
        <f t="shared" si="43"/>
        <v>109197.46944</v>
      </c>
      <c r="AJ149" s="105">
        <f t="shared" si="43"/>
        <v>106743.3024</v>
      </c>
      <c r="AK149" s="105">
        <f t="shared" si="43"/>
        <v>104289.13536</v>
      </c>
      <c r="AL149" s="105">
        <f t="shared" si="43"/>
        <v>101834.96832</v>
      </c>
      <c r="AM149" s="105">
        <f t="shared" si="43"/>
        <v>99380.80128</v>
      </c>
      <c r="AN149" s="105">
        <f t="shared" si="43"/>
        <v>96926.634239999999</v>
      </c>
      <c r="AO149" s="105">
        <f t="shared" si="43"/>
        <v>94472.467199999999</v>
      </c>
      <c r="AP149" s="105">
        <f t="shared" si="43"/>
        <v>92018.300159999999</v>
      </c>
      <c r="AQ149" s="105">
        <f t="shared" si="43"/>
        <v>89564.133119999999</v>
      </c>
      <c r="AR149" s="105">
        <f t="shared" si="43"/>
        <v>87109.966079999998</v>
      </c>
      <c r="AS149" s="105">
        <f t="shared" si="43"/>
        <v>84655.799039999998</v>
      </c>
      <c r="AT149" s="105">
        <f t="shared" si="43"/>
        <v>21013.632000000001</v>
      </c>
      <c r="AU149" s="107">
        <f t="shared" si="39"/>
        <v>4475097.3042249996</v>
      </c>
      <c r="AW149" s="59">
        <f t="shared" si="40"/>
        <v>2776406.1430250001</v>
      </c>
      <c r="AX149" s="107">
        <f t="shared" si="41"/>
        <v>4475097.3042249996</v>
      </c>
    </row>
    <row r="150" spans="6:50" s="70" customFormat="1" x14ac:dyDescent="0.3">
      <c r="Q150" s="102" t="s">
        <v>766</v>
      </c>
      <c r="R150" s="104">
        <f t="shared" ref="R150:AT150" si="44">SUM(R147:R149)</f>
        <v>5813506.0081463009</v>
      </c>
      <c r="S150" s="104">
        <f t="shared" si="44"/>
        <v>6022509.6307724426</v>
      </c>
      <c r="T150" s="104">
        <f t="shared" si="44"/>
        <v>6120110.6456704121</v>
      </c>
      <c r="U150" s="104">
        <f t="shared" si="44"/>
        <v>6192475.1112100938</v>
      </c>
      <c r="V150" s="104">
        <f t="shared" si="44"/>
        <v>5944211.5935658412</v>
      </c>
      <c r="W150" s="104">
        <f t="shared" si="44"/>
        <v>5743049.8463264443</v>
      </c>
      <c r="X150" s="104">
        <f t="shared" si="44"/>
        <v>5493820.1658836668</v>
      </c>
      <c r="Y150" s="104">
        <f t="shared" si="44"/>
        <v>4669296.0578236887</v>
      </c>
      <c r="Z150" s="104">
        <f t="shared" si="44"/>
        <v>4328930.7195129106</v>
      </c>
      <c r="AA150" s="104">
        <f t="shared" si="44"/>
        <v>3846340.692752433</v>
      </c>
      <c r="AB150" s="104">
        <f t="shared" si="44"/>
        <v>3600070.5675528552</v>
      </c>
      <c r="AC150" s="104">
        <f t="shared" si="44"/>
        <v>3328950.1692052777</v>
      </c>
      <c r="AD150" s="104">
        <f t="shared" si="44"/>
        <v>3039355.3943237001</v>
      </c>
      <c r="AE150" s="104">
        <f t="shared" si="44"/>
        <v>2814739.2799159223</v>
      </c>
      <c r="AF150" s="104">
        <f t="shared" si="44"/>
        <v>2658275.6925481446</v>
      </c>
      <c r="AG150" s="104">
        <f t="shared" si="44"/>
        <v>2535844.0319003668</v>
      </c>
      <c r="AH150" s="104">
        <f t="shared" si="44"/>
        <v>2431398.2856789888</v>
      </c>
      <c r="AI150" s="104">
        <f t="shared" si="44"/>
        <v>2293192.2426090781</v>
      </c>
      <c r="AJ150" s="104">
        <f t="shared" si="44"/>
        <v>2216917.2924746335</v>
      </c>
      <c r="AK150" s="104">
        <f t="shared" si="44"/>
        <v>2409310.2034513005</v>
      </c>
      <c r="AL150" s="104">
        <f t="shared" si="44"/>
        <v>1515516.5654563</v>
      </c>
      <c r="AM150" s="104">
        <f t="shared" si="44"/>
        <v>1462271.8243763</v>
      </c>
      <c r="AN150" s="104">
        <f t="shared" si="44"/>
        <v>1409027.0832962999</v>
      </c>
      <c r="AO150" s="104">
        <f t="shared" si="44"/>
        <v>1038750.1722163</v>
      </c>
      <c r="AP150" s="104">
        <f t="shared" si="44"/>
        <v>584851.64200600004</v>
      </c>
      <c r="AQ150" s="104">
        <f t="shared" si="44"/>
        <v>520035.97576599999</v>
      </c>
      <c r="AR150" s="104">
        <f t="shared" si="44"/>
        <v>145155.27854599999</v>
      </c>
      <c r="AS150" s="104">
        <f t="shared" si="44"/>
        <v>84655.799039999998</v>
      </c>
      <c r="AT150" s="104">
        <f t="shared" si="44"/>
        <v>21013.632000000001</v>
      </c>
      <c r="AU150" s="104">
        <f t="shared" si="39"/>
        <v>88283581.604027703</v>
      </c>
      <c r="AW150" s="104">
        <f t="shared" si="40"/>
        <v>46953898.602452502</v>
      </c>
      <c r="AX150" s="104">
        <f t="shared" si="41"/>
        <v>88283581.604027703</v>
      </c>
    </row>
    <row r="152" spans="6:50" s="70" customFormat="1" x14ac:dyDescent="0.3">
      <c r="Q152" s="102" t="s">
        <v>768</v>
      </c>
      <c r="R152" s="111">
        <f t="shared" ref="R152:AT152" si="45">R150/$Q$153</f>
        <v>0.16254360155668995</v>
      </c>
      <c r="S152" s="111">
        <f t="shared" si="45"/>
        <v>0.1683872699923025</v>
      </c>
      <c r="T152" s="111">
        <f t="shared" si="45"/>
        <v>0.17111616034777366</v>
      </c>
      <c r="U152" s="111">
        <f t="shared" si="45"/>
        <v>0.17313944557996619</v>
      </c>
      <c r="V152" s="111">
        <f t="shared" si="45"/>
        <v>0.16619808416458565</v>
      </c>
      <c r="W152" s="111">
        <f t="shared" si="45"/>
        <v>0.16057367183132065</v>
      </c>
      <c r="X152" s="111">
        <f t="shared" si="45"/>
        <v>0.1536052968408716</v>
      </c>
      <c r="Y152" s="111">
        <f t="shared" si="45"/>
        <v>0.1305518901863354</v>
      </c>
      <c r="Z152" s="111">
        <f t="shared" si="45"/>
        <v>0.12103539396932436</v>
      </c>
      <c r="AA152" s="111">
        <f t="shared" si="45"/>
        <v>0.10754234503894243</v>
      </c>
      <c r="AB152" s="111">
        <f t="shared" si="45"/>
        <v>0.10065671818147226</v>
      </c>
      <c r="AC152" s="111">
        <f t="shared" si="45"/>
        <v>9.3076286348917653E-2</v>
      </c>
      <c r="AD152" s="111">
        <f t="shared" si="45"/>
        <v>8.4979317388140782E-2</v>
      </c>
      <c r="AE152" s="111">
        <f t="shared" si="45"/>
        <v>7.8699129124406395E-2</v>
      </c>
      <c r="AF152" s="111">
        <f t="shared" si="45"/>
        <v>7.4324461760581356E-2</v>
      </c>
      <c r="AG152" s="111">
        <f t="shared" si="45"/>
        <v>7.0901315205237597E-2</v>
      </c>
      <c r="AH152" s="111">
        <f t="shared" si="45"/>
        <v>6.798104854785228E-2</v>
      </c>
      <c r="AI152" s="111">
        <f t="shared" si="45"/>
        <v>6.4116855758509075E-2</v>
      </c>
      <c r="AJ152" s="111">
        <f t="shared" si="45"/>
        <v>6.198423474013625E-2</v>
      </c>
      <c r="AK152" s="111">
        <f t="shared" si="45"/>
        <v>6.7363473468074642E-2</v>
      </c>
      <c r="AL152" s="111">
        <f t="shared" si="45"/>
        <v>4.2373314902041263E-2</v>
      </c>
      <c r="AM152" s="111">
        <f t="shared" si="45"/>
        <v>4.0884610501122229E-2</v>
      </c>
      <c r="AN152" s="111">
        <f t="shared" si="45"/>
        <v>3.9395906100203194E-2</v>
      </c>
      <c r="AO152" s="111">
        <f t="shared" si="45"/>
        <v>2.9043092734930623E-2</v>
      </c>
      <c r="AP152" s="111">
        <f t="shared" si="45"/>
        <v>1.635224804701136E-2</v>
      </c>
      <c r="AQ152" s="111">
        <f t="shared" si="45"/>
        <v>1.4540024611930522E-2</v>
      </c>
      <c r="AR152" s="111">
        <f t="shared" si="45"/>
        <v>4.0584909909389755E-3</v>
      </c>
      <c r="AS152" s="111">
        <f t="shared" si="45"/>
        <v>2.3669466324347335E-3</v>
      </c>
      <c r="AT152" s="111">
        <f t="shared" si="45"/>
        <v>5.8753382593579209E-4</v>
      </c>
      <c r="AW152" s="113"/>
      <c r="AX152" s="113"/>
    </row>
    <row r="153" spans="6:50" x14ac:dyDescent="0.3">
      <c r="J153" s="11" t="s">
        <v>769</v>
      </c>
      <c r="Q153" s="200">
        <v>35765825</v>
      </c>
      <c r="R153" s="117"/>
      <c r="S153" s="117"/>
      <c r="T153" s="117"/>
      <c r="U153" s="117"/>
      <c r="V153" s="117"/>
    </row>
    <row r="154" spans="6:50" x14ac:dyDescent="0.3"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64"/>
      <c r="AR154" s="164"/>
      <c r="AS154" s="164"/>
      <c r="AT154" s="164"/>
      <c r="AU154" s="164"/>
      <c r="AV154" s="164"/>
      <c r="AW154" s="164"/>
      <c r="AX154" s="164"/>
    </row>
    <row r="155" spans="6:50" x14ac:dyDescent="0.3">
      <c r="F155" s="119"/>
      <c r="J155" s="120"/>
      <c r="K155" s="121"/>
      <c r="L155" s="121"/>
      <c r="M155" s="121"/>
      <c r="N155" s="121"/>
      <c r="O155" s="121"/>
      <c r="P155" s="121"/>
      <c r="Q155" s="121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</row>
    <row r="156" spans="6:50" x14ac:dyDescent="0.3"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</row>
    <row r="157" spans="6:50" x14ac:dyDescent="0.3"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64"/>
      <c r="AU157" s="164"/>
      <c r="AV157" s="164"/>
      <c r="AW157" s="164"/>
      <c r="AX157" s="164"/>
    </row>
    <row r="158" spans="6:50" x14ac:dyDescent="0.3"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64"/>
      <c r="AR158" s="164"/>
      <c r="AS158" s="164"/>
      <c r="AT158" s="164"/>
      <c r="AU158" s="164"/>
      <c r="AV158" s="164"/>
      <c r="AW158" s="164"/>
      <c r="AX158" s="164"/>
    </row>
    <row r="159" spans="6:50" x14ac:dyDescent="0.3">
      <c r="Q159" s="16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4"/>
      <c r="AK159" s="164"/>
      <c r="AL159" s="164"/>
      <c r="AM159" s="164"/>
      <c r="AN159" s="164"/>
      <c r="AO159" s="164"/>
      <c r="AP159" s="164"/>
      <c r="AQ159" s="164"/>
      <c r="AR159" s="164"/>
      <c r="AS159" s="164"/>
      <c r="AT159" s="164"/>
      <c r="AU159" s="164"/>
      <c r="AV159" s="164"/>
      <c r="AW159" s="164"/>
      <c r="AX159" s="164"/>
    </row>
    <row r="160" spans="6:50" x14ac:dyDescent="0.3">
      <c r="R160" s="199"/>
      <c r="S160" s="199"/>
      <c r="T160" s="199"/>
      <c r="U160" s="199"/>
      <c r="V160" s="199"/>
      <c r="W160" s="199"/>
      <c r="X160" s="199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  <c r="AN160" s="164"/>
      <c r="AO160" s="164"/>
      <c r="AP160" s="164"/>
      <c r="AQ160" s="164"/>
      <c r="AR160" s="164"/>
      <c r="AS160" s="164"/>
      <c r="AT160" s="164"/>
      <c r="AU160" s="164"/>
      <c r="AV160" s="164"/>
      <c r="AW160" s="164"/>
      <c r="AX160" s="164"/>
    </row>
  </sheetData>
  <pageMargins left="0.25" right="0.25" top="0.75" bottom="0.75" header="0.3" footer="0.3"/>
  <pageSetup paperSize="9" scale="48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H185"/>
  <sheetViews>
    <sheetView showGridLines="0" workbookViewId="0">
      <selection activeCell="F200" sqref="F200"/>
    </sheetView>
  </sheetViews>
  <sheetFormatPr defaultColWidth="8.88671875" defaultRowHeight="13.2" x14ac:dyDescent="0.25"/>
  <cols>
    <col min="1" max="1" width="4.6640625" style="2" customWidth="1"/>
    <col min="2" max="2" width="9.33203125" style="2" customWidth="1"/>
    <col min="3" max="3" width="14.33203125" style="2" customWidth="1"/>
    <col min="4" max="4" width="20.5546875" style="2" customWidth="1"/>
    <col min="5" max="5" width="15.44140625" style="2" customWidth="1"/>
    <col min="6" max="6" width="73.33203125" style="2" customWidth="1"/>
    <col min="7" max="7" width="17.33203125" style="2" customWidth="1"/>
    <col min="8" max="8" width="12.109375" style="2" customWidth="1"/>
    <col min="9" max="16384" width="8.88671875" style="2"/>
  </cols>
  <sheetData>
    <row r="1" spans="1:8" ht="14.4" customHeight="1" x14ac:dyDescent="0.25">
      <c r="A1" s="1" t="s">
        <v>267</v>
      </c>
      <c r="B1" s="1" t="s">
        <v>268</v>
      </c>
      <c r="C1" s="1" t="s">
        <v>269</v>
      </c>
      <c r="D1" s="1" t="s">
        <v>261</v>
      </c>
      <c r="E1" s="1" t="s">
        <v>270</v>
      </c>
      <c r="F1" s="1" t="s">
        <v>271</v>
      </c>
      <c r="G1" s="1" t="s">
        <v>272</v>
      </c>
      <c r="H1" s="1" t="s">
        <v>273</v>
      </c>
    </row>
    <row r="2" spans="1:8" ht="25.65" hidden="1" customHeight="1" x14ac:dyDescent="0.25">
      <c r="A2" s="3" t="s">
        <v>11</v>
      </c>
      <c r="B2" s="4">
        <v>44951</v>
      </c>
      <c r="C2" s="3" t="s">
        <v>341</v>
      </c>
      <c r="D2" s="5">
        <v>1509.13</v>
      </c>
      <c r="E2" s="5">
        <v>1509.13</v>
      </c>
      <c r="F2" s="3" t="s">
        <v>342</v>
      </c>
      <c r="G2" s="4">
        <v>45153</v>
      </c>
      <c r="H2" s="3" t="s">
        <v>276</v>
      </c>
    </row>
    <row r="3" spans="1:8" ht="25.65" hidden="1" customHeight="1" x14ac:dyDescent="0.25">
      <c r="A3" s="3" t="s">
        <v>11</v>
      </c>
      <c r="B3" s="4">
        <v>44951</v>
      </c>
      <c r="C3" s="3" t="s">
        <v>287</v>
      </c>
      <c r="D3" s="5">
        <v>1623.27</v>
      </c>
      <c r="E3" s="5">
        <v>1623.27</v>
      </c>
      <c r="F3" s="3" t="s">
        <v>288</v>
      </c>
      <c r="G3" s="4">
        <v>45153</v>
      </c>
      <c r="H3" s="3" t="s">
        <v>276</v>
      </c>
    </row>
    <row r="4" spans="1:8" ht="25.65" hidden="1" customHeight="1" x14ac:dyDescent="0.25">
      <c r="A4" s="3" t="s">
        <v>11</v>
      </c>
      <c r="B4" s="4">
        <v>44951</v>
      </c>
      <c r="C4" s="3" t="s">
        <v>277</v>
      </c>
      <c r="D4" s="5">
        <v>254.19</v>
      </c>
      <c r="E4" s="5">
        <v>254.19</v>
      </c>
      <c r="F4" s="3" t="s">
        <v>278</v>
      </c>
      <c r="G4" s="4">
        <v>45153</v>
      </c>
      <c r="H4" s="3" t="s">
        <v>276</v>
      </c>
    </row>
    <row r="5" spans="1:8" ht="25.65" hidden="1" customHeight="1" x14ac:dyDescent="0.25">
      <c r="A5" s="3" t="s">
        <v>11</v>
      </c>
      <c r="B5" s="4">
        <v>44951</v>
      </c>
      <c r="C5" s="3" t="s">
        <v>309</v>
      </c>
      <c r="D5" s="5">
        <v>1098.1300000000001</v>
      </c>
      <c r="E5" s="5">
        <v>1098.1300000000001</v>
      </c>
      <c r="F5" s="3" t="s">
        <v>310</v>
      </c>
      <c r="G5" s="4">
        <v>45153</v>
      </c>
      <c r="H5" s="3" t="s">
        <v>276</v>
      </c>
    </row>
    <row r="6" spans="1:8" ht="25.65" hidden="1" customHeight="1" x14ac:dyDescent="0.25">
      <c r="A6" s="3" t="s">
        <v>11</v>
      </c>
      <c r="B6" s="4">
        <v>44951</v>
      </c>
      <c r="C6" s="3" t="s">
        <v>317</v>
      </c>
      <c r="D6" s="5">
        <v>266.64</v>
      </c>
      <c r="E6" s="5">
        <v>266.64</v>
      </c>
      <c r="F6" s="3" t="s">
        <v>318</v>
      </c>
      <c r="G6" s="4">
        <v>45153</v>
      </c>
      <c r="H6" s="3" t="s">
        <v>276</v>
      </c>
    </row>
    <row r="7" spans="1:8" ht="25.65" hidden="1" customHeight="1" x14ac:dyDescent="0.25">
      <c r="A7" s="3" t="s">
        <v>11</v>
      </c>
      <c r="B7" s="4">
        <v>44951</v>
      </c>
      <c r="C7" s="3" t="s">
        <v>349</v>
      </c>
      <c r="D7" s="5">
        <v>75.41</v>
      </c>
      <c r="E7" s="5">
        <v>75.41</v>
      </c>
      <c r="F7" s="3" t="s">
        <v>350</v>
      </c>
      <c r="G7" s="4">
        <v>45153</v>
      </c>
      <c r="H7" s="3" t="s">
        <v>276</v>
      </c>
    </row>
    <row r="8" spans="1:8" ht="25.65" hidden="1" customHeight="1" x14ac:dyDescent="0.25">
      <c r="A8" s="3" t="s">
        <v>11</v>
      </c>
      <c r="B8" s="4">
        <v>44951</v>
      </c>
      <c r="C8" s="3" t="s">
        <v>351</v>
      </c>
      <c r="D8" s="5">
        <v>1912.53</v>
      </c>
      <c r="E8" s="5">
        <v>1912.53</v>
      </c>
      <c r="F8" s="3" t="s">
        <v>352</v>
      </c>
      <c r="G8" s="4">
        <v>45153</v>
      </c>
      <c r="H8" s="3" t="s">
        <v>276</v>
      </c>
    </row>
    <row r="9" spans="1:8" ht="25.65" hidden="1" customHeight="1" x14ac:dyDescent="0.25">
      <c r="A9" s="3" t="s">
        <v>11</v>
      </c>
      <c r="B9" s="4">
        <v>44951</v>
      </c>
      <c r="C9" s="3" t="s">
        <v>283</v>
      </c>
      <c r="D9" s="5">
        <v>28.67</v>
      </c>
      <c r="E9" s="5">
        <v>28.67</v>
      </c>
      <c r="F9" s="3" t="s">
        <v>284</v>
      </c>
      <c r="G9" s="4">
        <v>45153</v>
      </c>
      <c r="H9" s="3" t="s">
        <v>276</v>
      </c>
    </row>
    <row r="10" spans="1:8" ht="25.65" hidden="1" customHeight="1" x14ac:dyDescent="0.25">
      <c r="A10" s="3" t="s">
        <v>11</v>
      </c>
      <c r="B10" s="4">
        <v>44951</v>
      </c>
      <c r="C10" s="3" t="s">
        <v>385</v>
      </c>
      <c r="D10" s="5">
        <v>39.43</v>
      </c>
      <c r="E10" s="5">
        <v>39.43</v>
      </c>
      <c r="F10" s="3" t="s">
        <v>386</v>
      </c>
      <c r="G10" s="4">
        <v>45153</v>
      </c>
      <c r="H10" s="3" t="s">
        <v>276</v>
      </c>
    </row>
    <row r="11" spans="1:8" ht="25.65" hidden="1" customHeight="1" x14ac:dyDescent="0.25">
      <c r="A11" s="3" t="s">
        <v>11</v>
      </c>
      <c r="B11" s="4">
        <v>44951</v>
      </c>
      <c r="C11" s="3" t="s">
        <v>321</v>
      </c>
      <c r="D11" s="5">
        <v>908.21</v>
      </c>
      <c r="E11" s="5">
        <v>908.21</v>
      </c>
      <c r="F11" s="3" t="s">
        <v>322</v>
      </c>
      <c r="G11" s="4">
        <v>45153</v>
      </c>
      <c r="H11" s="3" t="s">
        <v>276</v>
      </c>
    </row>
    <row r="12" spans="1:8" ht="25.65" hidden="1" customHeight="1" x14ac:dyDescent="0.25">
      <c r="A12" s="3" t="s">
        <v>11</v>
      </c>
      <c r="B12" s="4">
        <v>44951</v>
      </c>
      <c r="C12" s="3" t="s">
        <v>315</v>
      </c>
      <c r="D12" s="5">
        <v>290.66000000000003</v>
      </c>
      <c r="E12" s="5">
        <v>290.66000000000003</v>
      </c>
      <c r="F12" s="3" t="s">
        <v>316</v>
      </c>
      <c r="G12" s="4">
        <v>45153</v>
      </c>
      <c r="H12" s="3" t="s">
        <v>276</v>
      </c>
    </row>
    <row r="13" spans="1:8" ht="25.65" hidden="1" customHeight="1" x14ac:dyDescent="0.25">
      <c r="A13" s="3" t="s">
        <v>11</v>
      </c>
      <c r="B13" s="4">
        <v>44951</v>
      </c>
      <c r="C13" s="3" t="s">
        <v>301</v>
      </c>
      <c r="D13" s="5">
        <v>581.96</v>
      </c>
      <c r="E13" s="5">
        <v>581.96</v>
      </c>
      <c r="F13" s="3" t="s">
        <v>302</v>
      </c>
      <c r="G13" s="4">
        <v>45153</v>
      </c>
      <c r="H13" s="3" t="s">
        <v>276</v>
      </c>
    </row>
    <row r="14" spans="1:8" ht="25.65" hidden="1" customHeight="1" x14ac:dyDescent="0.25">
      <c r="A14" s="3" t="s">
        <v>11</v>
      </c>
      <c r="B14" s="4">
        <v>44951</v>
      </c>
      <c r="C14" s="3" t="s">
        <v>303</v>
      </c>
      <c r="D14" s="5">
        <v>113.8</v>
      </c>
      <c r="E14" s="5">
        <v>113.8</v>
      </c>
      <c r="F14" s="3" t="s">
        <v>304</v>
      </c>
      <c r="G14" s="4">
        <v>45153</v>
      </c>
      <c r="H14" s="3" t="s">
        <v>276</v>
      </c>
    </row>
    <row r="15" spans="1:8" ht="25.65" hidden="1" customHeight="1" x14ac:dyDescent="0.25">
      <c r="A15" s="3" t="s">
        <v>11</v>
      </c>
      <c r="B15" s="4">
        <v>44951</v>
      </c>
      <c r="C15" s="3" t="s">
        <v>375</v>
      </c>
      <c r="D15" s="5">
        <v>24.2</v>
      </c>
      <c r="E15" s="5">
        <v>24.2</v>
      </c>
      <c r="F15" s="3" t="s">
        <v>376</v>
      </c>
      <c r="G15" s="4">
        <v>45153</v>
      </c>
      <c r="H15" s="3" t="s">
        <v>276</v>
      </c>
    </row>
    <row r="16" spans="1:8" ht="25.65" hidden="1" customHeight="1" x14ac:dyDescent="0.25">
      <c r="A16" s="3" t="s">
        <v>11</v>
      </c>
      <c r="B16" s="4">
        <v>44951</v>
      </c>
      <c r="C16" s="3" t="s">
        <v>379</v>
      </c>
      <c r="D16" s="5">
        <v>1215.58</v>
      </c>
      <c r="E16" s="5">
        <v>1215.58</v>
      </c>
      <c r="F16" s="3" t="s">
        <v>380</v>
      </c>
      <c r="G16" s="4">
        <v>45153</v>
      </c>
      <c r="H16" s="3" t="s">
        <v>276</v>
      </c>
    </row>
    <row r="17" spans="1:8" ht="25.65" hidden="1" customHeight="1" x14ac:dyDescent="0.25">
      <c r="A17" s="3" t="s">
        <v>11</v>
      </c>
      <c r="B17" s="4">
        <v>44951</v>
      </c>
      <c r="C17" s="3" t="s">
        <v>353</v>
      </c>
      <c r="D17" s="5">
        <v>1968.7</v>
      </c>
      <c r="E17" s="5">
        <v>1968.7</v>
      </c>
      <c r="F17" s="3" t="s">
        <v>354</v>
      </c>
      <c r="G17" s="4">
        <v>45153</v>
      </c>
      <c r="H17" s="3" t="s">
        <v>276</v>
      </c>
    </row>
    <row r="18" spans="1:8" ht="25.65" hidden="1" customHeight="1" x14ac:dyDescent="0.25">
      <c r="A18" s="3" t="s">
        <v>11</v>
      </c>
      <c r="B18" s="4">
        <v>44951</v>
      </c>
      <c r="C18" s="3" t="s">
        <v>369</v>
      </c>
      <c r="D18" s="5">
        <v>269.54000000000002</v>
      </c>
      <c r="E18" s="5">
        <v>269.54000000000002</v>
      </c>
      <c r="F18" s="3" t="s">
        <v>370</v>
      </c>
      <c r="G18" s="4">
        <v>45153</v>
      </c>
      <c r="H18" s="3" t="s">
        <v>276</v>
      </c>
    </row>
    <row r="19" spans="1:8" ht="25.65" hidden="1" customHeight="1" x14ac:dyDescent="0.25">
      <c r="A19" s="3" t="s">
        <v>11</v>
      </c>
      <c r="B19" s="4">
        <v>44951</v>
      </c>
      <c r="C19" s="3" t="s">
        <v>305</v>
      </c>
      <c r="D19" s="5">
        <v>1427.73</v>
      </c>
      <c r="E19" s="5">
        <v>1427.73</v>
      </c>
      <c r="F19" s="3" t="s">
        <v>306</v>
      </c>
      <c r="G19" s="4">
        <v>45153</v>
      </c>
      <c r="H19" s="3" t="s">
        <v>276</v>
      </c>
    </row>
    <row r="20" spans="1:8" ht="25.65" hidden="1" customHeight="1" x14ac:dyDescent="0.25">
      <c r="A20" s="3" t="s">
        <v>11</v>
      </c>
      <c r="B20" s="4">
        <v>44951</v>
      </c>
      <c r="C20" s="3" t="s">
        <v>331</v>
      </c>
      <c r="D20" s="5">
        <v>589.72</v>
      </c>
      <c r="E20" s="5">
        <v>589.72</v>
      </c>
      <c r="F20" s="3" t="s">
        <v>332</v>
      </c>
      <c r="G20" s="4">
        <v>45153</v>
      </c>
      <c r="H20" s="3" t="s">
        <v>276</v>
      </c>
    </row>
    <row r="21" spans="1:8" ht="25.65" hidden="1" customHeight="1" x14ac:dyDescent="0.25">
      <c r="A21" s="3" t="s">
        <v>11</v>
      </c>
      <c r="B21" s="4">
        <v>44951</v>
      </c>
      <c r="C21" s="3" t="s">
        <v>333</v>
      </c>
      <c r="D21" s="5">
        <v>714.4</v>
      </c>
      <c r="E21" s="5">
        <v>714.4</v>
      </c>
      <c r="F21" s="3" t="s">
        <v>334</v>
      </c>
      <c r="G21" s="4">
        <v>45153</v>
      </c>
      <c r="H21" s="3" t="s">
        <v>276</v>
      </c>
    </row>
    <row r="22" spans="1:8" ht="25.65" hidden="1" customHeight="1" x14ac:dyDescent="0.25">
      <c r="A22" s="3" t="s">
        <v>11</v>
      </c>
      <c r="B22" s="4">
        <v>44951</v>
      </c>
      <c r="C22" s="3" t="s">
        <v>323</v>
      </c>
      <c r="D22" s="5">
        <v>1.85</v>
      </c>
      <c r="E22" s="5">
        <v>1.85</v>
      </c>
      <c r="F22" s="3" t="s">
        <v>324</v>
      </c>
      <c r="G22" s="4">
        <v>45153</v>
      </c>
      <c r="H22" s="3" t="s">
        <v>276</v>
      </c>
    </row>
    <row r="23" spans="1:8" ht="25.65" hidden="1" customHeight="1" x14ac:dyDescent="0.25">
      <c r="A23" s="3" t="s">
        <v>11</v>
      </c>
      <c r="B23" s="4">
        <v>44951</v>
      </c>
      <c r="C23" s="3" t="s">
        <v>274</v>
      </c>
      <c r="D23" s="5">
        <v>21666.16</v>
      </c>
      <c r="E23" s="5">
        <v>21666.16</v>
      </c>
      <c r="F23" s="3" t="s">
        <v>275</v>
      </c>
      <c r="G23" s="4">
        <v>45153</v>
      </c>
      <c r="H23" s="3" t="s">
        <v>276</v>
      </c>
    </row>
    <row r="24" spans="1:8" ht="25.65" hidden="1" customHeight="1" x14ac:dyDescent="0.25">
      <c r="A24" s="3" t="s">
        <v>11</v>
      </c>
      <c r="B24" s="4">
        <v>44951</v>
      </c>
      <c r="C24" s="3" t="s">
        <v>325</v>
      </c>
      <c r="D24" s="5">
        <v>222.37</v>
      </c>
      <c r="E24" s="5">
        <v>222.37</v>
      </c>
      <c r="F24" s="3" t="s">
        <v>326</v>
      </c>
      <c r="G24" s="4">
        <v>45153</v>
      </c>
      <c r="H24" s="3" t="s">
        <v>276</v>
      </c>
    </row>
    <row r="25" spans="1:8" ht="25.65" hidden="1" customHeight="1" x14ac:dyDescent="0.25">
      <c r="A25" s="3" t="s">
        <v>11</v>
      </c>
      <c r="B25" s="4">
        <v>44951</v>
      </c>
      <c r="C25" s="3" t="s">
        <v>373</v>
      </c>
      <c r="D25" s="5">
        <v>58.88</v>
      </c>
      <c r="E25" s="5">
        <v>58.88</v>
      </c>
      <c r="F25" s="3" t="s">
        <v>374</v>
      </c>
      <c r="G25" s="4">
        <v>45153</v>
      </c>
      <c r="H25" s="3" t="s">
        <v>276</v>
      </c>
    </row>
    <row r="26" spans="1:8" ht="25.65" hidden="1" customHeight="1" x14ac:dyDescent="0.25">
      <c r="A26" s="3" t="s">
        <v>11</v>
      </c>
      <c r="B26" s="4">
        <v>44951</v>
      </c>
      <c r="C26" s="3" t="s">
        <v>355</v>
      </c>
      <c r="D26" s="5">
        <v>2.08</v>
      </c>
      <c r="E26" s="5">
        <v>2.08</v>
      </c>
      <c r="F26" s="3" t="s">
        <v>356</v>
      </c>
      <c r="G26" s="4">
        <v>45153</v>
      </c>
      <c r="H26" s="3" t="s">
        <v>276</v>
      </c>
    </row>
    <row r="27" spans="1:8" ht="25.65" hidden="1" customHeight="1" x14ac:dyDescent="0.25">
      <c r="A27" s="3" t="s">
        <v>11</v>
      </c>
      <c r="B27" s="4">
        <v>44951</v>
      </c>
      <c r="C27" s="3" t="s">
        <v>327</v>
      </c>
      <c r="D27" s="5">
        <v>57.67</v>
      </c>
      <c r="E27" s="5">
        <v>57.67</v>
      </c>
      <c r="F27" s="3" t="s">
        <v>328</v>
      </c>
      <c r="G27" s="4">
        <v>45153</v>
      </c>
      <c r="H27" s="3" t="s">
        <v>276</v>
      </c>
    </row>
    <row r="28" spans="1:8" ht="25.65" hidden="1" customHeight="1" x14ac:dyDescent="0.25">
      <c r="A28" s="3" t="s">
        <v>11</v>
      </c>
      <c r="B28" s="4">
        <v>44951</v>
      </c>
      <c r="C28" s="3" t="s">
        <v>299</v>
      </c>
      <c r="D28" s="5">
        <v>4.58</v>
      </c>
      <c r="E28" s="5">
        <v>4.58</v>
      </c>
      <c r="F28" s="3" t="s">
        <v>300</v>
      </c>
      <c r="G28" s="4">
        <v>45153</v>
      </c>
      <c r="H28" s="3" t="s">
        <v>276</v>
      </c>
    </row>
    <row r="29" spans="1:8" ht="25.65" hidden="1" customHeight="1" x14ac:dyDescent="0.25">
      <c r="A29" s="3" t="s">
        <v>11</v>
      </c>
      <c r="B29" s="4">
        <v>44951</v>
      </c>
      <c r="C29" s="3" t="s">
        <v>347</v>
      </c>
      <c r="D29" s="5">
        <v>263.79000000000002</v>
      </c>
      <c r="E29" s="5">
        <v>263.79000000000002</v>
      </c>
      <c r="F29" s="3" t="s">
        <v>348</v>
      </c>
      <c r="G29" s="4">
        <v>45153</v>
      </c>
      <c r="H29" s="3" t="s">
        <v>276</v>
      </c>
    </row>
    <row r="30" spans="1:8" ht="25.65" hidden="1" customHeight="1" x14ac:dyDescent="0.25">
      <c r="A30" s="3" t="s">
        <v>11</v>
      </c>
      <c r="B30" s="4">
        <v>44951</v>
      </c>
      <c r="C30" s="3" t="s">
        <v>367</v>
      </c>
      <c r="D30" s="5">
        <v>79.83</v>
      </c>
      <c r="E30" s="5">
        <v>79.83</v>
      </c>
      <c r="F30" s="3" t="s">
        <v>368</v>
      </c>
      <c r="G30" s="4">
        <v>45153</v>
      </c>
      <c r="H30" s="3" t="s">
        <v>276</v>
      </c>
    </row>
    <row r="31" spans="1:8" ht="25.65" hidden="1" customHeight="1" x14ac:dyDescent="0.25">
      <c r="A31" s="3" t="s">
        <v>11</v>
      </c>
      <c r="B31" s="4">
        <v>44951</v>
      </c>
      <c r="C31" s="3" t="s">
        <v>319</v>
      </c>
      <c r="D31" s="5">
        <v>497.89</v>
      </c>
      <c r="E31" s="5">
        <v>497.89</v>
      </c>
      <c r="F31" s="3" t="s">
        <v>320</v>
      </c>
      <c r="G31" s="4">
        <v>45153</v>
      </c>
      <c r="H31" s="3" t="s">
        <v>276</v>
      </c>
    </row>
    <row r="32" spans="1:8" ht="25.65" hidden="1" customHeight="1" x14ac:dyDescent="0.25">
      <c r="A32" s="3" t="s">
        <v>11</v>
      </c>
      <c r="B32" s="4">
        <v>44951</v>
      </c>
      <c r="C32" s="3" t="s">
        <v>295</v>
      </c>
      <c r="D32" s="5">
        <v>306.76</v>
      </c>
      <c r="E32" s="5">
        <v>306.76</v>
      </c>
      <c r="F32" s="3" t="s">
        <v>296</v>
      </c>
      <c r="G32" s="4">
        <v>45153</v>
      </c>
      <c r="H32" s="3" t="s">
        <v>276</v>
      </c>
    </row>
    <row r="33" spans="1:8" ht="25.65" hidden="1" customHeight="1" x14ac:dyDescent="0.25">
      <c r="A33" s="3" t="s">
        <v>11</v>
      </c>
      <c r="B33" s="4">
        <v>44951</v>
      </c>
      <c r="C33" s="3" t="s">
        <v>343</v>
      </c>
      <c r="D33" s="5">
        <v>37.08</v>
      </c>
      <c r="E33" s="5">
        <v>37.08</v>
      </c>
      <c r="F33" s="3" t="s">
        <v>344</v>
      </c>
      <c r="G33" s="4">
        <v>45153</v>
      </c>
      <c r="H33" s="3" t="s">
        <v>276</v>
      </c>
    </row>
    <row r="34" spans="1:8" ht="25.65" hidden="1" customHeight="1" x14ac:dyDescent="0.25">
      <c r="A34" s="3" t="s">
        <v>11</v>
      </c>
      <c r="B34" s="4">
        <v>44951</v>
      </c>
      <c r="C34" s="3" t="s">
        <v>345</v>
      </c>
      <c r="D34" s="5">
        <v>4319</v>
      </c>
      <c r="E34" s="5">
        <v>4319</v>
      </c>
      <c r="F34" s="3" t="s">
        <v>346</v>
      </c>
      <c r="G34" s="4">
        <v>45153</v>
      </c>
      <c r="H34" s="3" t="s">
        <v>276</v>
      </c>
    </row>
    <row r="35" spans="1:8" ht="25.65" hidden="1" customHeight="1" x14ac:dyDescent="0.25">
      <c r="A35" s="3" t="s">
        <v>11</v>
      </c>
      <c r="B35" s="4">
        <v>44951</v>
      </c>
      <c r="C35" s="3" t="s">
        <v>357</v>
      </c>
      <c r="D35" s="5">
        <v>1523.52</v>
      </c>
      <c r="E35" s="5">
        <v>1523.52</v>
      </c>
      <c r="F35" s="3" t="s">
        <v>358</v>
      </c>
      <c r="G35" s="4">
        <v>45153</v>
      </c>
      <c r="H35" s="3" t="s">
        <v>276</v>
      </c>
    </row>
    <row r="36" spans="1:8" ht="25.65" hidden="1" customHeight="1" x14ac:dyDescent="0.25">
      <c r="A36" s="3" t="s">
        <v>11</v>
      </c>
      <c r="B36" s="4">
        <v>44951</v>
      </c>
      <c r="C36" s="3" t="s">
        <v>335</v>
      </c>
      <c r="D36" s="5">
        <v>3020.35</v>
      </c>
      <c r="E36" s="5">
        <v>3020.35</v>
      </c>
      <c r="F36" s="3" t="s">
        <v>336</v>
      </c>
      <c r="G36" s="4">
        <v>45153</v>
      </c>
      <c r="H36" s="3" t="s">
        <v>276</v>
      </c>
    </row>
    <row r="37" spans="1:8" ht="25.65" hidden="1" customHeight="1" x14ac:dyDescent="0.25">
      <c r="A37" s="3" t="s">
        <v>11</v>
      </c>
      <c r="B37" s="4">
        <v>44951</v>
      </c>
      <c r="C37" s="3" t="s">
        <v>337</v>
      </c>
      <c r="D37" s="5">
        <v>21.24</v>
      </c>
      <c r="E37" s="5">
        <v>21.24</v>
      </c>
      <c r="F37" s="3" t="s">
        <v>338</v>
      </c>
      <c r="G37" s="4">
        <v>45153</v>
      </c>
      <c r="H37" s="3" t="s">
        <v>276</v>
      </c>
    </row>
    <row r="38" spans="1:8" ht="25.65" hidden="1" customHeight="1" x14ac:dyDescent="0.25">
      <c r="A38" s="3" t="s">
        <v>11</v>
      </c>
      <c r="B38" s="4">
        <v>44951</v>
      </c>
      <c r="C38" s="3" t="s">
        <v>293</v>
      </c>
      <c r="D38" s="5">
        <v>949.44</v>
      </c>
      <c r="E38" s="5">
        <v>949.44</v>
      </c>
      <c r="F38" s="3" t="s">
        <v>294</v>
      </c>
      <c r="G38" s="4">
        <v>45153</v>
      </c>
      <c r="H38" s="3" t="s">
        <v>276</v>
      </c>
    </row>
    <row r="39" spans="1:8" ht="25.65" hidden="1" customHeight="1" x14ac:dyDescent="0.25">
      <c r="A39" s="3" t="s">
        <v>11</v>
      </c>
      <c r="B39" s="4">
        <v>44951</v>
      </c>
      <c r="C39" s="3" t="s">
        <v>339</v>
      </c>
      <c r="D39" s="5">
        <v>361.55</v>
      </c>
      <c r="E39" s="5">
        <v>361.55</v>
      </c>
      <c r="F39" s="3" t="s">
        <v>340</v>
      </c>
      <c r="G39" s="4">
        <v>45153</v>
      </c>
      <c r="H39" s="3" t="s">
        <v>276</v>
      </c>
    </row>
    <row r="40" spans="1:8" ht="25.65" hidden="1" customHeight="1" x14ac:dyDescent="0.25">
      <c r="A40" s="3" t="s">
        <v>11</v>
      </c>
      <c r="B40" s="4">
        <v>44951</v>
      </c>
      <c r="C40" s="3" t="s">
        <v>371</v>
      </c>
      <c r="D40" s="5">
        <v>274.64</v>
      </c>
      <c r="E40" s="5">
        <v>274.64</v>
      </c>
      <c r="F40" s="3" t="s">
        <v>372</v>
      </c>
      <c r="G40" s="4">
        <v>45153</v>
      </c>
      <c r="H40" s="3" t="s">
        <v>276</v>
      </c>
    </row>
    <row r="41" spans="1:8" ht="25.65" hidden="1" customHeight="1" x14ac:dyDescent="0.25">
      <c r="A41" s="3" t="s">
        <v>11</v>
      </c>
      <c r="B41" s="4">
        <v>44951</v>
      </c>
      <c r="C41" s="3" t="s">
        <v>285</v>
      </c>
      <c r="D41" s="5">
        <v>702.47</v>
      </c>
      <c r="E41" s="5">
        <v>702.47</v>
      </c>
      <c r="F41" s="3" t="s">
        <v>286</v>
      </c>
      <c r="G41" s="4">
        <v>45153</v>
      </c>
      <c r="H41" s="3" t="s">
        <v>276</v>
      </c>
    </row>
    <row r="42" spans="1:8" ht="25.65" hidden="1" customHeight="1" x14ac:dyDescent="0.25">
      <c r="A42" s="3" t="s">
        <v>11</v>
      </c>
      <c r="B42" s="4">
        <v>44951</v>
      </c>
      <c r="C42" s="3" t="s">
        <v>297</v>
      </c>
      <c r="D42" s="5">
        <v>347.13</v>
      </c>
      <c r="E42" s="5">
        <v>347.13</v>
      </c>
      <c r="F42" s="3" t="s">
        <v>298</v>
      </c>
      <c r="G42" s="4">
        <v>45153</v>
      </c>
      <c r="H42" s="3" t="s">
        <v>276</v>
      </c>
    </row>
    <row r="43" spans="1:8" ht="25.65" hidden="1" customHeight="1" x14ac:dyDescent="0.25">
      <c r="A43" s="3" t="s">
        <v>11</v>
      </c>
      <c r="B43" s="4">
        <v>44951</v>
      </c>
      <c r="C43" s="3" t="s">
        <v>377</v>
      </c>
      <c r="D43" s="5">
        <v>7631.77</v>
      </c>
      <c r="E43" s="5">
        <v>7631.77</v>
      </c>
      <c r="F43" s="3" t="s">
        <v>378</v>
      </c>
      <c r="G43" s="4">
        <v>45153</v>
      </c>
      <c r="H43" s="3" t="s">
        <v>276</v>
      </c>
    </row>
    <row r="44" spans="1:8" ht="25.65" hidden="1" customHeight="1" x14ac:dyDescent="0.25">
      <c r="A44" s="3" t="s">
        <v>11</v>
      </c>
      <c r="B44" s="4">
        <v>44951</v>
      </c>
      <c r="C44" s="3" t="s">
        <v>307</v>
      </c>
      <c r="D44" s="5">
        <v>433.75</v>
      </c>
      <c r="E44" s="5">
        <v>433.75</v>
      </c>
      <c r="F44" s="3" t="s">
        <v>308</v>
      </c>
      <c r="G44" s="4">
        <v>45153</v>
      </c>
      <c r="H44" s="3" t="s">
        <v>276</v>
      </c>
    </row>
    <row r="45" spans="1:8" ht="25.65" hidden="1" customHeight="1" x14ac:dyDescent="0.25">
      <c r="A45" s="3" t="s">
        <v>11</v>
      </c>
      <c r="B45" s="4">
        <v>44951</v>
      </c>
      <c r="C45" s="3" t="s">
        <v>359</v>
      </c>
      <c r="D45" s="5">
        <v>2557.77</v>
      </c>
      <c r="E45" s="5">
        <v>2557.77</v>
      </c>
      <c r="F45" s="3" t="s">
        <v>360</v>
      </c>
      <c r="G45" s="4">
        <v>45153</v>
      </c>
      <c r="H45" s="3" t="s">
        <v>276</v>
      </c>
    </row>
    <row r="46" spans="1:8" ht="25.65" hidden="1" customHeight="1" x14ac:dyDescent="0.25">
      <c r="A46" s="3" t="s">
        <v>11</v>
      </c>
      <c r="B46" s="4">
        <v>44951</v>
      </c>
      <c r="C46" s="3" t="s">
        <v>281</v>
      </c>
      <c r="D46" s="5">
        <v>4559.2</v>
      </c>
      <c r="E46" s="5">
        <v>4559.2</v>
      </c>
      <c r="F46" s="3" t="s">
        <v>282</v>
      </c>
      <c r="G46" s="4">
        <v>45153</v>
      </c>
      <c r="H46" s="3" t="s">
        <v>276</v>
      </c>
    </row>
    <row r="47" spans="1:8" ht="25.65" hidden="1" customHeight="1" x14ac:dyDescent="0.25">
      <c r="A47" s="3" t="s">
        <v>11</v>
      </c>
      <c r="B47" s="4">
        <v>44951</v>
      </c>
      <c r="C47" s="3" t="s">
        <v>363</v>
      </c>
      <c r="D47" s="5">
        <v>8083.24</v>
      </c>
      <c r="E47" s="5">
        <v>8083.24</v>
      </c>
      <c r="F47" s="3" t="s">
        <v>364</v>
      </c>
      <c r="G47" s="4">
        <v>45153</v>
      </c>
      <c r="H47" s="3" t="s">
        <v>276</v>
      </c>
    </row>
    <row r="48" spans="1:8" ht="25.65" hidden="1" customHeight="1" x14ac:dyDescent="0.25">
      <c r="A48" s="3" t="s">
        <v>11</v>
      </c>
      <c r="B48" s="4">
        <v>44951</v>
      </c>
      <c r="C48" s="3" t="s">
        <v>365</v>
      </c>
      <c r="D48" s="5">
        <v>1552.95</v>
      </c>
      <c r="E48" s="5">
        <v>1552.95</v>
      </c>
      <c r="F48" s="3" t="s">
        <v>366</v>
      </c>
      <c r="G48" s="4">
        <v>45153</v>
      </c>
      <c r="H48" s="3" t="s">
        <v>276</v>
      </c>
    </row>
    <row r="49" spans="1:8" ht="25.65" hidden="1" customHeight="1" x14ac:dyDescent="0.25">
      <c r="A49" s="3" t="s">
        <v>11</v>
      </c>
      <c r="B49" s="4">
        <v>44951</v>
      </c>
      <c r="C49" s="3" t="s">
        <v>383</v>
      </c>
      <c r="D49" s="5">
        <v>2461.8000000000002</v>
      </c>
      <c r="E49" s="5">
        <v>2461.8000000000002</v>
      </c>
      <c r="F49" s="3" t="s">
        <v>384</v>
      </c>
      <c r="G49" s="4">
        <v>45153</v>
      </c>
      <c r="H49" s="3" t="s">
        <v>276</v>
      </c>
    </row>
    <row r="50" spans="1:8" ht="25.65" customHeight="1" x14ac:dyDescent="0.25">
      <c r="A50" s="3" t="s">
        <v>11</v>
      </c>
      <c r="B50" s="4">
        <v>44951</v>
      </c>
      <c r="C50" s="3" t="s">
        <v>329</v>
      </c>
      <c r="D50" s="5">
        <v>10225.790000000001</v>
      </c>
      <c r="E50" s="5">
        <v>10225.790000000001</v>
      </c>
      <c r="F50" s="3" t="s">
        <v>330</v>
      </c>
      <c r="G50" s="4">
        <v>45153</v>
      </c>
      <c r="H50" s="3" t="s">
        <v>276</v>
      </c>
    </row>
    <row r="51" spans="1:8" ht="25.65" hidden="1" customHeight="1" x14ac:dyDescent="0.25">
      <c r="A51" s="3" t="s">
        <v>11</v>
      </c>
      <c r="B51" s="4">
        <v>44951</v>
      </c>
      <c r="C51" s="3" t="s">
        <v>279</v>
      </c>
      <c r="D51" s="5">
        <v>592.99</v>
      </c>
      <c r="E51" s="5">
        <v>592.99</v>
      </c>
      <c r="F51" s="3" t="s">
        <v>280</v>
      </c>
      <c r="G51" s="4">
        <v>45153</v>
      </c>
      <c r="H51" s="3" t="s">
        <v>276</v>
      </c>
    </row>
    <row r="52" spans="1:8" ht="25.65" hidden="1" customHeight="1" x14ac:dyDescent="0.25">
      <c r="A52" s="3" t="s">
        <v>11</v>
      </c>
      <c r="B52" s="4">
        <v>44951</v>
      </c>
      <c r="C52" s="3" t="s">
        <v>311</v>
      </c>
      <c r="D52" s="5">
        <v>14199.56</v>
      </c>
      <c r="E52" s="5">
        <v>14199.56</v>
      </c>
      <c r="F52" s="3" t="s">
        <v>312</v>
      </c>
      <c r="G52" s="4">
        <v>45153</v>
      </c>
      <c r="H52" s="3" t="s">
        <v>276</v>
      </c>
    </row>
    <row r="53" spans="1:8" ht="25.65" hidden="1" customHeight="1" x14ac:dyDescent="0.25">
      <c r="A53" s="3" t="s">
        <v>11</v>
      </c>
      <c r="B53" s="4">
        <v>44951</v>
      </c>
      <c r="C53" s="3" t="s">
        <v>289</v>
      </c>
      <c r="D53" s="5">
        <v>7316.34</v>
      </c>
      <c r="E53" s="5">
        <v>7316.34</v>
      </c>
      <c r="F53" s="3" t="s">
        <v>290</v>
      </c>
      <c r="G53" s="4">
        <v>45153</v>
      </c>
      <c r="H53" s="3" t="s">
        <v>276</v>
      </c>
    </row>
    <row r="54" spans="1:8" ht="25.65" hidden="1" customHeight="1" x14ac:dyDescent="0.25">
      <c r="A54" s="3" t="s">
        <v>11</v>
      </c>
      <c r="B54" s="4">
        <v>44951</v>
      </c>
      <c r="C54" s="3" t="s">
        <v>361</v>
      </c>
      <c r="D54" s="5">
        <v>2758.03</v>
      </c>
      <c r="E54" s="5">
        <v>2758.03</v>
      </c>
      <c r="F54" s="3" t="s">
        <v>362</v>
      </c>
      <c r="G54" s="4">
        <v>45153</v>
      </c>
      <c r="H54" s="3" t="s">
        <v>276</v>
      </c>
    </row>
    <row r="55" spans="1:8" ht="25.65" hidden="1" customHeight="1" x14ac:dyDescent="0.25">
      <c r="A55" s="3" t="s">
        <v>11</v>
      </c>
      <c r="B55" s="4">
        <v>44951</v>
      </c>
      <c r="C55" s="3" t="s">
        <v>291</v>
      </c>
      <c r="D55" s="5">
        <v>18.760000000000002</v>
      </c>
      <c r="E55" s="5">
        <v>18.760000000000002</v>
      </c>
      <c r="F55" s="3" t="s">
        <v>292</v>
      </c>
      <c r="G55" s="4">
        <v>45153</v>
      </c>
      <c r="H55" s="3" t="s">
        <v>276</v>
      </c>
    </row>
    <row r="56" spans="1:8" ht="25.65" hidden="1" customHeight="1" x14ac:dyDescent="0.25">
      <c r="A56" s="3" t="s">
        <v>11</v>
      </c>
      <c r="B56" s="4">
        <v>44951</v>
      </c>
      <c r="C56" s="3" t="s">
        <v>313</v>
      </c>
      <c r="D56" s="5">
        <v>394.5</v>
      </c>
      <c r="E56" s="5">
        <v>394.5</v>
      </c>
      <c r="F56" s="3" t="s">
        <v>314</v>
      </c>
      <c r="G56" s="4">
        <v>45153</v>
      </c>
      <c r="H56" s="3" t="s">
        <v>276</v>
      </c>
    </row>
    <row r="57" spans="1:8" ht="25.65" hidden="1" customHeight="1" x14ac:dyDescent="0.25">
      <c r="A57" s="3" t="s">
        <v>11</v>
      </c>
      <c r="B57" s="4">
        <v>44951</v>
      </c>
      <c r="C57" s="3" t="s">
        <v>381</v>
      </c>
      <c r="D57" s="5">
        <v>488.83</v>
      </c>
      <c r="E57" s="5">
        <v>488.83</v>
      </c>
      <c r="F57" s="3" t="s">
        <v>382</v>
      </c>
      <c r="G57" s="4">
        <v>45153</v>
      </c>
      <c r="H57" s="3" t="s">
        <v>276</v>
      </c>
    </row>
    <row r="58" spans="1:8" ht="25.65" hidden="1" customHeight="1" x14ac:dyDescent="0.25">
      <c r="A58" s="3" t="s">
        <v>11</v>
      </c>
      <c r="B58" s="4">
        <v>45041</v>
      </c>
      <c r="C58" s="3" t="s">
        <v>461</v>
      </c>
      <c r="D58" s="5">
        <v>1436.32</v>
      </c>
      <c r="E58" s="5">
        <v>1436.32</v>
      </c>
      <c r="F58" s="3" t="s">
        <v>462</v>
      </c>
      <c r="G58" s="4">
        <v>45153</v>
      </c>
      <c r="H58" s="3" t="s">
        <v>276</v>
      </c>
    </row>
    <row r="59" spans="1:8" ht="25.65" hidden="1" customHeight="1" x14ac:dyDescent="0.25">
      <c r="A59" s="3" t="s">
        <v>11</v>
      </c>
      <c r="B59" s="4">
        <v>45041</v>
      </c>
      <c r="C59" s="3" t="s">
        <v>475</v>
      </c>
      <c r="D59" s="5">
        <v>32.700000000000003</v>
      </c>
      <c r="E59" s="5">
        <v>32.700000000000003</v>
      </c>
      <c r="F59" s="3" t="s">
        <v>476</v>
      </c>
      <c r="G59" s="4">
        <v>45153</v>
      </c>
      <c r="H59" s="3" t="s">
        <v>276</v>
      </c>
    </row>
    <row r="60" spans="1:8" ht="25.65" hidden="1" customHeight="1" x14ac:dyDescent="0.25">
      <c r="A60" s="3" t="s">
        <v>11</v>
      </c>
      <c r="B60" s="4">
        <v>45041</v>
      </c>
      <c r="C60" s="3" t="s">
        <v>455</v>
      </c>
      <c r="D60" s="5">
        <v>280.54000000000002</v>
      </c>
      <c r="E60" s="5">
        <v>280.54000000000002</v>
      </c>
      <c r="F60" s="3" t="s">
        <v>456</v>
      </c>
      <c r="G60" s="4">
        <v>45153</v>
      </c>
      <c r="H60" s="3" t="s">
        <v>276</v>
      </c>
    </row>
    <row r="61" spans="1:8" ht="25.65" hidden="1" customHeight="1" x14ac:dyDescent="0.25">
      <c r="A61" s="3" t="s">
        <v>11</v>
      </c>
      <c r="B61" s="4">
        <v>45041</v>
      </c>
      <c r="C61" s="3" t="s">
        <v>395</v>
      </c>
      <c r="D61" s="5">
        <v>1789.36</v>
      </c>
      <c r="E61" s="5">
        <v>1789.36</v>
      </c>
      <c r="F61" s="3" t="s">
        <v>396</v>
      </c>
      <c r="G61" s="4">
        <v>45153</v>
      </c>
      <c r="H61" s="3" t="s">
        <v>276</v>
      </c>
    </row>
    <row r="62" spans="1:8" ht="25.65" hidden="1" customHeight="1" x14ac:dyDescent="0.25">
      <c r="A62" s="3" t="s">
        <v>11</v>
      </c>
      <c r="B62" s="4">
        <v>45041</v>
      </c>
      <c r="C62" s="3" t="s">
        <v>457</v>
      </c>
      <c r="D62" s="5">
        <v>5430.98</v>
      </c>
      <c r="E62" s="5">
        <v>5430.98</v>
      </c>
      <c r="F62" s="3" t="s">
        <v>458</v>
      </c>
      <c r="G62" s="4">
        <v>45153</v>
      </c>
      <c r="H62" s="3" t="s">
        <v>276</v>
      </c>
    </row>
    <row r="63" spans="1:8" ht="25.65" hidden="1" customHeight="1" x14ac:dyDescent="0.25">
      <c r="A63" s="3" t="s">
        <v>11</v>
      </c>
      <c r="B63" s="4">
        <v>45041</v>
      </c>
      <c r="C63" s="3" t="s">
        <v>405</v>
      </c>
      <c r="D63" s="5">
        <v>2196.69</v>
      </c>
      <c r="E63" s="5">
        <v>2196.69</v>
      </c>
      <c r="F63" s="3" t="s">
        <v>406</v>
      </c>
      <c r="G63" s="4">
        <v>45153</v>
      </c>
      <c r="H63" s="3" t="s">
        <v>276</v>
      </c>
    </row>
    <row r="64" spans="1:8" ht="25.65" hidden="1" customHeight="1" x14ac:dyDescent="0.25">
      <c r="A64" s="3" t="s">
        <v>11</v>
      </c>
      <c r="B64" s="4">
        <v>45041</v>
      </c>
      <c r="C64" s="3" t="s">
        <v>459</v>
      </c>
      <c r="D64" s="5">
        <v>37.44</v>
      </c>
      <c r="E64" s="5">
        <v>37.44</v>
      </c>
      <c r="F64" s="3" t="s">
        <v>460</v>
      </c>
      <c r="G64" s="4">
        <v>45153</v>
      </c>
      <c r="H64" s="3" t="s">
        <v>276</v>
      </c>
    </row>
    <row r="65" spans="1:8" ht="25.65" hidden="1" customHeight="1" x14ac:dyDescent="0.25">
      <c r="A65" s="3" t="s">
        <v>11</v>
      </c>
      <c r="B65" s="4">
        <v>45041</v>
      </c>
      <c r="C65" s="3" t="s">
        <v>391</v>
      </c>
      <c r="D65" s="5">
        <v>53.86</v>
      </c>
      <c r="E65" s="5">
        <v>53.86</v>
      </c>
      <c r="F65" s="3" t="s">
        <v>392</v>
      </c>
      <c r="G65" s="4">
        <v>45153</v>
      </c>
      <c r="H65" s="3" t="s">
        <v>276</v>
      </c>
    </row>
    <row r="66" spans="1:8" ht="25.65" hidden="1" customHeight="1" x14ac:dyDescent="0.25">
      <c r="A66" s="3" t="s">
        <v>11</v>
      </c>
      <c r="B66" s="4">
        <v>45041</v>
      </c>
      <c r="C66" s="3" t="s">
        <v>463</v>
      </c>
      <c r="D66" s="5">
        <v>567.84</v>
      </c>
      <c r="E66" s="5">
        <v>567.84</v>
      </c>
      <c r="F66" s="3" t="s">
        <v>464</v>
      </c>
      <c r="G66" s="4">
        <v>45153</v>
      </c>
      <c r="H66" s="3" t="s">
        <v>276</v>
      </c>
    </row>
    <row r="67" spans="1:8" ht="25.65" hidden="1" customHeight="1" x14ac:dyDescent="0.25">
      <c r="A67" s="3" t="s">
        <v>11</v>
      </c>
      <c r="B67" s="4">
        <v>45041</v>
      </c>
      <c r="C67" s="3" t="s">
        <v>399</v>
      </c>
      <c r="D67" s="5">
        <v>687.91</v>
      </c>
      <c r="E67" s="5">
        <v>687.91</v>
      </c>
      <c r="F67" s="3" t="s">
        <v>400</v>
      </c>
      <c r="G67" s="4">
        <v>45153</v>
      </c>
      <c r="H67" s="3" t="s">
        <v>276</v>
      </c>
    </row>
    <row r="68" spans="1:8" ht="25.65" hidden="1" customHeight="1" x14ac:dyDescent="0.25">
      <c r="A68" s="3" t="s">
        <v>11</v>
      </c>
      <c r="B68" s="4">
        <v>45041</v>
      </c>
      <c r="C68" s="3" t="s">
        <v>443</v>
      </c>
      <c r="D68" s="5">
        <v>684.68</v>
      </c>
      <c r="E68" s="5">
        <v>684.68</v>
      </c>
      <c r="F68" s="3" t="s">
        <v>444</v>
      </c>
      <c r="G68" s="4">
        <v>45153</v>
      </c>
      <c r="H68" s="3" t="s">
        <v>276</v>
      </c>
    </row>
    <row r="69" spans="1:8" ht="25.65" hidden="1" customHeight="1" x14ac:dyDescent="0.25">
      <c r="A69" s="3" t="s">
        <v>11</v>
      </c>
      <c r="B69" s="4">
        <v>45041</v>
      </c>
      <c r="C69" s="3" t="s">
        <v>485</v>
      </c>
      <c r="D69" s="5">
        <v>30.6</v>
      </c>
      <c r="E69" s="5">
        <v>30.6</v>
      </c>
      <c r="F69" s="3" t="s">
        <v>486</v>
      </c>
      <c r="G69" s="4">
        <v>45153</v>
      </c>
      <c r="H69" s="3" t="s">
        <v>276</v>
      </c>
    </row>
    <row r="70" spans="1:8" ht="25.65" hidden="1" customHeight="1" x14ac:dyDescent="0.25">
      <c r="A70" s="3" t="s">
        <v>11</v>
      </c>
      <c r="B70" s="4">
        <v>45041</v>
      </c>
      <c r="C70" s="3" t="s">
        <v>503</v>
      </c>
      <c r="D70" s="5">
        <v>5807.2</v>
      </c>
      <c r="E70" s="5">
        <v>5807.2</v>
      </c>
      <c r="F70" s="3" t="s">
        <v>504</v>
      </c>
      <c r="G70" s="4">
        <v>45153</v>
      </c>
      <c r="H70" s="3" t="s">
        <v>276</v>
      </c>
    </row>
    <row r="71" spans="1:8" ht="25.65" hidden="1" customHeight="1" x14ac:dyDescent="0.25">
      <c r="A71" s="3" t="s">
        <v>11</v>
      </c>
      <c r="B71" s="4">
        <v>45041</v>
      </c>
      <c r="C71" s="3" t="s">
        <v>491</v>
      </c>
      <c r="D71" s="5">
        <v>41.56</v>
      </c>
      <c r="E71" s="5">
        <v>41.56</v>
      </c>
      <c r="F71" s="3" t="s">
        <v>492</v>
      </c>
      <c r="G71" s="4">
        <v>45153</v>
      </c>
      <c r="H71" s="3" t="s">
        <v>276</v>
      </c>
    </row>
    <row r="72" spans="1:8" ht="25.65" hidden="1" customHeight="1" x14ac:dyDescent="0.25">
      <c r="A72" s="3" t="s">
        <v>11</v>
      </c>
      <c r="B72" s="4">
        <v>45041</v>
      </c>
      <c r="C72" s="3" t="s">
        <v>397</v>
      </c>
      <c r="D72" s="5">
        <v>20620.78</v>
      </c>
      <c r="E72" s="5">
        <v>20620.78</v>
      </c>
      <c r="F72" s="3" t="s">
        <v>398</v>
      </c>
      <c r="G72" s="4">
        <v>45153</v>
      </c>
      <c r="H72" s="3" t="s">
        <v>276</v>
      </c>
    </row>
    <row r="73" spans="1:8" ht="25.65" customHeight="1" x14ac:dyDescent="0.25">
      <c r="A73" s="3" t="s">
        <v>11</v>
      </c>
      <c r="B73" s="4">
        <v>45041</v>
      </c>
      <c r="C73" s="3" t="s">
        <v>499</v>
      </c>
      <c r="D73" s="5">
        <v>9906.9</v>
      </c>
      <c r="E73" s="5">
        <v>9906.9</v>
      </c>
      <c r="F73" s="3" t="s">
        <v>500</v>
      </c>
      <c r="G73" s="4">
        <v>45153</v>
      </c>
      <c r="H73" s="3" t="s">
        <v>276</v>
      </c>
    </row>
    <row r="74" spans="1:8" ht="25.65" hidden="1" customHeight="1" x14ac:dyDescent="0.25">
      <c r="A74" s="3" t="s">
        <v>11</v>
      </c>
      <c r="B74" s="4">
        <v>45041</v>
      </c>
      <c r="C74" s="3" t="s">
        <v>419</v>
      </c>
      <c r="D74" s="5">
        <v>7393.65</v>
      </c>
      <c r="E74" s="5">
        <v>7393.65</v>
      </c>
      <c r="F74" s="3" t="s">
        <v>420</v>
      </c>
      <c r="G74" s="4">
        <v>45153</v>
      </c>
      <c r="H74" s="3" t="s">
        <v>276</v>
      </c>
    </row>
    <row r="75" spans="1:8" ht="25.65" hidden="1" customHeight="1" x14ac:dyDescent="0.25">
      <c r="A75" s="3" t="s">
        <v>11</v>
      </c>
      <c r="B75" s="4">
        <v>45041</v>
      </c>
      <c r="C75" s="3" t="s">
        <v>433</v>
      </c>
      <c r="D75" s="5">
        <v>4128.5200000000004</v>
      </c>
      <c r="E75" s="5">
        <v>4128.5200000000004</v>
      </c>
      <c r="F75" s="3" t="s">
        <v>434</v>
      </c>
      <c r="G75" s="4">
        <v>45153</v>
      </c>
      <c r="H75" s="3" t="s">
        <v>276</v>
      </c>
    </row>
    <row r="76" spans="1:8" ht="25.65" hidden="1" customHeight="1" x14ac:dyDescent="0.25">
      <c r="A76" s="3" t="s">
        <v>11</v>
      </c>
      <c r="B76" s="4">
        <v>45041</v>
      </c>
      <c r="C76" s="3" t="s">
        <v>465</v>
      </c>
      <c r="D76" s="5">
        <v>974.43</v>
      </c>
      <c r="E76" s="5">
        <v>974.43</v>
      </c>
      <c r="F76" s="3" t="s">
        <v>466</v>
      </c>
      <c r="G76" s="4">
        <v>45153</v>
      </c>
      <c r="H76" s="3" t="s">
        <v>276</v>
      </c>
    </row>
    <row r="77" spans="1:8" ht="25.65" hidden="1" customHeight="1" x14ac:dyDescent="0.25">
      <c r="A77" s="3" t="s">
        <v>11</v>
      </c>
      <c r="B77" s="4">
        <v>45041</v>
      </c>
      <c r="C77" s="3" t="s">
        <v>401</v>
      </c>
      <c r="D77" s="5">
        <v>802.19</v>
      </c>
      <c r="E77" s="5">
        <v>802.19</v>
      </c>
      <c r="F77" s="3" t="s">
        <v>402</v>
      </c>
      <c r="G77" s="4">
        <v>45153</v>
      </c>
      <c r="H77" s="3" t="s">
        <v>276</v>
      </c>
    </row>
    <row r="78" spans="1:8" ht="25.65" hidden="1" customHeight="1" x14ac:dyDescent="0.25">
      <c r="A78" s="3" t="s">
        <v>11</v>
      </c>
      <c r="B78" s="4">
        <v>45041</v>
      </c>
      <c r="C78" s="3" t="s">
        <v>421</v>
      </c>
      <c r="D78" s="5">
        <v>13754.37</v>
      </c>
      <c r="E78" s="5">
        <v>13754.37</v>
      </c>
      <c r="F78" s="3" t="s">
        <v>422</v>
      </c>
      <c r="G78" s="4">
        <v>45153</v>
      </c>
      <c r="H78" s="3" t="s">
        <v>276</v>
      </c>
    </row>
    <row r="79" spans="1:8" ht="25.65" hidden="1" customHeight="1" x14ac:dyDescent="0.25">
      <c r="A79" s="3" t="s">
        <v>11</v>
      </c>
      <c r="B79" s="4">
        <v>45041</v>
      </c>
      <c r="C79" s="3" t="s">
        <v>451</v>
      </c>
      <c r="D79" s="5">
        <v>4372.16</v>
      </c>
      <c r="E79" s="5">
        <v>4372.16</v>
      </c>
      <c r="F79" s="3" t="s">
        <v>452</v>
      </c>
      <c r="G79" s="4">
        <v>45153</v>
      </c>
      <c r="H79" s="3" t="s">
        <v>276</v>
      </c>
    </row>
    <row r="80" spans="1:8" ht="25.65" hidden="1" customHeight="1" x14ac:dyDescent="0.25">
      <c r="A80" s="3" t="s">
        <v>11</v>
      </c>
      <c r="B80" s="4">
        <v>45041</v>
      </c>
      <c r="C80" s="3" t="s">
        <v>403</v>
      </c>
      <c r="D80" s="5">
        <v>7148.72</v>
      </c>
      <c r="E80" s="5">
        <v>7148.72</v>
      </c>
      <c r="F80" s="3" t="s">
        <v>404</v>
      </c>
      <c r="G80" s="4">
        <v>45153</v>
      </c>
      <c r="H80" s="3" t="s">
        <v>276</v>
      </c>
    </row>
    <row r="81" spans="1:8" ht="25.65" hidden="1" customHeight="1" x14ac:dyDescent="0.25">
      <c r="A81" s="3" t="s">
        <v>11</v>
      </c>
      <c r="B81" s="4">
        <v>45041</v>
      </c>
      <c r="C81" s="3" t="s">
        <v>437</v>
      </c>
      <c r="D81" s="5">
        <v>2659.87</v>
      </c>
      <c r="E81" s="5">
        <v>2659.87</v>
      </c>
      <c r="F81" s="3" t="s">
        <v>438</v>
      </c>
      <c r="G81" s="4">
        <v>45153</v>
      </c>
      <c r="H81" s="3" t="s">
        <v>276</v>
      </c>
    </row>
    <row r="82" spans="1:8" ht="25.65" hidden="1" customHeight="1" x14ac:dyDescent="0.25">
      <c r="A82" s="3" t="s">
        <v>11</v>
      </c>
      <c r="B82" s="4">
        <v>45041</v>
      </c>
      <c r="C82" s="3" t="s">
        <v>423</v>
      </c>
      <c r="D82" s="5">
        <v>74359.259999999995</v>
      </c>
      <c r="E82" s="5">
        <v>74359.259999999995</v>
      </c>
      <c r="F82" s="3" t="s">
        <v>424</v>
      </c>
      <c r="G82" s="4">
        <v>45153</v>
      </c>
      <c r="H82" s="3" t="s">
        <v>276</v>
      </c>
    </row>
    <row r="83" spans="1:8" ht="25.65" hidden="1" customHeight="1" x14ac:dyDescent="0.25">
      <c r="A83" s="3" t="s">
        <v>11</v>
      </c>
      <c r="B83" s="4">
        <v>45041</v>
      </c>
      <c r="C83" s="3" t="s">
        <v>479</v>
      </c>
      <c r="D83" s="5">
        <v>4.3600000000000003</v>
      </c>
      <c r="E83" s="5">
        <v>4.3600000000000003</v>
      </c>
      <c r="F83" s="3" t="s">
        <v>480</v>
      </c>
      <c r="G83" s="4">
        <v>45153</v>
      </c>
      <c r="H83" s="3" t="s">
        <v>276</v>
      </c>
    </row>
    <row r="84" spans="1:8" ht="25.65" hidden="1" customHeight="1" x14ac:dyDescent="0.25">
      <c r="A84" s="3" t="s">
        <v>11</v>
      </c>
      <c r="B84" s="4">
        <v>45041</v>
      </c>
      <c r="C84" s="3" t="s">
        <v>467</v>
      </c>
      <c r="D84" s="5">
        <v>382.53</v>
      </c>
      <c r="E84" s="5">
        <v>382.53</v>
      </c>
      <c r="F84" s="3" t="s">
        <v>468</v>
      </c>
      <c r="G84" s="4">
        <v>45153</v>
      </c>
      <c r="H84" s="3" t="s">
        <v>276</v>
      </c>
    </row>
    <row r="85" spans="1:8" ht="25.65" hidden="1" customHeight="1" x14ac:dyDescent="0.25">
      <c r="A85" s="3" t="s">
        <v>11</v>
      </c>
      <c r="B85" s="4">
        <v>45041</v>
      </c>
      <c r="C85" s="3" t="s">
        <v>481</v>
      </c>
      <c r="D85" s="5">
        <v>894.84</v>
      </c>
      <c r="E85" s="5">
        <v>894.84</v>
      </c>
      <c r="F85" s="3" t="s">
        <v>482</v>
      </c>
      <c r="G85" s="4">
        <v>45153</v>
      </c>
      <c r="H85" s="3" t="s">
        <v>276</v>
      </c>
    </row>
    <row r="86" spans="1:8" ht="25.65" hidden="1" customHeight="1" x14ac:dyDescent="0.25">
      <c r="A86" s="3" t="s">
        <v>11</v>
      </c>
      <c r="B86" s="4">
        <v>45041</v>
      </c>
      <c r="C86" s="3" t="s">
        <v>495</v>
      </c>
      <c r="D86" s="5">
        <v>404.83</v>
      </c>
      <c r="E86" s="5">
        <v>404.83</v>
      </c>
      <c r="F86" s="3" t="s">
        <v>496</v>
      </c>
      <c r="G86" s="4">
        <v>45153</v>
      </c>
      <c r="H86" s="3" t="s">
        <v>276</v>
      </c>
    </row>
    <row r="87" spans="1:8" ht="25.65" hidden="1" customHeight="1" x14ac:dyDescent="0.25">
      <c r="A87" s="3" t="s">
        <v>11</v>
      </c>
      <c r="B87" s="4">
        <v>45041</v>
      </c>
      <c r="C87" s="3" t="s">
        <v>413</v>
      </c>
      <c r="D87" s="5">
        <v>669.47</v>
      </c>
      <c r="E87" s="5">
        <v>669.47</v>
      </c>
      <c r="F87" s="3" t="s">
        <v>414</v>
      </c>
      <c r="G87" s="4">
        <v>45153</v>
      </c>
      <c r="H87" s="3" t="s">
        <v>276</v>
      </c>
    </row>
    <row r="88" spans="1:8" ht="25.65" hidden="1" customHeight="1" x14ac:dyDescent="0.25">
      <c r="A88" s="3" t="s">
        <v>11</v>
      </c>
      <c r="B88" s="4">
        <v>45041</v>
      </c>
      <c r="C88" s="3" t="s">
        <v>417</v>
      </c>
      <c r="D88" s="5">
        <v>4416.5</v>
      </c>
      <c r="E88" s="5">
        <v>4416.5</v>
      </c>
      <c r="F88" s="3" t="s">
        <v>418</v>
      </c>
      <c r="G88" s="4">
        <v>45153</v>
      </c>
      <c r="H88" s="3" t="s">
        <v>276</v>
      </c>
    </row>
    <row r="89" spans="1:8" ht="25.65" hidden="1" customHeight="1" x14ac:dyDescent="0.25">
      <c r="A89" s="3" t="s">
        <v>11</v>
      </c>
      <c r="B89" s="4">
        <v>45041</v>
      </c>
      <c r="C89" s="3" t="s">
        <v>387</v>
      </c>
      <c r="D89" s="5">
        <v>32.92</v>
      </c>
      <c r="E89" s="5">
        <v>32.92</v>
      </c>
      <c r="F89" s="3" t="s">
        <v>388</v>
      </c>
      <c r="G89" s="4">
        <v>45153</v>
      </c>
      <c r="H89" s="3" t="s">
        <v>276</v>
      </c>
    </row>
    <row r="90" spans="1:8" ht="25.65" hidden="1" customHeight="1" x14ac:dyDescent="0.25">
      <c r="A90" s="3" t="s">
        <v>11</v>
      </c>
      <c r="B90" s="4">
        <v>45041</v>
      </c>
      <c r="C90" s="3" t="s">
        <v>447</v>
      </c>
      <c r="D90" s="5">
        <v>244.69</v>
      </c>
      <c r="E90" s="5">
        <v>244.69</v>
      </c>
      <c r="F90" s="3" t="s">
        <v>448</v>
      </c>
      <c r="G90" s="4">
        <v>45153</v>
      </c>
      <c r="H90" s="3" t="s">
        <v>276</v>
      </c>
    </row>
    <row r="91" spans="1:8" ht="25.65" hidden="1" customHeight="1" x14ac:dyDescent="0.25">
      <c r="A91" s="3" t="s">
        <v>11</v>
      </c>
      <c r="B91" s="4">
        <v>45041</v>
      </c>
      <c r="C91" s="3" t="s">
        <v>483</v>
      </c>
      <c r="D91" s="5">
        <v>254.6</v>
      </c>
      <c r="E91" s="5">
        <v>254.6</v>
      </c>
      <c r="F91" s="3" t="s">
        <v>484</v>
      </c>
      <c r="G91" s="4">
        <v>45153</v>
      </c>
      <c r="H91" s="3" t="s">
        <v>276</v>
      </c>
    </row>
    <row r="92" spans="1:8" ht="25.65" hidden="1" customHeight="1" x14ac:dyDescent="0.25">
      <c r="A92" s="3" t="s">
        <v>11</v>
      </c>
      <c r="B92" s="4">
        <v>45041</v>
      </c>
      <c r="C92" s="3" t="s">
        <v>389</v>
      </c>
      <c r="D92" s="5">
        <v>1.32</v>
      </c>
      <c r="E92" s="5">
        <v>1.32</v>
      </c>
      <c r="F92" s="3" t="s">
        <v>390</v>
      </c>
      <c r="G92" s="4">
        <v>45153</v>
      </c>
      <c r="H92" s="3" t="s">
        <v>276</v>
      </c>
    </row>
    <row r="93" spans="1:8" ht="25.65" hidden="1" customHeight="1" x14ac:dyDescent="0.25">
      <c r="A93" s="3" t="s">
        <v>11</v>
      </c>
      <c r="B93" s="4">
        <v>45041</v>
      </c>
      <c r="C93" s="3" t="s">
        <v>471</v>
      </c>
      <c r="D93" s="5">
        <v>2926.97</v>
      </c>
      <c r="E93" s="5">
        <v>2926.97</v>
      </c>
      <c r="F93" s="3" t="s">
        <v>472</v>
      </c>
      <c r="G93" s="4">
        <v>45153</v>
      </c>
      <c r="H93" s="3" t="s">
        <v>276</v>
      </c>
    </row>
    <row r="94" spans="1:8" ht="25.65" hidden="1" customHeight="1" x14ac:dyDescent="0.25">
      <c r="A94" s="3" t="s">
        <v>11</v>
      </c>
      <c r="B94" s="4">
        <v>45041</v>
      </c>
      <c r="C94" s="3" t="s">
        <v>501</v>
      </c>
      <c r="D94" s="5">
        <v>2652.08</v>
      </c>
      <c r="E94" s="5">
        <v>2652.08</v>
      </c>
      <c r="F94" s="3" t="s">
        <v>502</v>
      </c>
      <c r="G94" s="4">
        <v>45153</v>
      </c>
      <c r="H94" s="3" t="s">
        <v>276</v>
      </c>
    </row>
    <row r="95" spans="1:8" ht="25.65" hidden="1" customHeight="1" x14ac:dyDescent="0.25">
      <c r="A95" s="3" t="s">
        <v>11</v>
      </c>
      <c r="B95" s="4">
        <v>45041</v>
      </c>
      <c r="C95" s="3" t="s">
        <v>439</v>
      </c>
      <c r="D95" s="5">
        <v>69.11</v>
      </c>
      <c r="E95" s="5">
        <v>69.11</v>
      </c>
      <c r="F95" s="3" t="s">
        <v>440</v>
      </c>
      <c r="G95" s="4">
        <v>45153</v>
      </c>
      <c r="H95" s="3" t="s">
        <v>276</v>
      </c>
    </row>
    <row r="96" spans="1:8" ht="25.65" hidden="1" customHeight="1" x14ac:dyDescent="0.25">
      <c r="A96" s="3" t="s">
        <v>11</v>
      </c>
      <c r="B96" s="4">
        <v>45041</v>
      </c>
      <c r="C96" s="3" t="s">
        <v>425</v>
      </c>
      <c r="D96" s="5">
        <v>4119.1400000000003</v>
      </c>
      <c r="E96" s="5">
        <v>4119.1400000000003</v>
      </c>
      <c r="F96" s="3" t="s">
        <v>426</v>
      </c>
      <c r="G96" s="4">
        <v>45153</v>
      </c>
      <c r="H96" s="3" t="s">
        <v>276</v>
      </c>
    </row>
    <row r="97" spans="1:8" ht="25.65" hidden="1" customHeight="1" x14ac:dyDescent="0.25">
      <c r="A97" s="3" t="s">
        <v>11</v>
      </c>
      <c r="B97" s="4">
        <v>45041</v>
      </c>
      <c r="C97" s="3" t="s">
        <v>427</v>
      </c>
      <c r="D97" s="5">
        <v>712.66</v>
      </c>
      <c r="E97" s="5">
        <v>712.66</v>
      </c>
      <c r="F97" s="3" t="s">
        <v>428</v>
      </c>
      <c r="G97" s="4">
        <v>45153</v>
      </c>
      <c r="H97" s="3" t="s">
        <v>276</v>
      </c>
    </row>
    <row r="98" spans="1:8" ht="25.65" hidden="1" customHeight="1" x14ac:dyDescent="0.25">
      <c r="A98" s="3" t="s">
        <v>11</v>
      </c>
      <c r="B98" s="4">
        <v>45041</v>
      </c>
      <c r="C98" s="3" t="s">
        <v>489</v>
      </c>
      <c r="D98" s="5">
        <v>32.229999999999997</v>
      </c>
      <c r="E98" s="5">
        <v>32.229999999999997</v>
      </c>
      <c r="F98" s="3" t="s">
        <v>490</v>
      </c>
      <c r="G98" s="4">
        <v>45153</v>
      </c>
      <c r="H98" s="3" t="s">
        <v>276</v>
      </c>
    </row>
    <row r="99" spans="1:8" ht="25.65" hidden="1" customHeight="1" x14ac:dyDescent="0.25">
      <c r="A99" s="3" t="s">
        <v>11</v>
      </c>
      <c r="B99" s="4">
        <v>45041</v>
      </c>
      <c r="C99" s="3" t="s">
        <v>449</v>
      </c>
      <c r="D99" s="5">
        <v>11738.76</v>
      </c>
      <c r="E99" s="5">
        <v>11738.76</v>
      </c>
      <c r="F99" s="3" t="s">
        <v>450</v>
      </c>
      <c r="G99" s="4">
        <v>45153</v>
      </c>
      <c r="H99" s="3" t="s">
        <v>276</v>
      </c>
    </row>
    <row r="100" spans="1:8" ht="25.65" hidden="1" customHeight="1" x14ac:dyDescent="0.25">
      <c r="A100" s="3" t="s">
        <v>11</v>
      </c>
      <c r="B100" s="4">
        <v>45041</v>
      </c>
      <c r="C100" s="3" t="s">
        <v>477</v>
      </c>
      <c r="D100" s="5">
        <v>19.02</v>
      </c>
      <c r="E100" s="5">
        <v>19.02</v>
      </c>
      <c r="F100" s="3" t="s">
        <v>478</v>
      </c>
      <c r="G100" s="4">
        <v>45153</v>
      </c>
      <c r="H100" s="3" t="s">
        <v>276</v>
      </c>
    </row>
    <row r="101" spans="1:8" ht="25.65" hidden="1" customHeight="1" x14ac:dyDescent="0.25">
      <c r="A101" s="3" t="s">
        <v>11</v>
      </c>
      <c r="B101" s="4">
        <v>45041</v>
      </c>
      <c r="C101" s="3" t="s">
        <v>393</v>
      </c>
      <c r="D101" s="5">
        <v>1178.77</v>
      </c>
      <c r="E101" s="5">
        <v>1178.77</v>
      </c>
      <c r="F101" s="3" t="s">
        <v>394</v>
      </c>
      <c r="G101" s="4">
        <v>45153</v>
      </c>
      <c r="H101" s="3" t="s">
        <v>276</v>
      </c>
    </row>
    <row r="102" spans="1:8" ht="25.65" hidden="1" customHeight="1" x14ac:dyDescent="0.25">
      <c r="A102" s="3" t="s">
        <v>11</v>
      </c>
      <c r="B102" s="4">
        <v>45041</v>
      </c>
      <c r="C102" s="3" t="s">
        <v>487</v>
      </c>
      <c r="D102" s="5">
        <v>2948.26</v>
      </c>
      <c r="E102" s="5">
        <v>2948.26</v>
      </c>
      <c r="F102" s="3" t="s">
        <v>488</v>
      </c>
      <c r="G102" s="4">
        <v>45153</v>
      </c>
      <c r="H102" s="3" t="s">
        <v>276</v>
      </c>
    </row>
    <row r="103" spans="1:8" ht="25.65" hidden="1" customHeight="1" x14ac:dyDescent="0.25">
      <c r="A103" s="3" t="s">
        <v>11</v>
      </c>
      <c r="B103" s="4">
        <v>45041</v>
      </c>
      <c r="C103" s="3" t="s">
        <v>409</v>
      </c>
      <c r="D103" s="5">
        <v>3298.5</v>
      </c>
      <c r="E103" s="5">
        <v>3298.5</v>
      </c>
      <c r="F103" s="3" t="s">
        <v>410</v>
      </c>
      <c r="G103" s="4">
        <v>45153</v>
      </c>
      <c r="H103" s="3" t="s">
        <v>276</v>
      </c>
    </row>
    <row r="104" spans="1:8" ht="25.65" hidden="1" customHeight="1" x14ac:dyDescent="0.25">
      <c r="A104" s="3" t="s">
        <v>11</v>
      </c>
      <c r="B104" s="4">
        <v>45041</v>
      </c>
      <c r="C104" s="3" t="s">
        <v>411</v>
      </c>
      <c r="D104" s="5">
        <v>264.01</v>
      </c>
      <c r="E104" s="5">
        <v>264.01</v>
      </c>
      <c r="F104" s="3" t="s">
        <v>412</v>
      </c>
      <c r="G104" s="4">
        <v>45153</v>
      </c>
      <c r="H104" s="3" t="s">
        <v>276</v>
      </c>
    </row>
    <row r="105" spans="1:8" ht="25.65" hidden="1" customHeight="1" x14ac:dyDescent="0.25">
      <c r="A105" s="3" t="s">
        <v>11</v>
      </c>
      <c r="B105" s="4">
        <v>45041</v>
      </c>
      <c r="C105" s="3" t="s">
        <v>445</v>
      </c>
      <c r="D105" s="5">
        <v>292.54000000000002</v>
      </c>
      <c r="E105" s="5">
        <v>292.54000000000002</v>
      </c>
      <c r="F105" s="3" t="s">
        <v>446</v>
      </c>
      <c r="G105" s="4">
        <v>45153</v>
      </c>
      <c r="H105" s="3" t="s">
        <v>276</v>
      </c>
    </row>
    <row r="106" spans="1:8" ht="25.65" hidden="1" customHeight="1" x14ac:dyDescent="0.25">
      <c r="A106" s="3" t="s">
        <v>11</v>
      </c>
      <c r="B106" s="4">
        <v>45041</v>
      </c>
      <c r="C106" s="3" t="s">
        <v>407</v>
      </c>
      <c r="D106" s="5">
        <v>64.489999999999995</v>
      </c>
      <c r="E106" s="5">
        <v>64.489999999999995</v>
      </c>
      <c r="F106" s="3" t="s">
        <v>408</v>
      </c>
      <c r="G106" s="4">
        <v>45153</v>
      </c>
      <c r="H106" s="3" t="s">
        <v>276</v>
      </c>
    </row>
    <row r="107" spans="1:8" ht="25.65" hidden="1" customHeight="1" x14ac:dyDescent="0.25">
      <c r="A107" s="3" t="s">
        <v>11</v>
      </c>
      <c r="B107" s="4">
        <v>45041</v>
      </c>
      <c r="C107" s="3" t="s">
        <v>429</v>
      </c>
      <c r="D107" s="5">
        <v>479.2</v>
      </c>
      <c r="E107" s="5">
        <v>479.2</v>
      </c>
      <c r="F107" s="3" t="s">
        <v>430</v>
      </c>
      <c r="G107" s="4">
        <v>45153</v>
      </c>
      <c r="H107" s="3" t="s">
        <v>276</v>
      </c>
    </row>
    <row r="108" spans="1:8" ht="25.65" hidden="1" customHeight="1" x14ac:dyDescent="0.25">
      <c r="A108" s="3" t="s">
        <v>11</v>
      </c>
      <c r="B108" s="4">
        <v>45041</v>
      </c>
      <c r="C108" s="3" t="s">
        <v>415</v>
      </c>
      <c r="D108" s="5">
        <v>37.479999999999997</v>
      </c>
      <c r="E108" s="5">
        <v>37.479999999999997</v>
      </c>
      <c r="F108" s="3" t="s">
        <v>416</v>
      </c>
      <c r="G108" s="4">
        <v>45153</v>
      </c>
      <c r="H108" s="3" t="s">
        <v>276</v>
      </c>
    </row>
    <row r="109" spans="1:8" ht="25.65" hidden="1" customHeight="1" x14ac:dyDescent="0.25">
      <c r="A109" s="3" t="s">
        <v>11</v>
      </c>
      <c r="B109" s="4">
        <v>45041</v>
      </c>
      <c r="C109" s="3" t="s">
        <v>469</v>
      </c>
      <c r="D109" s="5">
        <v>1759.44</v>
      </c>
      <c r="E109" s="5">
        <v>1759.44</v>
      </c>
      <c r="F109" s="3" t="s">
        <v>470</v>
      </c>
      <c r="G109" s="4">
        <v>45153</v>
      </c>
      <c r="H109" s="3" t="s">
        <v>276</v>
      </c>
    </row>
    <row r="110" spans="1:8" ht="25.65" hidden="1" customHeight="1" x14ac:dyDescent="0.25">
      <c r="A110" s="3" t="s">
        <v>11</v>
      </c>
      <c r="B110" s="4">
        <v>45041</v>
      </c>
      <c r="C110" s="3" t="s">
        <v>497</v>
      </c>
      <c r="D110" s="5">
        <v>334.16</v>
      </c>
      <c r="E110" s="5">
        <v>334.16</v>
      </c>
      <c r="F110" s="3" t="s">
        <v>498</v>
      </c>
      <c r="G110" s="4">
        <v>45153</v>
      </c>
      <c r="H110" s="3" t="s">
        <v>276</v>
      </c>
    </row>
    <row r="111" spans="1:8" ht="25.65" hidden="1" customHeight="1" x14ac:dyDescent="0.25">
      <c r="A111" s="3" t="s">
        <v>11</v>
      </c>
      <c r="B111" s="4">
        <v>45041</v>
      </c>
      <c r="C111" s="3" t="s">
        <v>431</v>
      </c>
      <c r="D111" s="5">
        <v>23.12</v>
      </c>
      <c r="E111" s="5">
        <v>23.12</v>
      </c>
      <c r="F111" s="3" t="s">
        <v>432</v>
      </c>
      <c r="G111" s="4">
        <v>45153</v>
      </c>
      <c r="H111" s="3" t="s">
        <v>276</v>
      </c>
    </row>
    <row r="112" spans="1:8" ht="25.65" hidden="1" customHeight="1" x14ac:dyDescent="0.25">
      <c r="A112" s="3" t="s">
        <v>11</v>
      </c>
      <c r="B112" s="4">
        <v>45041</v>
      </c>
      <c r="C112" s="3" t="s">
        <v>435</v>
      </c>
      <c r="D112" s="5">
        <v>1459.68</v>
      </c>
      <c r="E112" s="5">
        <v>1459.68</v>
      </c>
      <c r="F112" s="3" t="s">
        <v>436</v>
      </c>
      <c r="G112" s="4">
        <v>45153</v>
      </c>
      <c r="H112" s="3" t="s">
        <v>276</v>
      </c>
    </row>
    <row r="113" spans="1:8" ht="25.65" hidden="1" customHeight="1" x14ac:dyDescent="0.25">
      <c r="A113" s="3" t="s">
        <v>11</v>
      </c>
      <c r="B113" s="4">
        <v>45041</v>
      </c>
      <c r="C113" s="3" t="s">
        <v>473</v>
      </c>
      <c r="D113" s="5">
        <v>3763.95</v>
      </c>
      <c r="E113" s="5">
        <v>3763.95</v>
      </c>
      <c r="F113" s="3" t="s">
        <v>474</v>
      </c>
      <c r="G113" s="4">
        <v>45153</v>
      </c>
      <c r="H113" s="3" t="s">
        <v>276</v>
      </c>
    </row>
    <row r="114" spans="1:8" ht="25.65" hidden="1" customHeight="1" x14ac:dyDescent="0.25">
      <c r="A114" s="3" t="s">
        <v>11</v>
      </c>
      <c r="B114" s="4">
        <v>45041</v>
      </c>
      <c r="C114" s="3" t="s">
        <v>453</v>
      </c>
      <c r="D114" s="5">
        <v>16.8</v>
      </c>
      <c r="E114" s="5">
        <v>16.8</v>
      </c>
      <c r="F114" s="3" t="s">
        <v>454</v>
      </c>
      <c r="G114" s="4">
        <v>45153</v>
      </c>
      <c r="H114" s="3" t="s">
        <v>276</v>
      </c>
    </row>
    <row r="115" spans="1:8" ht="25.65" hidden="1" customHeight="1" x14ac:dyDescent="0.25">
      <c r="A115" s="3" t="s">
        <v>11</v>
      </c>
      <c r="B115" s="4">
        <v>45041</v>
      </c>
      <c r="C115" s="3" t="s">
        <v>493</v>
      </c>
      <c r="D115" s="5">
        <v>1488.85</v>
      </c>
      <c r="E115" s="5">
        <v>1488.85</v>
      </c>
      <c r="F115" s="3" t="s">
        <v>494</v>
      </c>
      <c r="G115" s="4">
        <v>45153</v>
      </c>
      <c r="H115" s="3" t="s">
        <v>276</v>
      </c>
    </row>
    <row r="116" spans="1:8" ht="25.65" hidden="1" customHeight="1" x14ac:dyDescent="0.25">
      <c r="A116" s="3" t="s">
        <v>11</v>
      </c>
      <c r="B116" s="4">
        <v>45041</v>
      </c>
      <c r="C116" s="3" t="s">
        <v>441</v>
      </c>
      <c r="D116" s="5">
        <v>3242.44</v>
      </c>
      <c r="E116" s="5">
        <v>3242.44</v>
      </c>
      <c r="F116" s="3" t="s">
        <v>442</v>
      </c>
      <c r="G116" s="4">
        <v>45153</v>
      </c>
      <c r="H116" s="3" t="s">
        <v>276</v>
      </c>
    </row>
    <row r="117" spans="1:8" ht="25.65" hidden="1" customHeight="1" x14ac:dyDescent="0.25">
      <c r="A117" s="3" t="s">
        <v>11</v>
      </c>
      <c r="B117" s="4">
        <v>45132</v>
      </c>
      <c r="C117" s="3" t="s">
        <v>505</v>
      </c>
      <c r="D117" s="5">
        <v>20270.2</v>
      </c>
      <c r="E117" s="5">
        <v>20270.2</v>
      </c>
      <c r="F117" s="3" t="s">
        <v>506</v>
      </c>
      <c r="G117" s="4">
        <v>45140</v>
      </c>
      <c r="H117" s="3" t="s">
        <v>276</v>
      </c>
    </row>
    <row r="118" spans="1:8" ht="25.65" hidden="1" customHeight="1" x14ac:dyDescent="0.25">
      <c r="A118" s="3" t="s">
        <v>11</v>
      </c>
      <c r="B118" s="4">
        <v>45132</v>
      </c>
      <c r="C118" s="3" t="s">
        <v>507</v>
      </c>
      <c r="D118" s="5">
        <v>1076.94</v>
      </c>
      <c r="E118" s="5">
        <v>1076.94</v>
      </c>
      <c r="F118" s="3" t="s">
        <v>508</v>
      </c>
      <c r="G118" s="4">
        <v>45145</v>
      </c>
      <c r="H118" s="3" t="s">
        <v>276</v>
      </c>
    </row>
    <row r="119" spans="1:8" ht="25.65" hidden="1" customHeight="1" x14ac:dyDescent="0.25">
      <c r="A119" s="3" t="s">
        <v>11</v>
      </c>
      <c r="B119" s="4">
        <v>45132</v>
      </c>
      <c r="C119" s="3" t="s">
        <v>509</v>
      </c>
      <c r="D119" s="5">
        <v>788.59</v>
      </c>
      <c r="E119" s="5">
        <v>788.59</v>
      </c>
      <c r="F119" s="3" t="s">
        <v>510</v>
      </c>
      <c r="G119" s="4">
        <v>45145</v>
      </c>
      <c r="H119" s="3" t="s">
        <v>276</v>
      </c>
    </row>
    <row r="120" spans="1:8" ht="25.65" hidden="1" customHeight="1" x14ac:dyDescent="0.25">
      <c r="A120" s="3" t="s">
        <v>11</v>
      </c>
      <c r="B120" s="4">
        <v>45132</v>
      </c>
      <c r="C120" s="3" t="s">
        <v>511</v>
      </c>
      <c r="D120" s="5">
        <v>73.86</v>
      </c>
      <c r="E120" s="5">
        <v>73.86</v>
      </c>
      <c r="F120" s="3" t="s">
        <v>512</v>
      </c>
      <c r="G120" s="4">
        <v>45145</v>
      </c>
      <c r="H120" s="3" t="s">
        <v>276</v>
      </c>
    </row>
    <row r="121" spans="1:8" ht="25.65" hidden="1" customHeight="1" x14ac:dyDescent="0.25">
      <c r="A121" s="3" t="s">
        <v>11</v>
      </c>
      <c r="B121" s="4">
        <v>45132</v>
      </c>
      <c r="C121" s="3" t="s">
        <v>513</v>
      </c>
      <c r="D121" s="5">
        <v>684.62</v>
      </c>
      <c r="E121" s="5">
        <v>684.62</v>
      </c>
      <c r="F121" s="3" t="s">
        <v>514</v>
      </c>
      <c r="G121" s="4">
        <v>45145</v>
      </c>
      <c r="H121" s="3" t="s">
        <v>276</v>
      </c>
    </row>
    <row r="122" spans="1:8" ht="25.65" hidden="1" customHeight="1" x14ac:dyDescent="0.25">
      <c r="A122" s="3" t="s">
        <v>11</v>
      </c>
      <c r="B122" s="4">
        <v>45132</v>
      </c>
      <c r="C122" s="3" t="s">
        <v>515</v>
      </c>
      <c r="D122" s="5">
        <v>7164.01</v>
      </c>
      <c r="E122" s="5">
        <v>7164.01</v>
      </c>
      <c r="F122" s="3" t="s">
        <v>516</v>
      </c>
      <c r="G122" s="4">
        <v>45145</v>
      </c>
      <c r="H122" s="3" t="s">
        <v>276</v>
      </c>
    </row>
    <row r="123" spans="1:8" ht="25.65" hidden="1" customHeight="1" x14ac:dyDescent="0.25">
      <c r="A123" s="3" t="s">
        <v>11</v>
      </c>
      <c r="B123" s="4">
        <v>45132</v>
      </c>
      <c r="C123" s="3" t="s">
        <v>517</v>
      </c>
      <c r="D123" s="5">
        <v>11493.34</v>
      </c>
      <c r="E123" s="5">
        <v>11493.34</v>
      </c>
      <c r="F123" s="3" t="s">
        <v>518</v>
      </c>
      <c r="G123" s="4">
        <v>45145</v>
      </c>
      <c r="H123" s="3" t="s">
        <v>276</v>
      </c>
    </row>
    <row r="124" spans="1:8" ht="25.65" hidden="1" customHeight="1" x14ac:dyDescent="0.25">
      <c r="A124" s="3" t="s">
        <v>11</v>
      </c>
      <c r="B124" s="4">
        <v>45132</v>
      </c>
      <c r="C124" s="3" t="s">
        <v>519</v>
      </c>
      <c r="D124" s="5">
        <v>4101.6400000000003</v>
      </c>
      <c r="E124" s="5">
        <v>4101.6400000000003</v>
      </c>
      <c r="F124" s="3" t="s">
        <v>520</v>
      </c>
      <c r="G124" s="4">
        <v>45145</v>
      </c>
      <c r="H124" s="3" t="s">
        <v>276</v>
      </c>
    </row>
    <row r="125" spans="1:8" ht="25.65" hidden="1" customHeight="1" x14ac:dyDescent="0.25">
      <c r="A125" s="3" t="s">
        <v>11</v>
      </c>
      <c r="B125" s="4">
        <v>45132</v>
      </c>
      <c r="C125" s="3" t="s">
        <v>521</v>
      </c>
      <c r="D125" s="5">
        <v>5340.13</v>
      </c>
      <c r="E125" s="5">
        <v>5340.13</v>
      </c>
      <c r="F125" s="3" t="s">
        <v>522</v>
      </c>
      <c r="G125" s="4">
        <v>45145</v>
      </c>
      <c r="H125" s="3" t="s">
        <v>276</v>
      </c>
    </row>
    <row r="126" spans="1:8" ht="25.65" hidden="1" customHeight="1" x14ac:dyDescent="0.25">
      <c r="A126" s="3" t="s">
        <v>11</v>
      </c>
      <c r="B126" s="4">
        <v>45132</v>
      </c>
      <c r="C126" s="3" t="s">
        <v>523</v>
      </c>
      <c r="D126" s="5">
        <v>1008.83</v>
      </c>
      <c r="E126" s="5">
        <v>1008.83</v>
      </c>
      <c r="F126" s="3" t="s">
        <v>524</v>
      </c>
      <c r="G126" s="4">
        <v>45145</v>
      </c>
      <c r="H126" s="3" t="s">
        <v>276</v>
      </c>
    </row>
    <row r="127" spans="1:8" ht="25.65" hidden="1" customHeight="1" x14ac:dyDescent="0.25">
      <c r="A127" s="3" t="s">
        <v>11</v>
      </c>
      <c r="B127" s="4">
        <v>45132</v>
      </c>
      <c r="C127" s="3" t="s">
        <v>525</v>
      </c>
      <c r="D127" s="5">
        <v>288.27999999999997</v>
      </c>
      <c r="E127" s="5">
        <v>288.27999999999997</v>
      </c>
      <c r="F127" s="3" t="s">
        <v>526</v>
      </c>
      <c r="G127" s="4">
        <v>45145</v>
      </c>
      <c r="H127" s="3" t="s">
        <v>276</v>
      </c>
    </row>
    <row r="128" spans="1:8" ht="25.65" hidden="1" customHeight="1" x14ac:dyDescent="0.25">
      <c r="A128" s="3" t="s">
        <v>11</v>
      </c>
      <c r="B128" s="4">
        <v>45132</v>
      </c>
      <c r="C128" s="3" t="s">
        <v>527</v>
      </c>
      <c r="D128" s="5">
        <v>7165.6</v>
      </c>
      <c r="E128" s="5">
        <v>7165.6</v>
      </c>
      <c r="F128" s="3" t="s">
        <v>528</v>
      </c>
      <c r="G128" s="4">
        <v>45145</v>
      </c>
      <c r="H128" s="3" t="s">
        <v>276</v>
      </c>
    </row>
    <row r="129" spans="1:8" ht="25.65" hidden="1" customHeight="1" x14ac:dyDescent="0.25">
      <c r="A129" s="3" t="s">
        <v>11</v>
      </c>
      <c r="B129" s="4">
        <v>45132</v>
      </c>
      <c r="C129" s="3" t="s">
        <v>529</v>
      </c>
      <c r="D129" s="5">
        <v>15.44</v>
      </c>
      <c r="E129" s="5">
        <v>15.44</v>
      </c>
      <c r="F129" s="3" t="s">
        <v>530</v>
      </c>
      <c r="G129" s="4">
        <v>45145</v>
      </c>
      <c r="H129" s="3" t="s">
        <v>276</v>
      </c>
    </row>
    <row r="130" spans="1:8" ht="25.65" hidden="1" customHeight="1" x14ac:dyDescent="0.25">
      <c r="A130" s="3" t="s">
        <v>11</v>
      </c>
      <c r="B130" s="4">
        <v>45132</v>
      </c>
      <c r="C130" s="3" t="s">
        <v>531</v>
      </c>
      <c r="D130" s="5">
        <v>3335.15</v>
      </c>
      <c r="E130" s="5">
        <v>3335.15</v>
      </c>
      <c r="F130" s="3" t="s">
        <v>532</v>
      </c>
      <c r="G130" s="4">
        <v>45145</v>
      </c>
      <c r="H130" s="3" t="s">
        <v>276</v>
      </c>
    </row>
    <row r="131" spans="1:8" ht="25.65" hidden="1" customHeight="1" x14ac:dyDescent="0.25">
      <c r="A131" s="3" t="s">
        <v>11</v>
      </c>
      <c r="B131" s="4">
        <v>45132</v>
      </c>
      <c r="C131" s="3" t="s">
        <v>535</v>
      </c>
      <c r="D131" s="5">
        <v>17.84</v>
      </c>
      <c r="E131" s="5">
        <v>17.84</v>
      </c>
      <c r="F131" s="3" t="s">
        <v>536</v>
      </c>
      <c r="G131" s="4">
        <v>45145</v>
      </c>
      <c r="H131" s="3" t="s">
        <v>276</v>
      </c>
    </row>
    <row r="132" spans="1:8" ht="25.65" hidden="1" customHeight="1" x14ac:dyDescent="0.25">
      <c r="A132" s="3" t="s">
        <v>11</v>
      </c>
      <c r="B132" s="4">
        <v>45132</v>
      </c>
      <c r="C132" s="3" t="s">
        <v>537</v>
      </c>
      <c r="D132" s="5">
        <v>87739.26</v>
      </c>
      <c r="E132" s="5">
        <v>87739.26</v>
      </c>
      <c r="F132" s="3" t="s">
        <v>538</v>
      </c>
      <c r="G132" s="4">
        <v>45145</v>
      </c>
      <c r="H132" s="3" t="s">
        <v>276</v>
      </c>
    </row>
    <row r="133" spans="1:8" ht="25.65" hidden="1" customHeight="1" x14ac:dyDescent="0.25">
      <c r="A133" s="3" t="s">
        <v>11</v>
      </c>
      <c r="B133" s="4">
        <v>45132</v>
      </c>
      <c r="C133" s="3" t="s">
        <v>539</v>
      </c>
      <c r="D133" s="5">
        <v>565.13</v>
      </c>
      <c r="E133" s="5">
        <v>565.13</v>
      </c>
      <c r="F133" s="3" t="s">
        <v>540</v>
      </c>
      <c r="G133" s="4">
        <v>45145</v>
      </c>
      <c r="H133" s="3" t="s">
        <v>276</v>
      </c>
    </row>
    <row r="134" spans="1:8" ht="25.65" hidden="1" customHeight="1" x14ac:dyDescent="0.25">
      <c r="A134" s="3" t="s">
        <v>11</v>
      </c>
      <c r="B134" s="4">
        <v>45132</v>
      </c>
      <c r="C134" s="3" t="s">
        <v>541</v>
      </c>
      <c r="D134" s="5">
        <v>3750.4</v>
      </c>
      <c r="E134" s="5">
        <v>3750.4</v>
      </c>
      <c r="F134" s="3" t="s">
        <v>542</v>
      </c>
      <c r="G134" s="4">
        <v>45145</v>
      </c>
      <c r="H134" s="3" t="s">
        <v>276</v>
      </c>
    </row>
    <row r="135" spans="1:8" ht="25.65" hidden="1" customHeight="1" x14ac:dyDescent="0.25">
      <c r="A135" s="3" t="s">
        <v>11</v>
      </c>
      <c r="B135" s="4">
        <v>45132</v>
      </c>
      <c r="C135" s="3" t="s">
        <v>543</v>
      </c>
      <c r="D135" s="5">
        <v>6000.2</v>
      </c>
      <c r="E135" s="5">
        <v>6000.2</v>
      </c>
      <c r="F135" s="3" t="s">
        <v>544</v>
      </c>
      <c r="G135" s="4">
        <v>45145</v>
      </c>
      <c r="H135" s="3" t="s">
        <v>276</v>
      </c>
    </row>
    <row r="136" spans="1:8" ht="25.65" hidden="1" customHeight="1" x14ac:dyDescent="0.25">
      <c r="A136" s="3" t="s">
        <v>11</v>
      </c>
      <c r="B136" s="4">
        <v>45132</v>
      </c>
      <c r="C136" s="3" t="s">
        <v>545</v>
      </c>
      <c r="D136" s="5">
        <v>30.81</v>
      </c>
      <c r="E136" s="5">
        <v>30.81</v>
      </c>
      <c r="F136" s="3" t="s">
        <v>546</v>
      </c>
      <c r="G136" s="4">
        <v>45145</v>
      </c>
      <c r="H136" s="3" t="s">
        <v>276</v>
      </c>
    </row>
    <row r="137" spans="1:8" ht="25.65" hidden="1" customHeight="1" x14ac:dyDescent="0.25">
      <c r="A137" s="3" t="s">
        <v>11</v>
      </c>
      <c r="B137" s="4">
        <v>45132</v>
      </c>
      <c r="C137" s="3" t="s">
        <v>547</v>
      </c>
      <c r="D137" s="5">
        <v>36.47</v>
      </c>
      <c r="E137" s="5">
        <v>36.47</v>
      </c>
      <c r="F137" s="3" t="s">
        <v>548</v>
      </c>
      <c r="G137" s="4">
        <v>45145</v>
      </c>
      <c r="H137" s="3" t="s">
        <v>276</v>
      </c>
    </row>
    <row r="138" spans="1:8" ht="25.65" hidden="1" customHeight="1" x14ac:dyDescent="0.25">
      <c r="A138" s="3" t="s">
        <v>11</v>
      </c>
      <c r="B138" s="4">
        <v>45132</v>
      </c>
      <c r="C138" s="3" t="s">
        <v>553</v>
      </c>
      <c r="D138" s="5">
        <v>30653.26</v>
      </c>
      <c r="E138" s="5">
        <v>30653.26</v>
      </c>
      <c r="F138" s="3" t="s">
        <v>554</v>
      </c>
      <c r="G138" s="4">
        <v>45153</v>
      </c>
      <c r="H138" s="3" t="s">
        <v>276</v>
      </c>
    </row>
    <row r="139" spans="1:8" ht="25.65" hidden="1" customHeight="1" x14ac:dyDescent="0.25">
      <c r="A139" s="3" t="s">
        <v>11</v>
      </c>
      <c r="B139" s="4">
        <v>45132</v>
      </c>
      <c r="C139" s="3" t="s">
        <v>549</v>
      </c>
      <c r="D139" s="5">
        <v>305.61</v>
      </c>
      <c r="E139" s="5">
        <v>305.61</v>
      </c>
      <c r="F139" s="3" t="s">
        <v>550</v>
      </c>
      <c r="G139" s="4">
        <v>45140</v>
      </c>
      <c r="H139" s="3" t="s">
        <v>276</v>
      </c>
    </row>
    <row r="140" spans="1:8" ht="25.65" hidden="1" customHeight="1" x14ac:dyDescent="0.25">
      <c r="A140" s="3" t="s">
        <v>11</v>
      </c>
      <c r="B140" s="4">
        <v>45132</v>
      </c>
      <c r="C140" s="3" t="s">
        <v>551</v>
      </c>
      <c r="D140" s="5">
        <v>970.02</v>
      </c>
      <c r="E140" s="5">
        <v>970.02</v>
      </c>
      <c r="F140" s="3" t="s">
        <v>552</v>
      </c>
      <c r="G140" s="4">
        <v>45145</v>
      </c>
      <c r="H140" s="3" t="s">
        <v>276</v>
      </c>
    </row>
    <row r="141" spans="1:8" ht="25.65" hidden="1" customHeight="1" x14ac:dyDescent="0.25">
      <c r="A141" s="3" t="s">
        <v>11</v>
      </c>
      <c r="B141" s="4">
        <v>45132</v>
      </c>
      <c r="C141" s="3" t="s">
        <v>555</v>
      </c>
      <c r="D141" s="5">
        <v>29626.02</v>
      </c>
      <c r="E141" s="5">
        <v>29626.02</v>
      </c>
      <c r="F141" s="3" t="s">
        <v>556</v>
      </c>
      <c r="G141" s="4">
        <v>45145</v>
      </c>
      <c r="H141" s="3" t="s">
        <v>276</v>
      </c>
    </row>
    <row r="142" spans="1:8" ht="25.65" hidden="1" customHeight="1" x14ac:dyDescent="0.25">
      <c r="A142" s="3" t="s">
        <v>11</v>
      </c>
      <c r="B142" s="4">
        <v>45132</v>
      </c>
      <c r="C142" s="3" t="s">
        <v>557</v>
      </c>
      <c r="D142" s="5">
        <v>2651.41</v>
      </c>
      <c r="E142" s="5">
        <v>2651.41</v>
      </c>
      <c r="F142" s="3" t="s">
        <v>558</v>
      </c>
      <c r="G142" s="4">
        <v>45145</v>
      </c>
      <c r="H142" s="3" t="s">
        <v>276</v>
      </c>
    </row>
    <row r="143" spans="1:8" ht="25.65" hidden="1" customHeight="1" x14ac:dyDescent="0.25">
      <c r="A143" s="3" t="s">
        <v>11</v>
      </c>
      <c r="B143" s="4">
        <v>45132</v>
      </c>
      <c r="C143" s="3" t="s">
        <v>559</v>
      </c>
      <c r="D143" s="5">
        <v>100445.43</v>
      </c>
      <c r="E143" s="5">
        <v>100445.43</v>
      </c>
      <c r="F143" s="3" t="s">
        <v>560</v>
      </c>
      <c r="G143" s="4">
        <v>45145</v>
      </c>
      <c r="H143" s="3" t="s">
        <v>276</v>
      </c>
    </row>
    <row r="144" spans="1:8" ht="25.65" hidden="1" customHeight="1" x14ac:dyDescent="0.25">
      <c r="A144" s="3" t="s">
        <v>11</v>
      </c>
      <c r="B144" s="4">
        <v>45132</v>
      </c>
      <c r="C144" s="3" t="s">
        <v>561</v>
      </c>
      <c r="D144" s="5">
        <v>4.2699999999999996</v>
      </c>
      <c r="E144" s="5">
        <v>4.2699999999999996</v>
      </c>
      <c r="F144" s="3" t="s">
        <v>562</v>
      </c>
      <c r="G144" s="4">
        <v>45145</v>
      </c>
      <c r="H144" s="3" t="s">
        <v>276</v>
      </c>
    </row>
    <row r="145" spans="1:8" ht="25.65" hidden="1" customHeight="1" x14ac:dyDescent="0.25">
      <c r="A145" s="3" t="s">
        <v>11</v>
      </c>
      <c r="B145" s="4">
        <v>45132</v>
      </c>
      <c r="C145" s="3" t="s">
        <v>563</v>
      </c>
      <c r="D145" s="5">
        <v>753.41</v>
      </c>
      <c r="E145" s="5">
        <v>753.41</v>
      </c>
      <c r="F145" s="3" t="s">
        <v>564</v>
      </c>
      <c r="G145" s="4">
        <v>45145</v>
      </c>
      <c r="H145" s="3" t="s">
        <v>276</v>
      </c>
    </row>
    <row r="146" spans="1:8" ht="25.65" hidden="1" customHeight="1" x14ac:dyDescent="0.25">
      <c r="A146" s="3" t="s">
        <v>11</v>
      </c>
      <c r="B146" s="4">
        <v>45132</v>
      </c>
      <c r="C146" s="3" t="s">
        <v>565</v>
      </c>
      <c r="D146" s="5">
        <v>65.23</v>
      </c>
      <c r="E146" s="5">
        <v>65.23</v>
      </c>
      <c r="F146" s="3" t="s">
        <v>566</v>
      </c>
      <c r="G146" s="4">
        <v>45145</v>
      </c>
      <c r="H146" s="3" t="s">
        <v>276</v>
      </c>
    </row>
    <row r="147" spans="1:8" ht="25.65" hidden="1" customHeight="1" x14ac:dyDescent="0.25">
      <c r="A147" s="3" t="s">
        <v>11</v>
      </c>
      <c r="B147" s="4">
        <v>45132</v>
      </c>
      <c r="C147" s="3" t="s">
        <v>567</v>
      </c>
      <c r="D147" s="5">
        <v>1468.06</v>
      </c>
      <c r="E147" s="5">
        <v>1468.06</v>
      </c>
      <c r="F147" s="3" t="s">
        <v>568</v>
      </c>
      <c r="G147" s="4">
        <v>45145</v>
      </c>
      <c r="H147" s="3" t="s">
        <v>276</v>
      </c>
    </row>
    <row r="148" spans="1:8" ht="25.65" hidden="1" customHeight="1" x14ac:dyDescent="0.25">
      <c r="A148" s="3" t="s">
        <v>11</v>
      </c>
      <c r="B148" s="4">
        <v>45132</v>
      </c>
      <c r="C148" s="3" t="s">
        <v>569</v>
      </c>
      <c r="D148" s="5">
        <v>5871.72</v>
      </c>
      <c r="E148" s="5">
        <v>5871.72</v>
      </c>
      <c r="F148" s="3" t="s">
        <v>570</v>
      </c>
      <c r="G148" s="4">
        <v>45145</v>
      </c>
      <c r="H148" s="3" t="s">
        <v>276</v>
      </c>
    </row>
    <row r="149" spans="1:8" ht="25.65" hidden="1" customHeight="1" x14ac:dyDescent="0.25">
      <c r="A149" s="3" t="s">
        <v>11</v>
      </c>
      <c r="B149" s="4">
        <v>45132</v>
      </c>
      <c r="C149" s="3" t="s">
        <v>571</v>
      </c>
      <c r="D149" s="5">
        <v>11066.6</v>
      </c>
      <c r="E149" s="5">
        <v>11066.6</v>
      </c>
      <c r="F149" s="3" t="s">
        <v>572</v>
      </c>
      <c r="G149" s="4">
        <v>45140</v>
      </c>
      <c r="H149" s="3" t="s">
        <v>276</v>
      </c>
    </row>
    <row r="150" spans="1:8" ht="25.65" hidden="1" customHeight="1" x14ac:dyDescent="0.25">
      <c r="A150" s="3" t="s">
        <v>11</v>
      </c>
      <c r="B150" s="4">
        <v>45132</v>
      </c>
      <c r="C150" s="3" t="s">
        <v>573</v>
      </c>
      <c r="D150" s="5">
        <v>51.91</v>
      </c>
      <c r="E150" s="5">
        <v>51.91</v>
      </c>
      <c r="F150" s="3" t="s">
        <v>574</v>
      </c>
      <c r="G150" s="4">
        <v>45145</v>
      </c>
      <c r="H150" s="3" t="s">
        <v>276</v>
      </c>
    </row>
    <row r="151" spans="1:8" ht="25.65" hidden="1" customHeight="1" x14ac:dyDescent="0.25">
      <c r="A151" s="3" t="s">
        <v>11</v>
      </c>
      <c r="B151" s="4">
        <v>45132</v>
      </c>
      <c r="C151" s="3" t="s">
        <v>575</v>
      </c>
      <c r="D151" s="5">
        <v>4078.22</v>
      </c>
      <c r="E151" s="5">
        <v>4078.22</v>
      </c>
      <c r="F151" s="3" t="s">
        <v>576</v>
      </c>
      <c r="G151" s="4">
        <v>45145</v>
      </c>
      <c r="H151" s="3" t="s">
        <v>276</v>
      </c>
    </row>
    <row r="152" spans="1:8" ht="25.65" hidden="1" customHeight="1" x14ac:dyDescent="0.25">
      <c r="A152" s="3" t="s">
        <v>11</v>
      </c>
      <c r="B152" s="4">
        <v>45132</v>
      </c>
      <c r="C152" s="3" t="s">
        <v>577</v>
      </c>
      <c r="D152" s="5">
        <v>1412.16</v>
      </c>
      <c r="E152" s="5">
        <v>1412.16</v>
      </c>
      <c r="F152" s="3" t="s">
        <v>578</v>
      </c>
      <c r="G152" s="4">
        <v>45145</v>
      </c>
      <c r="H152" s="3" t="s">
        <v>276</v>
      </c>
    </row>
    <row r="153" spans="1:8" ht="25.65" hidden="1" customHeight="1" x14ac:dyDescent="0.25">
      <c r="A153" s="3" t="s">
        <v>11</v>
      </c>
      <c r="B153" s="4">
        <v>45132</v>
      </c>
      <c r="C153" s="3" t="s">
        <v>579</v>
      </c>
      <c r="D153" s="5">
        <v>798.56</v>
      </c>
      <c r="E153" s="5">
        <v>798.56</v>
      </c>
      <c r="F153" s="3" t="s">
        <v>580</v>
      </c>
      <c r="G153" s="4">
        <v>45145</v>
      </c>
      <c r="H153" s="3" t="s">
        <v>276</v>
      </c>
    </row>
    <row r="154" spans="1:8" ht="25.65" hidden="1" customHeight="1" x14ac:dyDescent="0.25">
      <c r="A154" s="3" t="s">
        <v>11</v>
      </c>
      <c r="B154" s="4">
        <v>45132</v>
      </c>
      <c r="C154" s="3" t="s">
        <v>581</v>
      </c>
      <c r="D154" s="5">
        <v>2625.04</v>
      </c>
      <c r="E154" s="5">
        <v>2625.04</v>
      </c>
      <c r="F154" s="3" t="s">
        <v>582</v>
      </c>
      <c r="G154" s="4">
        <v>45145</v>
      </c>
      <c r="H154" s="3" t="s">
        <v>276</v>
      </c>
    </row>
    <row r="155" spans="1:8" ht="25.65" hidden="1" customHeight="1" x14ac:dyDescent="0.25">
      <c r="A155" s="3" t="s">
        <v>11</v>
      </c>
      <c r="B155" s="4">
        <v>45132</v>
      </c>
      <c r="C155" s="3" t="s">
        <v>583</v>
      </c>
      <c r="D155" s="5">
        <v>51.66</v>
      </c>
      <c r="E155" s="5">
        <v>51.66</v>
      </c>
      <c r="F155" s="3" t="s">
        <v>584</v>
      </c>
      <c r="G155" s="4">
        <v>45145</v>
      </c>
      <c r="H155" s="3" t="s">
        <v>276</v>
      </c>
    </row>
    <row r="156" spans="1:8" ht="25.65" hidden="1" customHeight="1" x14ac:dyDescent="0.25">
      <c r="A156" s="3" t="s">
        <v>11</v>
      </c>
      <c r="B156" s="4">
        <v>45132</v>
      </c>
      <c r="C156" s="3" t="s">
        <v>585</v>
      </c>
      <c r="D156" s="5">
        <v>463.23</v>
      </c>
      <c r="E156" s="5">
        <v>463.23</v>
      </c>
      <c r="F156" s="3" t="s">
        <v>586</v>
      </c>
      <c r="G156" s="4">
        <v>45145</v>
      </c>
      <c r="H156" s="3" t="s">
        <v>276</v>
      </c>
    </row>
    <row r="157" spans="1:8" ht="25.65" hidden="1" customHeight="1" x14ac:dyDescent="0.25">
      <c r="A157" s="3" t="s">
        <v>11</v>
      </c>
      <c r="B157" s="4">
        <v>45132</v>
      </c>
      <c r="C157" s="3" t="s">
        <v>587</v>
      </c>
      <c r="D157" s="5">
        <v>119.64</v>
      </c>
      <c r="E157" s="5">
        <v>119.64</v>
      </c>
      <c r="F157" s="3" t="s">
        <v>588</v>
      </c>
      <c r="G157" s="4">
        <v>45145</v>
      </c>
      <c r="H157" s="3" t="s">
        <v>276</v>
      </c>
    </row>
    <row r="158" spans="1:8" ht="25.65" hidden="1" customHeight="1" x14ac:dyDescent="0.25">
      <c r="A158" s="3" t="s">
        <v>11</v>
      </c>
      <c r="B158" s="4">
        <v>45132</v>
      </c>
      <c r="C158" s="3" t="s">
        <v>589</v>
      </c>
      <c r="D158" s="5">
        <v>1411.9</v>
      </c>
      <c r="E158" s="5">
        <v>1411.9</v>
      </c>
      <c r="F158" s="3" t="s">
        <v>590</v>
      </c>
      <c r="G158" s="4">
        <v>45140</v>
      </c>
      <c r="H158" s="3" t="s">
        <v>276</v>
      </c>
    </row>
    <row r="159" spans="1:8" ht="25.65" hidden="1" customHeight="1" x14ac:dyDescent="0.25">
      <c r="A159" s="3" t="s">
        <v>11</v>
      </c>
      <c r="B159" s="4">
        <v>45132</v>
      </c>
      <c r="C159" s="3" t="s">
        <v>591</v>
      </c>
      <c r="D159" s="5">
        <v>95.96</v>
      </c>
      <c r="E159" s="5">
        <v>95.96</v>
      </c>
      <c r="F159" s="3" t="s">
        <v>592</v>
      </c>
      <c r="G159" s="4">
        <v>45145</v>
      </c>
      <c r="H159" s="3" t="s">
        <v>276</v>
      </c>
    </row>
    <row r="160" spans="1:8" ht="25.65" hidden="1" customHeight="1" x14ac:dyDescent="0.25">
      <c r="A160" s="3" t="s">
        <v>11</v>
      </c>
      <c r="B160" s="4">
        <v>45132</v>
      </c>
      <c r="C160" s="3" t="s">
        <v>593</v>
      </c>
      <c r="D160" s="5">
        <v>0.39</v>
      </c>
      <c r="E160" s="5">
        <v>0.39</v>
      </c>
      <c r="F160" s="3" t="s">
        <v>594</v>
      </c>
      <c r="G160" s="4">
        <v>45145</v>
      </c>
      <c r="H160" s="3" t="s">
        <v>276</v>
      </c>
    </row>
    <row r="161" spans="1:8" ht="25.65" customHeight="1" x14ac:dyDescent="0.25">
      <c r="A161" s="3" t="s">
        <v>11</v>
      </c>
      <c r="B161" s="4">
        <v>45132</v>
      </c>
      <c r="C161" s="3" t="s">
        <v>595</v>
      </c>
      <c r="D161" s="5">
        <v>9920.81</v>
      </c>
      <c r="E161" s="5">
        <v>9920.81</v>
      </c>
      <c r="F161" s="3" t="s">
        <v>596</v>
      </c>
      <c r="G161" s="4">
        <v>45145</v>
      </c>
      <c r="H161" s="3" t="s">
        <v>276</v>
      </c>
    </row>
    <row r="162" spans="1:8" ht="25.65" hidden="1" customHeight="1" x14ac:dyDescent="0.25">
      <c r="A162" s="3" t="s">
        <v>11</v>
      </c>
      <c r="B162" s="4">
        <v>45132</v>
      </c>
      <c r="C162" s="3" t="s">
        <v>597</v>
      </c>
      <c r="D162" s="5">
        <v>7403.9</v>
      </c>
      <c r="E162" s="5">
        <v>7403.9</v>
      </c>
      <c r="F162" s="3" t="s">
        <v>598</v>
      </c>
      <c r="G162" s="4">
        <v>45145</v>
      </c>
      <c r="H162" s="3" t="s">
        <v>276</v>
      </c>
    </row>
    <row r="163" spans="1:8" ht="25.65" hidden="1" customHeight="1" x14ac:dyDescent="0.25">
      <c r="A163" s="3" t="s">
        <v>11</v>
      </c>
      <c r="B163" s="4">
        <v>45132</v>
      </c>
      <c r="C163" s="3" t="s">
        <v>599</v>
      </c>
      <c r="D163" s="5">
        <v>111.4</v>
      </c>
      <c r="E163" s="5">
        <v>111.4</v>
      </c>
      <c r="F163" s="3" t="s">
        <v>600</v>
      </c>
      <c r="G163" s="4">
        <v>45145</v>
      </c>
      <c r="H163" s="3" t="s">
        <v>276</v>
      </c>
    </row>
    <row r="164" spans="1:8" ht="25.65" hidden="1" customHeight="1" x14ac:dyDescent="0.25">
      <c r="A164" s="3" t="s">
        <v>11</v>
      </c>
      <c r="B164" s="4">
        <v>45132</v>
      </c>
      <c r="C164" s="3" t="s">
        <v>601</v>
      </c>
      <c r="D164" s="5">
        <v>2652.68</v>
      </c>
      <c r="E164" s="5">
        <v>2652.68</v>
      </c>
      <c r="F164" s="3" t="s">
        <v>602</v>
      </c>
      <c r="G164" s="4">
        <v>45145</v>
      </c>
      <c r="H164" s="3" t="s">
        <v>276</v>
      </c>
    </row>
    <row r="165" spans="1:8" ht="25.65" hidden="1" customHeight="1" x14ac:dyDescent="0.25">
      <c r="A165" s="3" t="s">
        <v>11</v>
      </c>
      <c r="B165" s="4">
        <v>45132</v>
      </c>
      <c r="C165" s="3" t="s">
        <v>603</v>
      </c>
      <c r="D165" s="5">
        <v>683.73</v>
      </c>
      <c r="E165" s="5">
        <v>683.73</v>
      </c>
      <c r="F165" s="3" t="s">
        <v>604</v>
      </c>
      <c r="G165" s="4">
        <v>45145</v>
      </c>
      <c r="H165" s="3" t="s">
        <v>276</v>
      </c>
    </row>
    <row r="166" spans="1:8" ht="25.65" hidden="1" customHeight="1" x14ac:dyDescent="0.25">
      <c r="A166" s="3" t="s">
        <v>11</v>
      </c>
      <c r="B166" s="4">
        <v>45132</v>
      </c>
      <c r="C166" s="3" t="s">
        <v>605</v>
      </c>
      <c r="D166" s="5">
        <v>6020.39</v>
      </c>
      <c r="E166" s="5">
        <v>6020.39</v>
      </c>
      <c r="F166" s="3" t="s">
        <v>606</v>
      </c>
      <c r="G166" s="4">
        <v>45145</v>
      </c>
      <c r="H166" s="3" t="s">
        <v>276</v>
      </c>
    </row>
    <row r="167" spans="1:8" ht="25.65" hidden="1" customHeight="1" x14ac:dyDescent="0.25">
      <c r="A167" s="3" t="s">
        <v>11</v>
      </c>
      <c r="B167" s="4">
        <v>45132</v>
      </c>
      <c r="C167" s="3" t="s">
        <v>607</v>
      </c>
      <c r="D167" s="5">
        <v>4333.1899999999996</v>
      </c>
      <c r="E167" s="5">
        <v>4333.1899999999996</v>
      </c>
      <c r="F167" s="3" t="s">
        <v>608</v>
      </c>
      <c r="G167" s="4">
        <v>45145</v>
      </c>
      <c r="H167" s="3" t="s">
        <v>276</v>
      </c>
    </row>
    <row r="168" spans="1:8" ht="25.65" hidden="1" customHeight="1" x14ac:dyDescent="0.25">
      <c r="A168" s="3" t="s">
        <v>11</v>
      </c>
      <c r="B168" s="4">
        <v>45132</v>
      </c>
      <c r="C168" s="3" t="s">
        <v>609</v>
      </c>
      <c r="D168" s="5">
        <v>17.489999999999998</v>
      </c>
      <c r="E168" s="5">
        <v>17.489999999999998</v>
      </c>
      <c r="F168" s="3" t="s">
        <v>610</v>
      </c>
      <c r="G168" s="4">
        <v>45145</v>
      </c>
      <c r="H168" s="3" t="s">
        <v>276</v>
      </c>
    </row>
    <row r="169" spans="1:8" ht="25.65" hidden="1" customHeight="1" x14ac:dyDescent="0.25">
      <c r="A169" s="3" t="s">
        <v>11</v>
      </c>
      <c r="B169" s="4">
        <v>45132</v>
      </c>
      <c r="C169" s="3" t="s">
        <v>611</v>
      </c>
      <c r="D169" s="5">
        <v>4959.38</v>
      </c>
      <c r="E169" s="5">
        <v>4959.38</v>
      </c>
      <c r="F169" s="3" t="s">
        <v>612</v>
      </c>
      <c r="G169" s="4">
        <v>45145</v>
      </c>
      <c r="H169" s="3" t="s">
        <v>276</v>
      </c>
    </row>
    <row r="170" spans="1:8" ht="25.65" hidden="1" customHeight="1" x14ac:dyDescent="0.25">
      <c r="A170" s="3" t="s">
        <v>11</v>
      </c>
      <c r="B170" s="4">
        <v>45132</v>
      </c>
      <c r="C170" s="3" t="s">
        <v>613</v>
      </c>
      <c r="D170" s="5">
        <v>4045.15</v>
      </c>
      <c r="E170" s="5">
        <v>4045.15</v>
      </c>
      <c r="F170" s="3" t="s">
        <v>614</v>
      </c>
      <c r="G170" s="4">
        <v>45145</v>
      </c>
      <c r="H170" s="3" t="s">
        <v>276</v>
      </c>
    </row>
    <row r="171" spans="1:8" ht="25.65" hidden="1" customHeight="1" x14ac:dyDescent="0.25">
      <c r="A171" s="3" t="s">
        <v>11</v>
      </c>
      <c r="B171" s="4">
        <v>45132</v>
      </c>
      <c r="C171" s="3" t="s">
        <v>615</v>
      </c>
      <c r="D171" s="5">
        <v>687.06</v>
      </c>
      <c r="E171" s="5">
        <v>687.06</v>
      </c>
      <c r="F171" s="3" t="s">
        <v>616</v>
      </c>
      <c r="G171" s="4">
        <v>45145</v>
      </c>
      <c r="H171" s="3" t="s">
        <v>276</v>
      </c>
    </row>
    <row r="172" spans="1:8" ht="25.65" hidden="1" customHeight="1" x14ac:dyDescent="0.25">
      <c r="A172" s="3" t="s">
        <v>11</v>
      </c>
      <c r="B172" s="4">
        <v>45132</v>
      </c>
      <c r="C172" s="3" t="s">
        <v>617</v>
      </c>
      <c r="D172" s="5">
        <v>42.02</v>
      </c>
      <c r="E172" s="5">
        <v>42.02</v>
      </c>
      <c r="F172" s="3" t="s">
        <v>618</v>
      </c>
      <c r="G172" s="4">
        <v>45145</v>
      </c>
      <c r="H172" s="3" t="s">
        <v>276</v>
      </c>
    </row>
    <row r="173" spans="1:8" ht="25.65" hidden="1" customHeight="1" x14ac:dyDescent="0.25">
      <c r="A173" s="3" t="s">
        <v>11</v>
      </c>
      <c r="B173" s="4">
        <v>45132</v>
      </c>
      <c r="C173" s="3" t="s">
        <v>533</v>
      </c>
      <c r="D173" s="5">
        <v>20.170000000000002</v>
      </c>
      <c r="E173" s="5">
        <v>20.170000000000002</v>
      </c>
      <c r="F173" s="3" t="s">
        <v>534</v>
      </c>
      <c r="G173" s="4">
        <v>45153</v>
      </c>
      <c r="H173" s="3" t="s">
        <v>276</v>
      </c>
    </row>
    <row r="174" spans="1:8" ht="25.65" hidden="1" customHeight="1" x14ac:dyDescent="0.25">
      <c r="A174" s="3" t="s">
        <v>11</v>
      </c>
      <c r="B174" s="4">
        <v>45132</v>
      </c>
      <c r="C174" s="3" t="s">
        <v>621</v>
      </c>
      <c r="D174" s="5">
        <v>2113.62</v>
      </c>
      <c r="E174" s="5">
        <v>2113.62</v>
      </c>
      <c r="F174" s="3" t="s">
        <v>622</v>
      </c>
      <c r="G174" s="4">
        <v>45145</v>
      </c>
      <c r="H174" s="3" t="s">
        <v>276</v>
      </c>
    </row>
    <row r="175" spans="1:8" ht="25.65" hidden="1" customHeight="1" x14ac:dyDescent="0.25">
      <c r="A175" s="3" t="s">
        <v>11</v>
      </c>
      <c r="B175" s="4">
        <v>45132</v>
      </c>
      <c r="C175" s="3" t="s">
        <v>623</v>
      </c>
      <c r="D175" s="5">
        <v>2981.02</v>
      </c>
      <c r="E175" s="5">
        <v>2981.02</v>
      </c>
      <c r="F175" s="3" t="s">
        <v>624</v>
      </c>
      <c r="G175" s="4">
        <v>45145</v>
      </c>
      <c r="H175" s="3" t="s">
        <v>276</v>
      </c>
    </row>
    <row r="176" spans="1:8" ht="25.65" hidden="1" customHeight="1" x14ac:dyDescent="0.25">
      <c r="A176" s="3" t="s">
        <v>11</v>
      </c>
      <c r="B176" s="4">
        <v>45132</v>
      </c>
      <c r="C176" s="3" t="s">
        <v>619</v>
      </c>
      <c r="D176" s="5">
        <v>2584.85</v>
      </c>
      <c r="E176" s="5">
        <v>2584.85</v>
      </c>
      <c r="F176" s="3" t="s">
        <v>620</v>
      </c>
      <c r="G176" s="4">
        <v>45153</v>
      </c>
      <c r="H176" s="3" t="s">
        <v>276</v>
      </c>
    </row>
    <row r="177" spans="1:8" ht="14.4" hidden="1" customHeight="1" x14ac:dyDescent="0.25">
      <c r="A177" s="3"/>
      <c r="B177" s="3"/>
      <c r="C177" s="3"/>
      <c r="D177" s="6" t="s">
        <v>625</v>
      </c>
      <c r="E177" s="6"/>
      <c r="F177" s="3"/>
      <c r="G177" s="3"/>
      <c r="H177" s="3"/>
    </row>
    <row r="183" spans="1:8" x14ac:dyDescent="0.25">
      <c r="C183" s="2" t="s">
        <v>3</v>
      </c>
      <c r="D183" s="7">
        <v>112905.46</v>
      </c>
    </row>
    <row r="184" spans="1:8" x14ac:dyDescent="0.25">
      <c r="C184" s="2" t="s">
        <v>4</v>
      </c>
      <c r="D184" s="7">
        <f>SUM(D58:D116)</f>
        <v>215426.25000000006</v>
      </c>
    </row>
    <row r="185" spans="1:8" x14ac:dyDescent="0.25">
      <c r="C185" s="2" t="s">
        <v>5</v>
      </c>
      <c r="D185" s="7">
        <f>SUM(D117:D176)</f>
        <v>404513.30999999988</v>
      </c>
    </row>
  </sheetData>
  <autoFilter ref="A1:IV177" xr:uid="{00000000-0009-0000-0000-000005000000}">
    <filterColumn colId="5">
      <filters>
        <filter val="VALSTS KASE (BUDŽETA MAKSĀJUMI) Procentu maksa , līgums A2/1/18/528 , 25.01.2023"/>
        <filter val="VALSTS KASE (BUDŽETA MAKSĀJUMI) Procentu maksa , līgums A2/1/18/528 , 25.04.2023"/>
        <filter val="VALSTS KASE (BUDŽETA MAKSĀJUMI) Procentu maksa , līgums A2/1/18/528 , 25.07.2023"/>
      </filters>
    </filterColumn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H100"/>
  <sheetViews>
    <sheetView showGridLines="0" topLeftCell="A66" workbookViewId="0">
      <selection activeCell="F104" sqref="F104"/>
    </sheetView>
  </sheetViews>
  <sheetFormatPr defaultColWidth="8.88671875" defaultRowHeight="13.2" x14ac:dyDescent="0.25"/>
  <cols>
    <col min="1" max="1" width="4.6640625" style="2" customWidth="1"/>
    <col min="2" max="2" width="9.33203125" style="2" customWidth="1"/>
    <col min="3" max="3" width="14.33203125" style="2" customWidth="1"/>
    <col min="4" max="4" width="19.6640625" style="2" customWidth="1"/>
    <col min="5" max="5" width="15.44140625" style="2" customWidth="1"/>
    <col min="6" max="6" width="57.33203125" style="2" customWidth="1"/>
    <col min="7" max="7" width="17.33203125" style="2" customWidth="1"/>
    <col min="8" max="8" width="12.109375" style="2" customWidth="1"/>
    <col min="9" max="16384" width="8.88671875" style="2"/>
  </cols>
  <sheetData>
    <row r="1" spans="1:8" ht="14.4" customHeight="1" x14ac:dyDescent="0.25">
      <c r="A1" s="1" t="s">
        <v>267</v>
      </c>
      <c r="B1" s="1" t="s">
        <v>268</v>
      </c>
      <c r="C1" s="1" t="s">
        <v>269</v>
      </c>
      <c r="D1" s="1" t="s">
        <v>261</v>
      </c>
      <c r="E1" s="1" t="s">
        <v>270</v>
      </c>
      <c r="F1" s="1" t="s">
        <v>271</v>
      </c>
      <c r="G1" s="1" t="s">
        <v>272</v>
      </c>
      <c r="H1" s="1" t="s">
        <v>273</v>
      </c>
    </row>
    <row r="2" spans="1:8" ht="25.65" hidden="1" customHeight="1" x14ac:dyDescent="0.25">
      <c r="A2" s="3" t="s">
        <v>12</v>
      </c>
      <c r="B2" s="4">
        <v>44951</v>
      </c>
      <c r="C2" s="3" t="s">
        <v>325</v>
      </c>
      <c r="D2" s="5">
        <v>45.72</v>
      </c>
      <c r="E2" s="5">
        <v>45.72</v>
      </c>
      <c r="F2" s="3" t="s">
        <v>648</v>
      </c>
      <c r="G2" s="4">
        <v>45153</v>
      </c>
      <c r="H2" s="3" t="s">
        <v>276</v>
      </c>
    </row>
    <row r="3" spans="1:8" ht="25.65" hidden="1" customHeight="1" x14ac:dyDescent="0.25">
      <c r="A3" s="3" t="s">
        <v>12</v>
      </c>
      <c r="B3" s="4">
        <v>44951</v>
      </c>
      <c r="C3" s="3" t="s">
        <v>297</v>
      </c>
      <c r="D3" s="5">
        <v>145.37</v>
      </c>
      <c r="E3" s="5">
        <v>145.37</v>
      </c>
      <c r="F3" s="3" t="s">
        <v>654</v>
      </c>
      <c r="G3" s="4">
        <v>45153</v>
      </c>
      <c r="H3" s="3" t="s">
        <v>276</v>
      </c>
    </row>
    <row r="4" spans="1:8" ht="25.65" hidden="1" customHeight="1" x14ac:dyDescent="0.25">
      <c r="A4" s="3" t="s">
        <v>12</v>
      </c>
      <c r="B4" s="4">
        <v>44951</v>
      </c>
      <c r="C4" s="3" t="s">
        <v>279</v>
      </c>
      <c r="D4" s="5">
        <v>85.33</v>
      </c>
      <c r="E4" s="5">
        <v>85.33</v>
      </c>
      <c r="F4" s="3" t="s">
        <v>638</v>
      </c>
      <c r="G4" s="4">
        <v>45153</v>
      </c>
      <c r="H4" s="3" t="s">
        <v>276</v>
      </c>
    </row>
    <row r="5" spans="1:8" ht="25.65" hidden="1" customHeight="1" x14ac:dyDescent="0.25">
      <c r="A5" s="3" t="s">
        <v>12</v>
      </c>
      <c r="B5" s="4">
        <v>44951</v>
      </c>
      <c r="C5" s="3" t="s">
        <v>359</v>
      </c>
      <c r="D5" s="5">
        <v>280.26</v>
      </c>
      <c r="E5" s="5">
        <v>280.26</v>
      </c>
      <c r="F5" s="3" t="s">
        <v>640</v>
      </c>
      <c r="G5" s="4">
        <v>45153</v>
      </c>
      <c r="H5" s="3" t="s">
        <v>276</v>
      </c>
    </row>
    <row r="6" spans="1:8" ht="25.65" hidden="1" customHeight="1" x14ac:dyDescent="0.25">
      <c r="A6" s="3" t="s">
        <v>12</v>
      </c>
      <c r="B6" s="4">
        <v>44951</v>
      </c>
      <c r="C6" s="3" t="s">
        <v>293</v>
      </c>
      <c r="D6" s="5">
        <v>1031.99</v>
      </c>
      <c r="E6" s="5">
        <v>1031.99</v>
      </c>
      <c r="F6" s="3" t="s">
        <v>651</v>
      </c>
      <c r="G6" s="4">
        <v>45153</v>
      </c>
      <c r="H6" s="3" t="s">
        <v>276</v>
      </c>
    </row>
    <row r="7" spans="1:8" ht="25.65" hidden="1" customHeight="1" x14ac:dyDescent="0.25">
      <c r="A7" s="3" t="s">
        <v>12</v>
      </c>
      <c r="B7" s="4">
        <v>44951</v>
      </c>
      <c r="C7" s="3" t="s">
        <v>287</v>
      </c>
      <c r="D7" s="5">
        <v>6243.35</v>
      </c>
      <c r="E7" s="5">
        <v>6243.35</v>
      </c>
      <c r="F7" s="3" t="s">
        <v>644</v>
      </c>
      <c r="G7" s="4">
        <v>45153</v>
      </c>
      <c r="H7" s="3" t="s">
        <v>276</v>
      </c>
    </row>
    <row r="8" spans="1:8" ht="25.65" hidden="1" customHeight="1" x14ac:dyDescent="0.25">
      <c r="A8" s="3" t="s">
        <v>12</v>
      </c>
      <c r="B8" s="4">
        <v>44951</v>
      </c>
      <c r="C8" s="3" t="s">
        <v>345</v>
      </c>
      <c r="D8" s="5">
        <v>567.39</v>
      </c>
      <c r="E8" s="5">
        <v>567.39</v>
      </c>
      <c r="F8" s="3" t="s">
        <v>628</v>
      </c>
      <c r="G8" s="4">
        <v>45153</v>
      </c>
      <c r="H8" s="3" t="s">
        <v>276</v>
      </c>
    </row>
    <row r="9" spans="1:8" ht="25.65" hidden="1" customHeight="1" x14ac:dyDescent="0.25">
      <c r="A9" s="3" t="s">
        <v>12</v>
      </c>
      <c r="B9" s="4">
        <v>44951</v>
      </c>
      <c r="C9" s="3" t="s">
        <v>277</v>
      </c>
      <c r="D9" s="5">
        <v>106.44</v>
      </c>
      <c r="E9" s="5">
        <v>106.44</v>
      </c>
      <c r="F9" s="3" t="s">
        <v>646</v>
      </c>
      <c r="G9" s="4">
        <v>45153</v>
      </c>
      <c r="H9" s="3" t="s">
        <v>276</v>
      </c>
    </row>
    <row r="10" spans="1:8" ht="25.65" hidden="1" customHeight="1" x14ac:dyDescent="0.25">
      <c r="A10" s="3" t="s">
        <v>12</v>
      </c>
      <c r="B10" s="4">
        <v>44951</v>
      </c>
      <c r="C10" s="3" t="s">
        <v>327</v>
      </c>
      <c r="D10" s="5">
        <v>13.02</v>
      </c>
      <c r="E10" s="5">
        <v>13.02</v>
      </c>
      <c r="F10" s="3" t="s">
        <v>655</v>
      </c>
      <c r="G10" s="4">
        <v>45153</v>
      </c>
      <c r="H10" s="3" t="s">
        <v>276</v>
      </c>
    </row>
    <row r="11" spans="1:8" ht="25.65" hidden="1" customHeight="1" x14ac:dyDescent="0.25">
      <c r="A11" s="3" t="s">
        <v>12</v>
      </c>
      <c r="B11" s="4">
        <v>44951</v>
      </c>
      <c r="C11" s="3" t="s">
        <v>377</v>
      </c>
      <c r="D11" s="5">
        <v>1560.05</v>
      </c>
      <c r="E11" s="5">
        <v>1560.05</v>
      </c>
      <c r="F11" s="3" t="s">
        <v>632</v>
      </c>
      <c r="G11" s="4">
        <v>45153</v>
      </c>
      <c r="H11" s="3" t="s">
        <v>276</v>
      </c>
    </row>
    <row r="12" spans="1:8" ht="25.65" hidden="1" customHeight="1" x14ac:dyDescent="0.25">
      <c r="A12" s="3" t="s">
        <v>12</v>
      </c>
      <c r="B12" s="4">
        <v>44951</v>
      </c>
      <c r="C12" s="3" t="s">
        <v>335</v>
      </c>
      <c r="D12" s="5">
        <v>1202.3800000000001</v>
      </c>
      <c r="E12" s="5">
        <v>1202.3800000000001</v>
      </c>
      <c r="F12" s="3" t="s">
        <v>639</v>
      </c>
      <c r="G12" s="4">
        <v>45153</v>
      </c>
      <c r="H12" s="3" t="s">
        <v>276</v>
      </c>
    </row>
    <row r="13" spans="1:8" ht="25.65" hidden="1" customHeight="1" x14ac:dyDescent="0.25">
      <c r="A13" s="3" t="s">
        <v>12</v>
      </c>
      <c r="B13" s="4">
        <v>44951</v>
      </c>
      <c r="C13" s="3" t="s">
        <v>371</v>
      </c>
      <c r="D13" s="5">
        <v>903.45</v>
      </c>
      <c r="E13" s="5">
        <v>903.45</v>
      </c>
      <c r="F13" s="3" t="s">
        <v>626</v>
      </c>
      <c r="G13" s="4">
        <v>45153</v>
      </c>
      <c r="H13" s="3" t="s">
        <v>276</v>
      </c>
    </row>
    <row r="14" spans="1:8" ht="25.65" hidden="1" customHeight="1" x14ac:dyDescent="0.25">
      <c r="A14" s="3" t="s">
        <v>12</v>
      </c>
      <c r="B14" s="4">
        <v>44951</v>
      </c>
      <c r="C14" s="3" t="s">
        <v>274</v>
      </c>
      <c r="D14" s="5">
        <v>2316.7399999999998</v>
      </c>
      <c r="E14" s="5">
        <v>2316.7399999999998</v>
      </c>
      <c r="F14" s="3" t="s">
        <v>643</v>
      </c>
      <c r="G14" s="4">
        <v>45153</v>
      </c>
      <c r="H14" s="3" t="s">
        <v>276</v>
      </c>
    </row>
    <row r="15" spans="1:8" ht="25.65" hidden="1" customHeight="1" x14ac:dyDescent="0.25">
      <c r="A15" s="3" t="s">
        <v>12</v>
      </c>
      <c r="B15" s="4">
        <v>44951</v>
      </c>
      <c r="C15" s="3" t="s">
        <v>375</v>
      </c>
      <c r="D15" s="5">
        <v>10.14</v>
      </c>
      <c r="E15" s="5">
        <v>10.14</v>
      </c>
      <c r="F15" s="3" t="s">
        <v>637</v>
      </c>
      <c r="G15" s="4">
        <v>45153</v>
      </c>
      <c r="H15" s="3" t="s">
        <v>276</v>
      </c>
    </row>
    <row r="16" spans="1:8" ht="25.65" hidden="1" customHeight="1" x14ac:dyDescent="0.25">
      <c r="A16" s="3" t="s">
        <v>12</v>
      </c>
      <c r="B16" s="4">
        <v>44951</v>
      </c>
      <c r="C16" s="3" t="s">
        <v>331</v>
      </c>
      <c r="D16" s="5">
        <v>99.48</v>
      </c>
      <c r="E16" s="5">
        <v>99.48</v>
      </c>
      <c r="F16" s="3" t="s">
        <v>656</v>
      </c>
      <c r="G16" s="4">
        <v>45153</v>
      </c>
      <c r="H16" s="3" t="s">
        <v>276</v>
      </c>
    </row>
    <row r="17" spans="1:8" ht="25.65" hidden="1" customHeight="1" x14ac:dyDescent="0.25">
      <c r="A17" s="3" t="s">
        <v>12</v>
      </c>
      <c r="B17" s="4">
        <v>44951</v>
      </c>
      <c r="C17" s="3" t="s">
        <v>357</v>
      </c>
      <c r="D17" s="5">
        <v>148.56</v>
      </c>
      <c r="E17" s="5">
        <v>148.56</v>
      </c>
      <c r="F17" s="3" t="s">
        <v>649</v>
      </c>
      <c r="G17" s="4">
        <v>45153</v>
      </c>
      <c r="H17" s="3" t="s">
        <v>276</v>
      </c>
    </row>
    <row r="18" spans="1:8" ht="25.65" hidden="1" customHeight="1" x14ac:dyDescent="0.25">
      <c r="A18" s="3" t="s">
        <v>12</v>
      </c>
      <c r="B18" s="4">
        <v>44951</v>
      </c>
      <c r="C18" s="3" t="s">
        <v>307</v>
      </c>
      <c r="D18" s="5">
        <v>69.709999999999994</v>
      </c>
      <c r="E18" s="5">
        <v>69.709999999999994</v>
      </c>
      <c r="F18" s="3" t="s">
        <v>650</v>
      </c>
      <c r="G18" s="4">
        <v>45153</v>
      </c>
      <c r="H18" s="3" t="s">
        <v>276</v>
      </c>
    </row>
    <row r="19" spans="1:8" ht="25.65" hidden="1" customHeight="1" x14ac:dyDescent="0.25">
      <c r="A19" s="3" t="s">
        <v>12</v>
      </c>
      <c r="B19" s="4">
        <v>44951</v>
      </c>
      <c r="C19" s="3" t="s">
        <v>295</v>
      </c>
      <c r="D19" s="5">
        <v>66.69</v>
      </c>
      <c r="E19" s="5">
        <v>66.69</v>
      </c>
      <c r="F19" s="3" t="s">
        <v>630</v>
      </c>
      <c r="G19" s="4">
        <v>45153</v>
      </c>
      <c r="H19" s="3" t="s">
        <v>276</v>
      </c>
    </row>
    <row r="20" spans="1:8" ht="25.65" hidden="1" customHeight="1" x14ac:dyDescent="0.25">
      <c r="A20" s="3" t="s">
        <v>12</v>
      </c>
      <c r="B20" s="4">
        <v>44951</v>
      </c>
      <c r="C20" s="3" t="s">
        <v>343</v>
      </c>
      <c r="D20" s="5">
        <v>15.52</v>
      </c>
      <c r="E20" s="5">
        <v>15.52</v>
      </c>
      <c r="F20" s="3" t="s">
        <v>629</v>
      </c>
      <c r="G20" s="4">
        <v>45153</v>
      </c>
      <c r="H20" s="3" t="s">
        <v>276</v>
      </c>
    </row>
    <row r="21" spans="1:8" ht="25.65" hidden="1" customHeight="1" x14ac:dyDescent="0.25">
      <c r="A21" s="3" t="s">
        <v>12</v>
      </c>
      <c r="B21" s="4">
        <v>44951</v>
      </c>
      <c r="C21" s="3" t="s">
        <v>355</v>
      </c>
      <c r="D21" s="5">
        <v>0.87</v>
      </c>
      <c r="E21" s="5">
        <v>0.87</v>
      </c>
      <c r="F21" s="3" t="s">
        <v>645</v>
      </c>
      <c r="G21" s="4">
        <v>45153</v>
      </c>
      <c r="H21" s="3" t="s">
        <v>276</v>
      </c>
    </row>
    <row r="22" spans="1:8" ht="25.65" hidden="1" customHeight="1" x14ac:dyDescent="0.25">
      <c r="A22" s="3" t="s">
        <v>12</v>
      </c>
      <c r="B22" s="4">
        <v>44951</v>
      </c>
      <c r="C22" s="3" t="s">
        <v>329</v>
      </c>
      <c r="D22" s="5">
        <v>2090.31</v>
      </c>
      <c r="E22" s="5">
        <v>2090.31</v>
      </c>
      <c r="F22" s="3" t="s">
        <v>631</v>
      </c>
      <c r="G22" s="4">
        <v>45153</v>
      </c>
      <c r="H22" s="3" t="s">
        <v>276</v>
      </c>
    </row>
    <row r="23" spans="1:8" ht="25.65" hidden="1" customHeight="1" x14ac:dyDescent="0.25">
      <c r="A23" s="3" t="s">
        <v>12</v>
      </c>
      <c r="B23" s="4">
        <v>44951</v>
      </c>
      <c r="C23" s="3" t="s">
        <v>633</v>
      </c>
      <c r="D23" s="5">
        <v>7.99</v>
      </c>
      <c r="E23" s="5">
        <v>7.99</v>
      </c>
      <c r="F23" s="3" t="s">
        <v>634</v>
      </c>
      <c r="G23" s="4">
        <v>45153</v>
      </c>
      <c r="H23" s="3" t="s">
        <v>276</v>
      </c>
    </row>
    <row r="24" spans="1:8" ht="25.65" hidden="1" customHeight="1" x14ac:dyDescent="0.25">
      <c r="A24" s="3" t="s">
        <v>12</v>
      </c>
      <c r="B24" s="4">
        <v>44951</v>
      </c>
      <c r="C24" s="3" t="s">
        <v>341</v>
      </c>
      <c r="D24" s="5">
        <v>314.66000000000003</v>
      </c>
      <c r="E24" s="5">
        <v>314.66000000000003</v>
      </c>
      <c r="F24" s="3" t="s">
        <v>635</v>
      </c>
      <c r="G24" s="4">
        <v>45153</v>
      </c>
      <c r="H24" s="3" t="s">
        <v>276</v>
      </c>
    </row>
    <row r="25" spans="1:8" ht="25.65" hidden="1" customHeight="1" x14ac:dyDescent="0.25">
      <c r="A25" s="3" t="s">
        <v>12</v>
      </c>
      <c r="B25" s="4">
        <v>44951</v>
      </c>
      <c r="C25" s="3" t="s">
        <v>285</v>
      </c>
      <c r="D25" s="5">
        <v>824.5</v>
      </c>
      <c r="E25" s="5">
        <v>824.5</v>
      </c>
      <c r="F25" s="3" t="s">
        <v>636</v>
      </c>
      <c r="G25" s="4">
        <v>45153</v>
      </c>
      <c r="H25" s="3" t="s">
        <v>276</v>
      </c>
    </row>
    <row r="26" spans="1:8" ht="25.65" hidden="1" customHeight="1" x14ac:dyDescent="0.25">
      <c r="A26" s="3" t="s">
        <v>12</v>
      </c>
      <c r="B26" s="4">
        <v>44951</v>
      </c>
      <c r="C26" s="3" t="s">
        <v>641</v>
      </c>
      <c r="D26" s="5">
        <v>2285.8000000000002</v>
      </c>
      <c r="E26" s="5">
        <v>2285.8000000000002</v>
      </c>
      <c r="F26" s="3" t="s">
        <v>642</v>
      </c>
      <c r="G26" s="4">
        <v>45153</v>
      </c>
      <c r="H26" s="3" t="s">
        <v>276</v>
      </c>
    </row>
    <row r="27" spans="1:8" ht="25.65" hidden="1" customHeight="1" x14ac:dyDescent="0.25">
      <c r="A27" s="3" t="s">
        <v>12</v>
      </c>
      <c r="B27" s="4">
        <v>44951</v>
      </c>
      <c r="C27" s="3" t="s">
        <v>652</v>
      </c>
      <c r="D27" s="5">
        <v>200.72</v>
      </c>
      <c r="E27" s="5">
        <v>200.72</v>
      </c>
      <c r="F27" s="3" t="s">
        <v>653</v>
      </c>
      <c r="G27" s="4">
        <v>45153</v>
      </c>
      <c r="H27" s="3" t="s">
        <v>276</v>
      </c>
    </row>
    <row r="28" spans="1:8" ht="25.65" hidden="1" customHeight="1" x14ac:dyDescent="0.25">
      <c r="A28" s="3" t="s">
        <v>12</v>
      </c>
      <c r="B28" s="4">
        <v>44951</v>
      </c>
      <c r="C28" s="3" t="s">
        <v>333</v>
      </c>
      <c r="D28" s="5">
        <v>93.86</v>
      </c>
      <c r="E28" s="5">
        <v>93.86</v>
      </c>
      <c r="F28" s="3" t="s">
        <v>657</v>
      </c>
      <c r="G28" s="4">
        <v>45153</v>
      </c>
      <c r="H28" s="3" t="s">
        <v>276</v>
      </c>
    </row>
    <row r="29" spans="1:8" ht="25.65" hidden="1" customHeight="1" x14ac:dyDescent="0.25">
      <c r="A29" s="3" t="s">
        <v>12</v>
      </c>
      <c r="B29" s="4">
        <v>44951</v>
      </c>
      <c r="C29" s="3" t="s">
        <v>309</v>
      </c>
      <c r="D29" s="5">
        <v>347.25</v>
      </c>
      <c r="E29" s="5">
        <v>347.25</v>
      </c>
      <c r="F29" s="3" t="s">
        <v>647</v>
      </c>
      <c r="G29" s="4">
        <v>45153</v>
      </c>
      <c r="H29" s="3" t="s">
        <v>276</v>
      </c>
    </row>
    <row r="30" spans="1:8" ht="25.65" hidden="1" customHeight="1" x14ac:dyDescent="0.25">
      <c r="A30" s="3" t="s">
        <v>12</v>
      </c>
      <c r="B30" s="4">
        <v>44951</v>
      </c>
      <c r="C30" s="3" t="s">
        <v>373</v>
      </c>
      <c r="D30" s="5">
        <v>11.78</v>
      </c>
      <c r="E30" s="5">
        <v>11.78</v>
      </c>
      <c r="F30" s="3" t="s">
        <v>627</v>
      </c>
      <c r="G30" s="4">
        <v>45153</v>
      </c>
      <c r="H30" s="3" t="s">
        <v>276</v>
      </c>
    </row>
    <row r="31" spans="1:8" ht="25.65" hidden="1" customHeight="1" x14ac:dyDescent="0.25">
      <c r="A31" s="3" t="s">
        <v>12</v>
      </c>
      <c r="B31" s="4">
        <v>45041</v>
      </c>
      <c r="C31" s="3" t="s">
        <v>413</v>
      </c>
      <c r="D31" s="5">
        <v>785.76</v>
      </c>
      <c r="E31" s="5">
        <v>785.76</v>
      </c>
      <c r="F31" s="3" t="s">
        <v>671</v>
      </c>
      <c r="G31" s="4">
        <v>45153</v>
      </c>
      <c r="H31" s="3" t="s">
        <v>276</v>
      </c>
    </row>
    <row r="32" spans="1:8" ht="25.65" hidden="1" customHeight="1" x14ac:dyDescent="0.25">
      <c r="A32" s="3" t="s">
        <v>12</v>
      </c>
      <c r="B32" s="4">
        <v>45041</v>
      </c>
      <c r="C32" s="3" t="s">
        <v>401</v>
      </c>
      <c r="D32" s="5">
        <v>67.14</v>
      </c>
      <c r="E32" s="5">
        <v>67.14</v>
      </c>
      <c r="F32" s="3" t="s">
        <v>668</v>
      </c>
      <c r="G32" s="4">
        <v>45153</v>
      </c>
      <c r="H32" s="3" t="s">
        <v>276</v>
      </c>
    </row>
    <row r="33" spans="1:8" ht="25.65" hidden="1" customHeight="1" x14ac:dyDescent="0.25">
      <c r="A33" s="3" t="s">
        <v>12</v>
      </c>
      <c r="B33" s="4">
        <v>45041</v>
      </c>
      <c r="C33" s="3" t="s">
        <v>449</v>
      </c>
      <c r="D33" s="5">
        <v>2157.91</v>
      </c>
      <c r="E33" s="5">
        <v>2157.91</v>
      </c>
      <c r="F33" s="3" t="s">
        <v>685</v>
      </c>
      <c r="G33" s="4">
        <v>45153</v>
      </c>
      <c r="H33" s="3" t="s">
        <v>276</v>
      </c>
    </row>
    <row r="34" spans="1:8" ht="25.65" hidden="1" customHeight="1" x14ac:dyDescent="0.25">
      <c r="A34" s="3" t="s">
        <v>12</v>
      </c>
      <c r="B34" s="4">
        <v>45041</v>
      </c>
      <c r="C34" s="3" t="s">
        <v>495</v>
      </c>
      <c r="D34" s="5">
        <v>35.68</v>
      </c>
      <c r="E34" s="5">
        <v>35.68</v>
      </c>
      <c r="F34" s="3" t="s">
        <v>681</v>
      </c>
      <c r="G34" s="4">
        <v>45153</v>
      </c>
      <c r="H34" s="3" t="s">
        <v>276</v>
      </c>
    </row>
    <row r="35" spans="1:8" ht="25.65" hidden="1" customHeight="1" x14ac:dyDescent="0.25">
      <c r="A35" s="3" t="s">
        <v>12</v>
      </c>
      <c r="B35" s="4">
        <v>45041</v>
      </c>
      <c r="C35" s="3" t="s">
        <v>417</v>
      </c>
      <c r="D35" s="5">
        <v>6048.08</v>
      </c>
      <c r="E35" s="5">
        <v>6048.08</v>
      </c>
      <c r="F35" s="3" t="s">
        <v>663</v>
      </c>
      <c r="G35" s="4">
        <v>45153</v>
      </c>
      <c r="H35" s="3" t="s">
        <v>276</v>
      </c>
    </row>
    <row r="36" spans="1:8" ht="25.65" hidden="1" customHeight="1" x14ac:dyDescent="0.25">
      <c r="A36" s="3" t="s">
        <v>12</v>
      </c>
      <c r="B36" s="4">
        <v>45041</v>
      </c>
      <c r="C36" s="3" t="s">
        <v>387</v>
      </c>
      <c r="D36" s="5">
        <v>13.79</v>
      </c>
      <c r="E36" s="5">
        <v>13.79</v>
      </c>
      <c r="F36" s="3" t="s">
        <v>675</v>
      </c>
      <c r="G36" s="4">
        <v>45153</v>
      </c>
      <c r="H36" s="3" t="s">
        <v>276</v>
      </c>
    </row>
    <row r="37" spans="1:8" ht="25.65" hidden="1" customHeight="1" x14ac:dyDescent="0.25">
      <c r="A37" s="3" t="s">
        <v>12</v>
      </c>
      <c r="B37" s="4">
        <v>45041</v>
      </c>
      <c r="C37" s="3" t="s">
        <v>447</v>
      </c>
      <c r="D37" s="5">
        <v>102.47</v>
      </c>
      <c r="E37" s="5">
        <v>102.47</v>
      </c>
      <c r="F37" s="3" t="s">
        <v>666</v>
      </c>
      <c r="G37" s="4">
        <v>45153</v>
      </c>
      <c r="H37" s="3" t="s">
        <v>276</v>
      </c>
    </row>
    <row r="38" spans="1:8" ht="25.65" hidden="1" customHeight="1" x14ac:dyDescent="0.25">
      <c r="A38" s="3" t="s">
        <v>12</v>
      </c>
      <c r="B38" s="4">
        <v>45041</v>
      </c>
      <c r="C38" s="3" t="s">
        <v>431</v>
      </c>
      <c r="D38" s="5">
        <v>9.68</v>
      </c>
      <c r="E38" s="5">
        <v>9.68</v>
      </c>
      <c r="F38" s="3" t="s">
        <v>682</v>
      </c>
      <c r="G38" s="4">
        <v>45153</v>
      </c>
      <c r="H38" s="3" t="s">
        <v>276</v>
      </c>
    </row>
    <row r="39" spans="1:8" ht="25.65" hidden="1" customHeight="1" x14ac:dyDescent="0.25">
      <c r="A39" s="3" t="s">
        <v>12</v>
      </c>
      <c r="B39" s="4">
        <v>45041</v>
      </c>
      <c r="C39" s="3" t="s">
        <v>435</v>
      </c>
      <c r="D39" s="5">
        <v>139.22999999999999</v>
      </c>
      <c r="E39" s="5">
        <v>139.22999999999999</v>
      </c>
      <c r="F39" s="3" t="s">
        <v>677</v>
      </c>
      <c r="G39" s="4">
        <v>45153</v>
      </c>
      <c r="H39" s="3" t="s">
        <v>276</v>
      </c>
    </row>
    <row r="40" spans="1:8" ht="25.65" hidden="1" customHeight="1" x14ac:dyDescent="0.25">
      <c r="A40" s="3" t="s">
        <v>12</v>
      </c>
      <c r="B40" s="4">
        <v>45041</v>
      </c>
      <c r="C40" s="3" t="s">
        <v>473</v>
      </c>
      <c r="D40" s="5">
        <v>334.75</v>
      </c>
      <c r="E40" s="5">
        <v>334.75</v>
      </c>
      <c r="F40" s="3" t="s">
        <v>684</v>
      </c>
      <c r="G40" s="4">
        <v>45153</v>
      </c>
      <c r="H40" s="3" t="s">
        <v>276</v>
      </c>
    </row>
    <row r="41" spans="1:8" ht="25.65" hidden="1" customHeight="1" x14ac:dyDescent="0.25">
      <c r="A41" s="3" t="s">
        <v>12</v>
      </c>
      <c r="B41" s="4">
        <v>45041</v>
      </c>
      <c r="C41" s="3" t="s">
        <v>481</v>
      </c>
      <c r="D41" s="5">
        <v>972.65</v>
      </c>
      <c r="E41" s="5">
        <v>972.65</v>
      </c>
      <c r="F41" s="3" t="s">
        <v>660</v>
      </c>
      <c r="G41" s="4">
        <v>45153</v>
      </c>
      <c r="H41" s="3" t="s">
        <v>276</v>
      </c>
    </row>
    <row r="42" spans="1:8" ht="25.65" hidden="1" customHeight="1" x14ac:dyDescent="0.25">
      <c r="A42" s="3" t="s">
        <v>12</v>
      </c>
      <c r="B42" s="4">
        <v>45041</v>
      </c>
      <c r="C42" s="3" t="s">
        <v>411</v>
      </c>
      <c r="D42" s="5">
        <v>868.46</v>
      </c>
      <c r="E42" s="5">
        <v>868.46</v>
      </c>
      <c r="F42" s="3" t="s">
        <v>662</v>
      </c>
      <c r="G42" s="4">
        <v>45153</v>
      </c>
      <c r="H42" s="3" t="s">
        <v>276</v>
      </c>
    </row>
    <row r="43" spans="1:8" ht="25.65" hidden="1" customHeight="1" x14ac:dyDescent="0.25">
      <c r="A43" s="3" t="s">
        <v>12</v>
      </c>
      <c r="B43" s="4">
        <v>45041</v>
      </c>
      <c r="C43" s="3" t="s">
        <v>397</v>
      </c>
      <c r="D43" s="5">
        <v>2204.96</v>
      </c>
      <c r="E43" s="5">
        <v>2204.96</v>
      </c>
      <c r="F43" s="3" t="s">
        <v>674</v>
      </c>
      <c r="G43" s="4">
        <v>45153</v>
      </c>
      <c r="H43" s="3" t="s">
        <v>276</v>
      </c>
    </row>
    <row r="44" spans="1:8" ht="25.65" hidden="1" customHeight="1" x14ac:dyDescent="0.25">
      <c r="A44" s="3" t="s">
        <v>12</v>
      </c>
      <c r="B44" s="4">
        <v>45041</v>
      </c>
      <c r="C44" s="3" t="s">
        <v>389</v>
      </c>
      <c r="D44" s="5">
        <v>0.55000000000000004</v>
      </c>
      <c r="E44" s="5">
        <v>0.55000000000000004</v>
      </c>
      <c r="F44" s="3" t="s">
        <v>665</v>
      </c>
      <c r="G44" s="4">
        <v>45153</v>
      </c>
      <c r="H44" s="3" t="s">
        <v>276</v>
      </c>
    </row>
    <row r="45" spans="1:8" ht="25.65" hidden="1" customHeight="1" x14ac:dyDescent="0.25">
      <c r="A45" s="3" t="s">
        <v>12</v>
      </c>
      <c r="B45" s="4">
        <v>45041</v>
      </c>
      <c r="C45" s="3" t="s">
        <v>391</v>
      </c>
      <c r="D45" s="5">
        <v>12.17</v>
      </c>
      <c r="E45" s="5">
        <v>12.17</v>
      </c>
      <c r="F45" s="3" t="s">
        <v>659</v>
      </c>
      <c r="G45" s="4">
        <v>45153</v>
      </c>
      <c r="H45" s="3" t="s">
        <v>276</v>
      </c>
    </row>
    <row r="46" spans="1:8" ht="25.65" hidden="1" customHeight="1" x14ac:dyDescent="0.25">
      <c r="A46" s="3" t="s">
        <v>12</v>
      </c>
      <c r="B46" s="4">
        <v>45041</v>
      </c>
      <c r="C46" s="3" t="s">
        <v>433</v>
      </c>
      <c r="D46" s="5">
        <v>542.37</v>
      </c>
      <c r="E46" s="5">
        <v>542.37</v>
      </c>
      <c r="F46" s="3" t="s">
        <v>667</v>
      </c>
      <c r="G46" s="4">
        <v>45153</v>
      </c>
      <c r="H46" s="3" t="s">
        <v>276</v>
      </c>
    </row>
    <row r="47" spans="1:8" ht="25.65" hidden="1" customHeight="1" x14ac:dyDescent="0.25">
      <c r="A47" s="3" t="s">
        <v>12</v>
      </c>
      <c r="B47" s="4">
        <v>45041</v>
      </c>
      <c r="C47" s="3" t="s">
        <v>475</v>
      </c>
      <c r="D47" s="5">
        <v>7.51</v>
      </c>
      <c r="E47" s="5">
        <v>7.51</v>
      </c>
      <c r="F47" s="3" t="s">
        <v>686</v>
      </c>
      <c r="G47" s="4">
        <v>45153</v>
      </c>
      <c r="H47" s="3" t="s">
        <v>276</v>
      </c>
    </row>
    <row r="48" spans="1:8" ht="25.65" hidden="1" customHeight="1" x14ac:dyDescent="0.25">
      <c r="A48" s="3" t="s">
        <v>12</v>
      </c>
      <c r="B48" s="4">
        <v>45041</v>
      </c>
      <c r="C48" s="3" t="s">
        <v>461</v>
      </c>
      <c r="D48" s="5">
        <v>299.48</v>
      </c>
      <c r="E48" s="5">
        <v>299.48</v>
      </c>
      <c r="F48" s="3" t="s">
        <v>670</v>
      </c>
      <c r="G48" s="4">
        <v>45153</v>
      </c>
      <c r="H48" s="3" t="s">
        <v>276</v>
      </c>
    </row>
    <row r="49" spans="1:8" ht="25.65" hidden="1" customHeight="1" x14ac:dyDescent="0.25">
      <c r="A49" s="3" t="s">
        <v>12</v>
      </c>
      <c r="B49" s="4">
        <v>45041</v>
      </c>
      <c r="C49" s="3" t="s">
        <v>497</v>
      </c>
      <c r="D49" s="5">
        <v>139.94</v>
      </c>
      <c r="E49" s="5">
        <v>139.94</v>
      </c>
      <c r="F49" s="3" t="s">
        <v>679</v>
      </c>
      <c r="G49" s="4">
        <v>45153</v>
      </c>
      <c r="H49" s="3" t="s">
        <v>276</v>
      </c>
    </row>
    <row r="50" spans="1:8" ht="25.65" hidden="1" customHeight="1" x14ac:dyDescent="0.25">
      <c r="A50" s="3" t="s">
        <v>12</v>
      </c>
      <c r="B50" s="4">
        <v>45041</v>
      </c>
      <c r="C50" s="3" t="s">
        <v>501</v>
      </c>
      <c r="D50" s="5">
        <v>268.43</v>
      </c>
      <c r="E50" s="5">
        <v>268.43</v>
      </c>
      <c r="F50" s="3" t="s">
        <v>669</v>
      </c>
      <c r="G50" s="4">
        <v>45153</v>
      </c>
      <c r="H50" s="3" t="s">
        <v>276</v>
      </c>
    </row>
    <row r="51" spans="1:8" ht="25.65" hidden="1" customHeight="1" x14ac:dyDescent="0.25">
      <c r="A51" s="3" t="s">
        <v>12</v>
      </c>
      <c r="B51" s="4">
        <v>45041</v>
      </c>
      <c r="C51" s="3" t="s">
        <v>415</v>
      </c>
      <c r="D51" s="5">
        <v>7.5</v>
      </c>
      <c r="E51" s="5">
        <v>7.5</v>
      </c>
      <c r="F51" s="3" t="s">
        <v>658</v>
      </c>
      <c r="G51" s="4">
        <v>45153</v>
      </c>
      <c r="H51" s="3" t="s">
        <v>276</v>
      </c>
    </row>
    <row r="52" spans="1:8" ht="25.65" hidden="1" customHeight="1" x14ac:dyDescent="0.25">
      <c r="A52" s="3" t="s">
        <v>12</v>
      </c>
      <c r="B52" s="4">
        <v>45041</v>
      </c>
      <c r="C52" s="3" t="s">
        <v>469</v>
      </c>
      <c r="D52" s="5">
        <v>193.18</v>
      </c>
      <c r="E52" s="5">
        <v>193.18</v>
      </c>
      <c r="F52" s="3" t="s">
        <v>664</v>
      </c>
      <c r="G52" s="4">
        <v>45153</v>
      </c>
      <c r="H52" s="3" t="s">
        <v>276</v>
      </c>
    </row>
    <row r="53" spans="1:8" ht="25.65" hidden="1" customHeight="1" x14ac:dyDescent="0.25">
      <c r="A53" s="3" t="s">
        <v>12</v>
      </c>
      <c r="B53" s="4">
        <v>45041</v>
      </c>
      <c r="C53" s="3" t="s">
        <v>499</v>
      </c>
      <c r="D53" s="5">
        <v>2025.12</v>
      </c>
      <c r="E53" s="5">
        <v>2025.12</v>
      </c>
      <c r="F53" s="3" t="s">
        <v>676</v>
      </c>
      <c r="G53" s="4">
        <v>45153</v>
      </c>
      <c r="H53" s="3" t="s">
        <v>276</v>
      </c>
    </row>
    <row r="54" spans="1:8" ht="25.65" hidden="1" customHeight="1" x14ac:dyDescent="0.25">
      <c r="A54" s="3" t="s">
        <v>12</v>
      </c>
      <c r="B54" s="4">
        <v>45041</v>
      </c>
      <c r="C54" s="3" t="s">
        <v>471</v>
      </c>
      <c r="D54" s="5">
        <v>1165.2</v>
      </c>
      <c r="E54" s="5">
        <v>1165.2</v>
      </c>
      <c r="F54" s="3" t="s">
        <v>673</v>
      </c>
      <c r="G54" s="4">
        <v>45153</v>
      </c>
      <c r="H54" s="3" t="s">
        <v>276</v>
      </c>
    </row>
    <row r="55" spans="1:8" ht="25.65" hidden="1" customHeight="1" x14ac:dyDescent="0.25">
      <c r="A55" s="3" t="s">
        <v>12</v>
      </c>
      <c r="B55" s="4">
        <v>45041</v>
      </c>
      <c r="C55" s="3" t="s">
        <v>463</v>
      </c>
      <c r="D55" s="5">
        <v>95.79</v>
      </c>
      <c r="E55" s="5">
        <v>95.79</v>
      </c>
      <c r="F55" s="3" t="s">
        <v>683</v>
      </c>
      <c r="G55" s="4">
        <v>45153</v>
      </c>
      <c r="H55" s="3" t="s">
        <v>276</v>
      </c>
    </row>
    <row r="56" spans="1:8" ht="25.65" hidden="1" customHeight="1" x14ac:dyDescent="0.25">
      <c r="A56" s="3" t="s">
        <v>12</v>
      </c>
      <c r="B56" s="4">
        <v>45041</v>
      </c>
      <c r="C56" s="3" t="s">
        <v>399</v>
      </c>
      <c r="D56" s="5">
        <v>90.37</v>
      </c>
      <c r="E56" s="5">
        <v>90.37</v>
      </c>
      <c r="F56" s="3" t="s">
        <v>680</v>
      </c>
      <c r="G56" s="4">
        <v>45153</v>
      </c>
      <c r="H56" s="3" t="s">
        <v>276</v>
      </c>
    </row>
    <row r="57" spans="1:8" ht="25.65" hidden="1" customHeight="1" x14ac:dyDescent="0.25">
      <c r="A57" s="3" t="s">
        <v>12</v>
      </c>
      <c r="B57" s="4">
        <v>45041</v>
      </c>
      <c r="C57" s="3" t="s">
        <v>465</v>
      </c>
      <c r="D57" s="5">
        <v>82.19</v>
      </c>
      <c r="E57" s="5">
        <v>82.19</v>
      </c>
      <c r="F57" s="3" t="s">
        <v>678</v>
      </c>
      <c r="G57" s="4">
        <v>45153</v>
      </c>
      <c r="H57" s="3" t="s">
        <v>276</v>
      </c>
    </row>
    <row r="58" spans="1:8" ht="25.65" hidden="1" customHeight="1" x14ac:dyDescent="0.25">
      <c r="A58" s="3" t="s">
        <v>12</v>
      </c>
      <c r="B58" s="4">
        <v>45041</v>
      </c>
      <c r="C58" s="3" t="s">
        <v>445</v>
      </c>
      <c r="D58" s="5">
        <v>63.6</v>
      </c>
      <c r="E58" s="5">
        <v>63.6</v>
      </c>
      <c r="F58" s="3" t="s">
        <v>672</v>
      </c>
      <c r="G58" s="4">
        <v>45153</v>
      </c>
      <c r="H58" s="3" t="s">
        <v>276</v>
      </c>
    </row>
    <row r="59" spans="1:8" ht="25.65" hidden="1" customHeight="1" x14ac:dyDescent="0.25">
      <c r="A59" s="3" t="s">
        <v>12</v>
      </c>
      <c r="B59" s="4">
        <v>45041</v>
      </c>
      <c r="C59" s="3" t="s">
        <v>419</v>
      </c>
      <c r="D59" s="5">
        <v>1511.38</v>
      </c>
      <c r="E59" s="5">
        <v>1511.38</v>
      </c>
      <c r="F59" s="3" t="s">
        <v>661</v>
      </c>
      <c r="G59" s="4">
        <v>45153</v>
      </c>
      <c r="H59" s="3" t="s">
        <v>276</v>
      </c>
    </row>
    <row r="60" spans="1:8" ht="25.65" customHeight="1" x14ac:dyDescent="0.25">
      <c r="A60" s="3" t="s">
        <v>12</v>
      </c>
      <c r="B60" s="4">
        <v>45132</v>
      </c>
      <c r="C60" s="3" t="s">
        <v>537</v>
      </c>
      <c r="D60" s="5">
        <v>6055.99</v>
      </c>
      <c r="E60" s="5">
        <v>6055.99</v>
      </c>
      <c r="F60" s="3" t="s">
        <v>687</v>
      </c>
      <c r="G60" s="4">
        <v>45140</v>
      </c>
      <c r="H60" s="3" t="s">
        <v>276</v>
      </c>
    </row>
    <row r="61" spans="1:8" ht="25.65" customHeight="1" x14ac:dyDescent="0.25">
      <c r="A61" s="3" t="s">
        <v>12</v>
      </c>
      <c r="B61" s="4">
        <v>45132</v>
      </c>
      <c r="C61" s="3" t="s">
        <v>593</v>
      </c>
      <c r="D61" s="5">
        <v>0.16</v>
      </c>
      <c r="E61" s="5">
        <v>0.16</v>
      </c>
      <c r="F61" s="3" t="s">
        <v>688</v>
      </c>
      <c r="G61" s="4">
        <v>45140</v>
      </c>
      <c r="H61" s="3" t="s">
        <v>276</v>
      </c>
    </row>
    <row r="62" spans="1:8" ht="25.65" customHeight="1" x14ac:dyDescent="0.25">
      <c r="A62" s="3" t="s">
        <v>12</v>
      </c>
      <c r="B62" s="4">
        <v>45132</v>
      </c>
      <c r="C62" s="3" t="s">
        <v>575</v>
      </c>
      <c r="D62" s="5">
        <v>535.76</v>
      </c>
      <c r="E62" s="5">
        <v>535.76</v>
      </c>
      <c r="F62" s="3" t="s">
        <v>689</v>
      </c>
      <c r="G62" s="4">
        <v>45140</v>
      </c>
      <c r="H62" s="3" t="s">
        <v>276</v>
      </c>
    </row>
    <row r="63" spans="1:8" ht="25.65" customHeight="1" x14ac:dyDescent="0.25">
      <c r="A63" s="3" t="s">
        <v>12</v>
      </c>
      <c r="B63" s="4">
        <v>45132</v>
      </c>
      <c r="C63" s="3" t="s">
        <v>541</v>
      </c>
      <c r="D63" s="5">
        <v>333.55</v>
      </c>
      <c r="E63" s="5">
        <v>333.55</v>
      </c>
      <c r="F63" s="3" t="s">
        <v>690</v>
      </c>
      <c r="G63" s="4">
        <v>45140</v>
      </c>
      <c r="H63" s="3" t="s">
        <v>276</v>
      </c>
    </row>
    <row r="64" spans="1:8" ht="25.65" customHeight="1" x14ac:dyDescent="0.25">
      <c r="A64" s="3" t="s">
        <v>12</v>
      </c>
      <c r="B64" s="4">
        <v>45132</v>
      </c>
      <c r="C64" s="3" t="s">
        <v>619</v>
      </c>
      <c r="D64" s="5">
        <v>192.16</v>
      </c>
      <c r="E64" s="5">
        <v>192.16</v>
      </c>
      <c r="F64" s="3" t="s">
        <v>691</v>
      </c>
      <c r="G64" s="4">
        <v>45140</v>
      </c>
      <c r="H64" s="3" t="s">
        <v>276</v>
      </c>
    </row>
    <row r="65" spans="1:8" ht="25.65" customHeight="1" x14ac:dyDescent="0.25">
      <c r="A65" s="3" t="s">
        <v>12</v>
      </c>
      <c r="B65" s="4">
        <v>45132</v>
      </c>
      <c r="C65" s="3" t="s">
        <v>595</v>
      </c>
      <c r="D65" s="5">
        <v>2027.96</v>
      </c>
      <c r="E65" s="5">
        <v>2027.96</v>
      </c>
      <c r="F65" s="3" t="s">
        <v>692</v>
      </c>
      <c r="G65" s="4">
        <v>45140</v>
      </c>
      <c r="H65" s="3" t="s">
        <v>276</v>
      </c>
    </row>
    <row r="66" spans="1:8" ht="25.65" customHeight="1" x14ac:dyDescent="0.25">
      <c r="A66" s="3" t="s">
        <v>12</v>
      </c>
      <c r="B66" s="4">
        <v>45132</v>
      </c>
      <c r="C66" s="3" t="s">
        <v>597</v>
      </c>
      <c r="D66" s="5">
        <v>1513.48</v>
      </c>
      <c r="E66" s="5">
        <v>1513.48</v>
      </c>
      <c r="F66" s="3" t="s">
        <v>693</v>
      </c>
      <c r="G66" s="4">
        <v>45140</v>
      </c>
      <c r="H66" s="3" t="s">
        <v>276</v>
      </c>
    </row>
    <row r="67" spans="1:8" ht="25.65" customHeight="1" x14ac:dyDescent="0.25">
      <c r="A67" s="3" t="s">
        <v>12</v>
      </c>
      <c r="B67" s="4">
        <v>45132</v>
      </c>
      <c r="C67" s="3" t="s">
        <v>577</v>
      </c>
      <c r="D67" s="5">
        <v>134.69999999999999</v>
      </c>
      <c r="E67" s="5">
        <v>134.69999999999999</v>
      </c>
      <c r="F67" s="3" t="s">
        <v>694</v>
      </c>
      <c r="G67" s="4">
        <v>45140</v>
      </c>
      <c r="H67" s="3" t="s">
        <v>276</v>
      </c>
    </row>
    <row r="68" spans="1:8" ht="25.65" customHeight="1" x14ac:dyDescent="0.25">
      <c r="A68" s="3" t="s">
        <v>12</v>
      </c>
      <c r="B68" s="4">
        <v>45132</v>
      </c>
      <c r="C68" s="3" t="s">
        <v>551</v>
      </c>
      <c r="D68" s="5">
        <v>81.819999999999993</v>
      </c>
      <c r="E68" s="5">
        <v>81.819999999999993</v>
      </c>
      <c r="F68" s="3" t="s">
        <v>695</v>
      </c>
      <c r="G68" s="4">
        <v>45140</v>
      </c>
      <c r="H68" s="3" t="s">
        <v>276</v>
      </c>
    </row>
    <row r="69" spans="1:8" ht="25.65" customHeight="1" x14ac:dyDescent="0.25">
      <c r="A69" s="3" t="s">
        <v>12</v>
      </c>
      <c r="B69" s="4">
        <v>45132</v>
      </c>
      <c r="C69" s="3" t="s">
        <v>599</v>
      </c>
      <c r="D69" s="5">
        <v>7.29</v>
      </c>
      <c r="E69" s="5">
        <v>7.29</v>
      </c>
      <c r="F69" s="3" t="s">
        <v>696</v>
      </c>
      <c r="G69" s="4">
        <v>45140</v>
      </c>
      <c r="H69" s="3" t="s">
        <v>276</v>
      </c>
    </row>
    <row r="70" spans="1:8" ht="25.65" customHeight="1" x14ac:dyDescent="0.25">
      <c r="A70" s="3" t="s">
        <v>12</v>
      </c>
      <c r="B70" s="4">
        <v>45132</v>
      </c>
      <c r="C70" s="3" t="s">
        <v>505</v>
      </c>
      <c r="D70" s="5">
        <v>2167.4699999999998</v>
      </c>
      <c r="E70" s="5">
        <v>2167.4699999999998</v>
      </c>
      <c r="F70" s="3" t="s">
        <v>697</v>
      </c>
      <c r="G70" s="4">
        <v>45140</v>
      </c>
      <c r="H70" s="3" t="s">
        <v>276</v>
      </c>
    </row>
    <row r="71" spans="1:8" ht="25.65" customHeight="1" x14ac:dyDescent="0.25">
      <c r="A71" s="3" t="s">
        <v>12</v>
      </c>
      <c r="B71" s="4">
        <v>45132</v>
      </c>
      <c r="C71" s="3" t="s">
        <v>549</v>
      </c>
      <c r="D71" s="5">
        <v>26.93</v>
      </c>
      <c r="E71" s="5">
        <v>26.93</v>
      </c>
      <c r="F71" s="3" t="s">
        <v>698</v>
      </c>
      <c r="G71" s="4">
        <v>45140</v>
      </c>
      <c r="H71" s="3" t="s">
        <v>276</v>
      </c>
    </row>
    <row r="72" spans="1:8" ht="25.65" customHeight="1" x14ac:dyDescent="0.25">
      <c r="A72" s="3" t="s">
        <v>12</v>
      </c>
      <c r="B72" s="4">
        <v>45132</v>
      </c>
      <c r="C72" s="3" t="s">
        <v>589</v>
      </c>
      <c r="D72" s="5">
        <v>294.39</v>
      </c>
      <c r="E72" s="5">
        <v>294.39</v>
      </c>
      <c r="F72" s="3" t="s">
        <v>699</v>
      </c>
      <c r="G72" s="4">
        <v>45140</v>
      </c>
      <c r="H72" s="3" t="s">
        <v>276</v>
      </c>
    </row>
    <row r="73" spans="1:8" ht="25.65" customHeight="1" x14ac:dyDescent="0.25">
      <c r="A73" s="3" t="s">
        <v>12</v>
      </c>
      <c r="B73" s="4">
        <v>45132</v>
      </c>
      <c r="C73" s="3" t="s">
        <v>591</v>
      </c>
      <c r="D73" s="5">
        <v>12.55</v>
      </c>
      <c r="E73" s="5">
        <v>12.55</v>
      </c>
      <c r="F73" s="3" t="s">
        <v>700</v>
      </c>
      <c r="G73" s="4">
        <v>45140</v>
      </c>
      <c r="H73" s="3" t="s">
        <v>276</v>
      </c>
    </row>
    <row r="74" spans="1:8" ht="25.65" customHeight="1" x14ac:dyDescent="0.25">
      <c r="A74" s="3" t="s">
        <v>12</v>
      </c>
      <c r="B74" s="4">
        <v>45132</v>
      </c>
      <c r="C74" s="3" t="s">
        <v>511</v>
      </c>
      <c r="D74" s="5">
        <v>9.56</v>
      </c>
      <c r="E74" s="5">
        <v>9.56</v>
      </c>
      <c r="F74" s="3" t="s">
        <v>701</v>
      </c>
      <c r="G74" s="4">
        <v>45140</v>
      </c>
      <c r="H74" s="3" t="s">
        <v>276</v>
      </c>
    </row>
    <row r="75" spans="1:8" ht="25.65" customHeight="1" x14ac:dyDescent="0.25">
      <c r="A75" s="3" t="s">
        <v>12</v>
      </c>
      <c r="B75" s="4">
        <v>45132</v>
      </c>
      <c r="C75" s="3" t="s">
        <v>573</v>
      </c>
      <c r="D75" s="5">
        <v>11.73</v>
      </c>
      <c r="E75" s="5">
        <v>11.73</v>
      </c>
      <c r="F75" s="3" t="s">
        <v>702</v>
      </c>
      <c r="G75" s="4">
        <v>45140</v>
      </c>
      <c r="H75" s="3" t="s">
        <v>276</v>
      </c>
    </row>
    <row r="76" spans="1:8" ht="25.65" customHeight="1" x14ac:dyDescent="0.25">
      <c r="A76" s="3" t="s">
        <v>12</v>
      </c>
      <c r="B76" s="4">
        <v>45132</v>
      </c>
      <c r="C76" s="3" t="s">
        <v>539</v>
      </c>
      <c r="D76" s="5">
        <v>95.33</v>
      </c>
      <c r="E76" s="5">
        <v>95.33</v>
      </c>
      <c r="F76" s="3" t="s">
        <v>703</v>
      </c>
      <c r="G76" s="4">
        <v>45140</v>
      </c>
      <c r="H76" s="3" t="s">
        <v>276</v>
      </c>
    </row>
    <row r="77" spans="1:8" ht="25.65" customHeight="1" x14ac:dyDescent="0.25">
      <c r="A77" s="3" t="s">
        <v>12</v>
      </c>
      <c r="B77" s="4">
        <v>45132</v>
      </c>
      <c r="C77" s="3" t="s">
        <v>553</v>
      </c>
      <c r="D77" s="5">
        <v>2114.02</v>
      </c>
      <c r="E77" s="5">
        <v>2114.02</v>
      </c>
      <c r="F77" s="3" t="s">
        <v>704</v>
      </c>
      <c r="G77" s="4">
        <v>45140</v>
      </c>
      <c r="H77" s="3" t="s">
        <v>276</v>
      </c>
    </row>
    <row r="78" spans="1:8" ht="25.65" customHeight="1" x14ac:dyDescent="0.25">
      <c r="A78" s="3" t="s">
        <v>12</v>
      </c>
      <c r="B78" s="4">
        <v>45132</v>
      </c>
      <c r="C78" s="3" t="s">
        <v>605</v>
      </c>
      <c r="D78" s="5">
        <v>773.77</v>
      </c>
      <c r="E78" s="5">
        <v>773.77</v>
      </c>
      <c r="F78" s="3" t="s">
        <v>705</v>
      </c>
      <c r="G78" s="4">
        <v>45140</v>
      </c>
      <c r="H78" s="3" t="s">
        <v>276</v>
      </c>
    </row>
    <row r="79" spans="1:8" ht="25.65" customHeight="1" x14ac:dyDescent="0.25">
      <c r="A79" s="3" t="s">
        <v>12</v>
      </c>
      <c r="B79" s="4">
        <v>45132</v>
      </c>
      <c r="C79" s="3" t="s">
        <v>535</v>
      </c>
      <c r="D79" s="5">
        <v>3.57</v>
      </c>
      <c r="E79" s="5">
        <v>3.57</v>
      </c>
      <c r="F79" s="3" t="s">
        <v>706</v>
      </c>
      <c r="G79" s="4">
        <v>45140</v>
      </c>
      <c r="H79" s="3" t="s">
        <v>276</v>
      </c>
    </row>
    <row r="80" spans="1:8" ht="25.65" customHeight="1" x14ac:dyDescent="0.25">
      <c r="A80" s="3" t="s">
        <v>12</v>
      </c>
      <c r="B80" s="4">
        <v>45132</v>
      </c>
      <c r="C80" s="3" t="s">
        <v>507</v>
      </c>
      <c r="D80" s="5">
        <v>139.22999999999999</v>
      </c>
      <c r="E80" s="5">
        <v>139.22999999999999</v>
      </c>
      <c r="F80" s="3" t="s">
        <v>707</v>
      </c>
      <c r="G80" s="4">
        <v>45140</v>
      </c>
      <c r="H80" s="3" t="s">
        <v>276</v>
      </c>
    </row>
    <row r="81" spans="1:8" ht="25.65" customHeight="1" x14ac:dyDescent="0.25">
      <c r="A81" s="3" t="s">
        <v>12</v>
      </c>
      <c r="B81" s="4">
        <v>45132</v>
      </c>
      <c r="C81" s="3" t="s">
        <v>509</v>
      </c>
      <c r="D81" s="5">
        <v>101.96</v>
      </c>
      <c r="E81" s="5">
        <v>101.96</v>
      </c>
      <c r="F81" s="3" t="s">
        <v>708</v>
      </c>
      <c r="G81" s="4">
        <v>45140</v>
      </c>
      <c r="H81" s="3" t="s">
        <v>276</v>
      </c>
    </row>
    <row r="82" spans="1:8" ht="25.65" customHeight="1" x14ac:dyDescent="0.25">
      <c r="A82" s="3" t="s">
        <v>12</v>
      </c>
      <c r="B82" s="4">
        <v>45132</v>
      </c>
      <c r="C82" s="3" t="s">
        <v>513</v>
      </c>
      <c r="D82" s="5">
        <v>89.94</v>
      </c>
      <c r="E82" s="5">
        <v>89.94</v>
      </c>
      <c r="F82" s="3" t="s">
        <v>709</v>
      </c>
      <c r="G82" s="4">
        <v>45140</v>
      </c>
      <c r="H82" s="3" t="s">
        <v>276</v>
      </c>
    </row>
    <row r="83" spans="1:8" ht="25.65" customHeight="1" x14ac:dyDescent="0.25">
      <c r="A83" s="3" t="s">
        <v>12</v>
      </c>
      <c r="B83" s="4">
        <v>45132</v>
      </c>
      <c r="C83" s="3" t="s">
        <v>571</v>
      </c>
      <c r="D83" s="5">
        <v>862.82</v>
      </c>
      <c r="E83" s="5">
        <v>862.82</v>
      </c>
      <c r="F83" s="3" t="s">
        <v>710</v>
      </c>
      <c r="G83" s="4">
        <v>45140</v>
      </c>
      <c r="H83" s="3" t="s">
        <v>276</v>
      </c>
    </row>
    <row r="84" spans="1:8" ht="25.65" customHeight="1" x14ac:dyDescent="0.25">
      <c r="A84" s="3" t="s">
        <v>12</v>
      </c>
      <c r="B84" s="4">
        <v>45132</v>
      </c>
      <c r="C84" s="3" t="s">
        <v>581</v>
      </c>
      <c r="D84" s="5">
        <v>265.69</v>
      </c>
      <c r="E84" s="5">
        <v>265.69</v>
      </c>
      <c r="F84" s="3" t="s">
        <v>711</v>
      </c>
      <c r="G84" s="4">
        <v>45140</v>
      </c>
      <c r="H84" s="3" t="s">
        <v>276</v>
      </c>
    </row>
    <row r="85" spans="1:8" ht="25.65" customHeight="1" x14ac:dyDescent="0.25">
      <c r="A85" s="3" t="s">
        <v>12</v>
      </c>
      <c r="B85" s="4">
        <v>45132</v>
      </c>
      <c r="C85" s="3" t="s">
        <v>525</v>
      </c>
      <c r="D85" s="5">
        <v>62.67</v>
      </c>
      <c r="E85" s="5">
        <v>62.67</v>
      </c>
      <c r="F85" s="3" t="s">
        <v>712</v>
      </c>
      <c r="G85" s="4">
        <v>45140</v>
      </c>
      <c r="H85" s="3" t="s">
        <v>276</v>
      </c>
    </row>
    <row r="86" spans="1:8" ht="25.65" customHeight="1" x14ac:dyDescent="0.25">
      <c r="A86" s="3" t="s">
        <v>12</v>
      </c>
      <c r="B86" s="4">
        <v>45132</v>
      </c>
      <c r="C86" s="3" t="s">
        <v>527</v>
      </c>
      <c r="D86" s="5">
        <v>1167.1500000000001</v>
      </c>
      <c r="E86" s="5">
        <v>1167.1500000000001</v>
      </c>
      <c r="F86" s="3" t="s">
        <v>713</v>
      </c>
      <c r="G86" s="4">
        <v>45140</v>
      </c>
      <c r="H86" s="3" t="s">
        <v>276</v>
      </c>
    </row>
    <row r="87" spans="1:8" ht="25.65" customHeight="1" x14ac:dyDescent="0.25">
      <c r="A87" s="3" t="s">
        <v>12</v>
      </c>
      <c r="B87" s="4">
        <v>45132</v>
      </c>
      <c r="C87" s="3" t="s">
        <v>579</v>
      </c>
      <c r="D87" s="5">
        <v>66.84</v>
      </c>
      <c r="E87" s="5">
        <v>66.84</v>
      </c>
      <c r="F87" s="3" t="s">
        <v>714</v>
      </c>
      <c r="G87" s="4">
        <v>45140</v>
      </c>
      <c r="H87" s="3" t="s">
        <v>276</v>
      </c>
    </row>
    <row r="88" spans="1:8" ht="25.65" customHeight="1" x14ac:dyDescent="0.25">
      <c r="A88" s="3" t="s">
        <v>12</v>
      </c>
      <c r="B88" s="4">
        <v>45132</v>
      </c>
      <c r="C88" s="3" t="s">
        <v>517</v>
      </c>
      <c r="D88" s="5">
        <v>960.05</v>
      </c>
      <c r="E88" s="5">
        <v>960.05</v>
      </c>
      <c r="F88" s="3" t="s">
        <v>715</v>
      </c>
      <c r="G88" s="4">
        <v>45140</v>
      </c>
      <c r="H88" s="3" t="s">
        <v>276</v>
      </c>
    </row>
    <row r="89" spans="1:8" ht="14.4" customHeight="1" x14ac:dyDescent="0.25">
      <c r="A89" s="3"/>
      <c r="B89" s="3"/>
      <c r="C89" s="3"/>
      <c r="D89" s="6" t="s">
        <v>716</v>
      </c>
      <c r="E89" s="6"/>
      <c r="F89" s="3"/>
      <c r="G89" s="3"/>
      <c r="H89" s="3"/>
    </row>
    <row r="98" spans="3:4" x14ac:dyDescent="0.25">
      <c r="C98" s="2" t="s">
        <v>3</v>
      </c>
      <c r="D98" s="7">
        <f>SUM(D2:D30)</f>
        <v>21089.33</v>
      </c>
    </row>
    <row r="99" spans="3:4" x14ac:dyDescent="0.25">
      <c r="C99" s="2" t="s">
        <v>4</v>
      </c>
      <c r="D99" s="7">
        <f>SUM(D31:D59)</f>
        <v>20245.339999999997</v>
      </c>
    </row>
    <row r="100" spans="3:4" x14ac:dyDescent="0.25">
      <c r="C100" s="2" t="s">
        <v>5</v>
      </c>
      <c r="D100" s="7">
        <f>SUM(D60:D88)</f>
        <v>20108.539999999994</v>
      </c>
    </row>
  </sheetData>
  <autoFilter ref="A1:IV89" xr:uid="{00000000-0009-0000-0000-000006000000}">
    <filterColumn colId="1">
      <filters blank="1">
        <dateGroupItem year="2023" month="7" dateTimeGrouping="month"/>
      </filters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Līgumu saraksts_27062024 apst</vt:lpstr>
      <vt:lpstr>Līgumu saraksts_2025</vt:lpstr>
      <vt:lpstr>Fakts _Visvaris_%</vt:lpstr>
      <vt:lpstr>Fakts_Visvaris_apkalp.maksa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Sarmīte Mūze</cp:lastModifiedBy>
  <cp:lastPrinted>2023-09-18T11:44:56Z</cp:lastPrinted>
  <dcterms:created xsi:type="dcterms:W3CDTF">2023-08-03T12:40:07Z</dcterms:created>
  <dcterms:modified xsi:type="dcterms:W3CDTF">2024-12-05T14:48:28Z</dcterms:modified>
</cp:coreProperties>
</file>